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design\bidirectional_load_switch\"/>
    </mc:Choice>
  </mc:AlternateContent>
  <xr:revisionPtr revIDLastSave="0" documentId="13_ncr:1_{AED9A866-A52B-4506-86C2-906776B8BF8F}"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11424" yWindow="0" windowWidth="11712" windowHeight="13776"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438" i="29"/>
  <c r="N93" i="29"/>
  <c r="M153" i="29"/>
  <c r="M359" i="29"/>
  <c r="N589" i="29"/>
  <c r="N196" i="29"/>
  <c r="M560" i="29"/>
  <c r="M62" i="29"/>
  <c r="M205" i="29"/>
  <c r="N192" i="29"/>
  <c r="M573" i="29"/>
  <c r="N580" i="29"/>
  <c r="M400" i="29"/>
  <c r="M241" i="29"/>
  <c r="N211" i="29"/>
  <c r="N387" i="29"/>
  <c r="M341" i="29"/>
  <c r="M582" i="29"/>
  <c r="N538" i="29"/>
  <c r="N380" i="29"/>
  <c r="M486" i="29"/>
  <c r="M193" i="29"/>
  <c r="N549" i="29"/>
  <c r="M554" i="29"/>
  <c r="M436" i="29"/>
  <c r="N476" i="29"/>
  <c r="M549" i="29"/>
  <c r="N340" i="29"/>
  <c r="N30" i="29"/>
  <c r="N574" i="29"/>
  <c r="N519" i="29"/>
  <c r="M461" i="29"/>
  <c r="M506" i="29"/>
  <c r="M407" i="29"/>
  <c r="N470" i="29"/>
  <c r="N418" i="29"/>
  <c r="M532" i="29"/>
  <c r="N360" i="29"/>
  <c r="M462" i="29"/>
  <c r="M553" i="29"/>
  <c r="M272" i="29"/>
  <c r="M451" i="29"/>
  <c r="M330" i="29"/>
  <c r="M394" i="29"/>
  <c r="M444" i="29"/>
  <c r="N234" i="29"/>
  <c r="M148" i="29"/>
  <c r="M377" i="29"/>
  <c r="M177" i="29"/>
  <c r="M539" i="29"/>
  <c r="M209" i="29"/>
  <c r="M443" i="29"/>
  <c r="N461" i="29"/>
  <c r="M21" i="29"/>
  <c r="N110" i="25"/>
  <c r="L110" i="25"/>
  <c r="L131" i="25"/>
  <c r="N116" i="25"/>
  <c r="L166" i="25"/>
  <c r="N227" i="29"/>
  <c r="N497" i="29"/>
  <c r="N365" i="29"/>
  <c r="M276" i="29"/>
  <c r="M260" i="29"/>
  <c r="M49" i="29"/>
  <c r="M363"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68" i="29"/>
  <c r="N146" i="29"/>
  <c r="N108" i="29"/>
  <c r="N86" i="29"/>
  <c r="N176" i="29"/>
  <c r="N258" i="29"/>
  <c r="N95" i="29"/>
  <c r="M374" i="29"/>
  <c r="N562" i="29"/>
  <c r="N179" i="29"/>
  <c r="N20" i="29"/>
  <c r="N21" i="29"/>
  <c r="M323" i="29"/>
  <c r="M14" i="29"/>
  <c r="M82" i="29"/>
  <c r="N103" i="29"/>
  <c r="N241" i="29"/>
  <c r="N203" i="29"/>
  <c r="N369" i="29"/>
  <c r="N389" i="29"/>
  <c r="N412" i="29"/>
  <c r="N381" i="29"/>
  <c r="M405" i="29"/>
  <c r="M368" i="29"/>
  <c r="M362" i="29"/>
  <c r="M339" i="29"/>
  <c r="M356" i="29"/>
  <c r="M279" i="29"/>
  <c r="N62" i="29"/>
  <c r="M429" i="29"/>
  <c r="M494" i="29"/>
  <c r="N88" i="29"/>
  <c r="N247" i="29"/>
  <c r="N317" i="29"/>
  <c r="M523" i="29"/>
  <c r="N602" i="29"/>
  <c r="M198" i="29"/>
  <c r="N567" i="29"/>
  <c r="M470" i="29"/>
  <c r="M298" i="29"/>
  <c r="M253" i="29"/>
  <c r="M303" i="29"/>
  <c r="N309" i="29"/>
  <c r="N18" i="29"/>
  <c r="BM124" i="24"/>
  <c r="N401" i="29"/>
  <c r="N416" i="29"/>
  <c r="N508" i="29"/>
  <c r="N525" i="29"/>
  <c r="M577" i="29"/>
  <c r="N404" i="29"/>
  <c r="N585" i="29"/>
  <c r="M185" i="29"/>
  <c r="M245" i="29"/>
  <c r="M533" i="29"/>
  <c r="M528" i="29"/>
  <c r="N415" i="29"/>
  <c r="N406" i="29"/>
  <c r="N275" i="29"/>
  <c r="M581" i="29"/>
  <c r="N605" i="29"/>
  <c r="M345" i="29"/>
  <c r="M361" i="29"/>
  <c r="M471" i="29"/>
  <c r="N550" i="29"/>
  <c r="N13" i="29"/>
  <c r="N228" i="29"/>
  <c r="M52" i="29"/>
  <c r="M215" i="29"/>
  <c r="N446" i="29"/>
  <c r="M442" i="29"/>
  <c r="N24" i="29"/>
  <c r="N276" i="29"/>
  <c r="M73" i="29"/>
  <c r="M355" i="29"/>
  <c r="M257" i="29"/>
  <c r="M16" i="29"/>
  <c r="N281" i="29"/>
  <c r="M366" i="29"/>
  <c r="N253" i="29"/>
  <c r="N156" i="29"/>
  <c r="V570" i="29"/>
  <c r="V596" i="29"/>
  <c r="Y4" i="29"/>
  <c r="M154" i="24"/>
  <c r="N154" i="24" s="1"/>
  <c r="P154" i="24" s="1"/>
  <c r="M371" i="29"/>
  <c r="M313" i="29"/>
  <c r="M602" i="29"/>
  <c r="M275" i="29"/>
  <c r="M389" i="29"/>
  <c r="M454" i="29"/>
  <c r="N429" i="29"/>
  <c r="M469" i="29"/>
  <c r="M440" i="29"/>
  <c r="N319" i="29"/>
  <c r="N485" i="29"/>
  <c r="M373" i="29"/>
  <c r="N607" i="29"/>
  <c r="M261" i="29"/>
  <c r="M132" i="29"/>
  <c r="N432" i="29"/>
  <c r="N89" i="29"/>
  <c r="M455" i="29"/>
  <c r="M84" i="29"/>
  <c r="N569" i="29"/>
  <c r="M401" i="29"/>
  <c r="N440" i="29"/>
  <c r="M375" i="29"/>
  <c r="N454" i="29"/>
  <c r="N36" i="29"/>
  <c r="N195" i="29"/>
  <c r="M23" i="29"/>
  <c r="M137" i="29"/>
  <c r="M395" i="29"/>
  <c r="N474" i="29"/>
  <c r="M490" i="29"/>
  <c r="N84" i="29"/>
  <c r="N115" i="29"/>
  <c r="N35" i="29"/>
  <c r="N126" i="29"/>
  <c r="M113" i="29"/>
  <c r="M156" i="29"/>
  <c r="N328" i="29"/>
  <c r="N301"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M255" i="29"/>
  <c r="N214"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70" i="29"/>
  <c r="N233" i="29"/>
  <c r="M187" i="29"/>
  <c r="N135" i="29"/>
  <c r="M120" i="29"/>
  <c r="N72" i="29"/>
  <c r="M606" i="29"/>
  <c r="N273" i="29"/>
  <c r="M222" i="29"/>
  <c r="N15" i="29"/>
  <c r="N303" i="29"/>
  <c r="M256" i="29"/>
  <c r="N208" i="29"/>
  <c r="N257" i="29"/>
  <c r="M206" i="29"/>
  <c r="M111" i="29"/>
  <c r="M294" i="29"/>
  <c r="M295" i="29"/>
  <c r="M511" i="29"/>
  <c r="N471" i="29"/>
  <c r="M428" i="29"/>
  <c r="M381" i="29"/>
  <c r="N498" i="29"/>
  <c r="N197" i="29"/>
  <c r="M146" i="29"/>
  <c r="N297" i="29"/>
  <c r="M246" i="29"/>
  <c r="N77" i="29"/>
  <c r="N242" i="29"/>
  <c r="M191" i="29"/>
  <c r="N139" i="29"/>
  <c r="M92" i="29"/>
  <c r="N44" i="29"/>
  <c r="N332" i="29"/>
  <c r="N245" i="29"/>
  <c r="M194" i="29"/>
  <c r="N272" i="29"/>
  <c r="N28" i="29"/>
  <c r="N316" i="29"/>
  <c r="M562" i="29"/>
  <c r="N90" i="29"/>
  <c r="N590" i="29"/>
  <c r="M543" i="29"/>
  <c r="M460" i="29"/>
  <c r="M413" i="29"/>
  <c r="N229" i="29"/>
  <c r="N136" i="29"/>
  <c r="M382" i="29"/>
  <c r="N49" i="29"/>
  <c r="N337" i="29"/>
  <c r="M318" i="29"/>
  <c r="N274" i="29"/>
  <c r="N171" i="29"/>
  <c r="M124" i="29"/>
  <c r="N76" i="29"/>
  <c r="M270" i="29"/>
  <c r="N226" i="29"/>
  <c r="M175" i="29"/>
  <c r="N123" i="29"/>
  <c r="M108" i="29"/>
  <c r="M43" i="29"/>
  <c r="N248" i="29"/>
  <c r="M225" i="29"/>
  <c r="M305" i="29"/>
  <c r="N105" i="29"/>
  <c r="M54" i="29"/>
  <c r="M342" i="29"/>
  <c r="N173" i="29"/>
  <c r="M122" i="29"/>
  <c r="N110" i="29"/>
  <c r="M347" i="29"/>
  <c r="N295" i="29"/>
  <c r="M248" i="29"/>
  <c r="N53" i="29"/>
  <c r="N341" i="29"/>
  <c r="M290" i="29"/>
  <c r="N246" i="29"/>
  <c r="M195" i="29"/>
  <c r="N175" i="29"/>
  <c r="M271" i="29"/>
  <c r="N219" i="29"/>
  <c r="M172" i="29"/>
  <c r="M136" i="29"/>
  <c r="M588" i="29"/>
  <c r="M509" i="29"/>
  <c r="N198" i="29"/>
  <c r="N31" i="29"/>
  <c r="M208" i="29"/>
  <c r="N370" i="29"/>
  <c r="N69" i="29"/>
  <c r="M18" i="29"/>
  <c r="N232" i="29"/>
  <c r="M510" i="29"/>
  <c r="N177" i="29"/>
  <c r="M126" i="29"/>
  <c r="N82" i="29"/>
  <c r="M31" i="29"/>
  <c r="M34" i="29"/>
  <c r="M322" i="29"/>
  <c r="N278" i="29"/>
  <c r="M50" i="29"/>
  <c r="M338" i="29"/>
  <c r="N174" i="29"/>
  <c r="M123" i="29"/>
  <c r="N71" i="29"/>
  <c r="M24" i="29"/>
  <c r="N296" i="29"/>
  <c r="M542" i="29"/>
  <c r="N209" i="29"/>
  <c r="N342" i="29"/>
  <c r="M291" i="29"/>
  <c r="N239" i="29"/>
  <c r="M192" i="29"/>
  <c r="N144" i="29"/>
  <c r="N161" i="29"/>
  <c r="N98" i="29"/>
  <c r="M434" i="29"/>
  <c r="M38" i="29"/>
  <c r="M447" i="29"/>
  <c r="N407" i="29"/>
  <c r="M364" i="29"/>
  <c r="M426"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37" i="29"/>
  <c r="N106" i="29"/>
  <c r="N237" i="29"/>
  <c r="N78" i="29"/>
  <c r="N334" i="29"/>
  <c r="M251" i="29"/>
  <c r="N299" i="29"/>
  <c r="M220" i="29"/>
  <c r="N140" i="29"/>
  <c r="M354" i="29"/>
  <c r="M610" i="29"/>
  <c r="N213" i="29"/>
  <c r="N54" i="29"/>
  <c r="N310" i="29"/>
  <c r="M227" i="29"/>
  <c r="M332" i="29"/>
  <c r="N252" i="29"/>
  <c r="M466" i="29"/>
  <c r="N249" i="29"/>
  <c r="M39" i="29"/>
  <c r="N494" i="29"/>
  <c r="M297"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N155" i="29" l="1"/>
  <c r="M478" i="29"/>
  <c r="M422" i="29"/>
  <c r="M66" i="29"/>
  <c r="N129" i="29"/>
  <c r="N327" i="29"/>
  <c r="M170" i="29"/>
  <c r="N172" i="29"/>
  <c r="M326" i="29"/>
  <c r="AG326" i="29" s="1"/>
  <c r="N33" i="29"/>
  <c r="N109" i="29"/>
  <c r="N91" i="29"/>
  <c r="N305" i="29"/>
  <c r="AH305" i="29" s="1"/>
  <c r="N558" i="29"/>
  <c r="N118" i="29"/>
  <c r="N165" i="29"/>
  <c r="N130" i="29"/>
  <c r="M331" i="29"/>
  <c r="N467" i="29"/>
  <c r="N427" i="29"/>
  <c r="N570" i="29"/>
  <c r="M141" i="29"/>
  <c r="M537" i="29"/>
  <c r="N546" i="29"/>
  <c r="N402" i="29"/>
  <c r="N292" i="29"/>
  <c r="N490" i="29"/>
  <c r="N185" i="29"/>
  <c r="M22" i="29"/>
  <c r="N351" i="29"/>
  <c r="M249" i="29"/>
  <c r="N434" i="29"/>
  <c r="AH434" i="29" s="1"/>
  <c r="M406" i="29"/>
  <c r="N320" i="29"/>
  <c r="M607" i="29"/>
  <c r="M280" i="29"/>
  <c r="W280" i="29" s="1"/>
  <c r="N321" i="29"/>
  <c r="M116" i="29"/>
  <c r="M239" i="29"/>
  <c r="N264" i="29"/>
  <c r="M264" i="29"/>
  <c r="N117" i="29"/>
  <c r="N112" i="29"/>
  <c r="N39" i="29"/>
  <c r="X39" i="29" s="1"/>
  <c r="Y39" i="29" s="1"/>
  <c r="N314" i="29"/>
  <c r="M188" i="29"/>
  <c r="M445" i="29"/>
  <c r="AG445" i="29" s="1"/>
  <c r="N16" i="29"/>
  <c r="M278" i="29"/>
  <c r="M143" i="29"/>
  <c r="M219" i="29"/>
  <c r="M570" i="29"/>
  <c r="M162" i="29"/>
  <c r="M72" i="29"/>
  <c r="M204" i="29"/>
  <c r="AG204" i="29" s="1"/>
  <c r="N455" i="29"/>
  <c r="M568" i="29"/>
  <c r="M536" i="29"/>
  <c r="M491" i="29"/>
  <c r="AG491" i="29" s="1"/>
  <c r="N166" i="29"/>
  <c r="N532" i="29"/>
  <c r="N515" i="29"/>
  <c r="M199" i="29"/>
  <c r="M129" i="29"/>
  <c r="N479" i="29"/>
  <c r="M55" i="29"/>
  <c r="M98" i="29"/>
  <c r="N459" i="29"/>
  <c r="M211" i="29"/>
  <c r="M477" i="29"/>
  <c r="N131" i="29"/>
  <c r="N357" i="29"/>
  <c r="AH357" i="29" s="1"/>
  <c r="M517" i="29"/>
  <c r="N250" i="29"/>
  <c r="N43" i="29"/>
  <c r="N101" i="29"/>
  <c r="M254" i="29"/>
  <c r="N158" i="29"/>
  <c r="AH158" i="29" s="1"/>
  <c r="N482" i="29"/>
  <c r="AH482" i="29" s="1"/>
  <c r="N464" i="29"/>
  <c r="N399" i="29"/>
  <c r="M144" i="29"/>
  <c r="N346" i="29"/>
  <c r="AH346" i="29" s="1"/>
  <c r="N206" i="29"/>
  <c r="M417" i="29"/>
  <c r="M293" i="29"/>
  <c r="N322" i="29"/>
  <c r="M344" i="29"/>
  <c r="N23" i="29"/>
  <c r="M63" i="29"/>
  <c r="M160" i="29"/>
  <c r="M91" i="29"/>
  <c r="AG91" i="29" s="1"/>
  <c r="M161" i="29"/>
  <c r="N235" i="29"/>
  <c r="M492" i="29"/>
  <c r="M32" i="29"/>
  <c r="N329" i="29"/>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M244" i="29"/>
  <c r="M289" i="29"/>
  <c r="M500" i="29"/>
  <c r="M104" i="29"/>
  <c r="M311" i="29"/>
  <c r="M572" i="29"/>
  <c r="M415" i="29"/>
  <c r="W415" i="29" s="1"/>
  <c r="M130" i="29"/>
  <c r="M154" i="29"/>
  <c r="M110" i="29"/>
  <c r="M312" i="29"/>
  <c r="M319" i="29"/>
  <c r="M157" i="29"/>
  <c r="N290" i="29"/>
  <c r="AH290" i="29" s="1"/>
  <c r="M59" i="29"/>
  <c r="N343" i="29"/>
  <c r="M223" i="29"/>
  <c r="N503" i="29"/>
  <c r="M578" i="29"/>
  <c r="N102" i="29"/>
  <c r="N162" i="29"/>
  <c r="M93" i="29"/>
  <c r="M386" i="29"/>
  <c r="N218" i="29"/>
  <c r="M458" i="29"/>
  <c r="AG458" i="29" s="1"/>
  <c r="N581" i="29"/>
  <c r="N612" i="29"/>
  <c r="N375" i="29"/>
  <c r="M367" i="29"/>
  <c r="M601" i="29"/>
  <c r="M20" i="29"/>
  <c r="N65" i="29"/>
  <c r="M75" i="29"/>
  <c r="M487" i="29"/>
  <c r="N141" i="29"/>
  <c r="M140" i="29"/>
  <c r="N413" i="29"/>
  <c r="N376" i="29"/>
  <c r="M327" i="29"/>
  <c r="M388" i="29"/>
  <c r="N361" i="29"/>
  <c r="M393" i="29"/>
  <c r="U415" i="29"/>
  <c r="V415" i="29"/>
  <c r="U395" i="29"/>
  <c r="V395" i="29"/>
  <c r="U470" i="29"/>
  <c r="V470" i="29"/>
  <c r="V238" i="29"/>
  <c r="U238" i="29"/>
  <c r="V70" i="29"/>
  <c r="U70" i="29"/>
  <c r="V209" i="29"/>
  <c r="AH209" i="29" s="1"/>
  <c r="U209" i="29"/>
  <c r="U263" i="29"/>
  <c r="V263" i="29"/>
  <c r="U611" i="29"/>
  <c r="V611" i="29"/>
  <c r="AH611" i="29" s="1"/>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W419" i="29" s="1"/>
  <c r="AA419" i="29" s="1"/>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W24" i="29" s="1"/>
  <c r="V24" i="29"/>
  <c r="AO60" i="29"/>
  <c r="AO200" i="29"/>
  <c r="AO33" i="29"/>
  <c r="T494" i="29"/>
  <c r="T568" i="29"/>
  <c r="S168" i="29"/>
  <c r="T422" i="29"/>
  <c r="AE422" i="29" s="1"/>
  <c r="T503" i="29"/>
  <c r="T609" i="29"/>
  <c r="T375" i="29"/>
  <c r="T512" i="29"/>
  <c r="S605" i="29"/>
  <c r="S468" i="29"/>
  <c r="T377" i="29"/>
  <c r="T540" i="29"/>
  <c r="AE540" i="29" s="1"/>
  <c r="T379" i="29"/>
  <c r="U293" i="29"/>
  <c r="W293" i="29" s="1"/>
  <c r="AA293" i="29" s="1"/>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X498" i="29" s="1"/>
  <c r="Y498" i="29" s="1"/>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W434" i="29" s="1"/>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X310" i="29" s="1"/>
  <c r="Y310" i="29" s="1"/>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W302" i="29" s="1"/>
  <c r="AA302" i="29" s="1"/>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X381" i="29" s="1"/>
  <c r="Y381" i="29" s="1"/>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X399" i="29" s="1"/>
  <c r="Y399" i="29" s="1"/>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X411" i="29" s="1"/>
  <c r="Y411" i="29" s="1"/>
  <c r="S63" i="29"/>
  <c r="U482" i="29"/>
  <c r="S95" i="29"/>
  <c r="AD95" i="29" s="1"/>
  <c r="S115" i="29"/>
  <c r="S367" i="29"/>
  <c r="AD367" i="29" s="1"/>
  <c r="U347" i="29"/>
  <c r="V93" i="29"/>
  <c r="X93" i="29" s="1"/>
  <c r="Y93" i="29" s="1"/>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W547" i="29" s="1"/>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M529" i="29"/>
  <c r="M217" i="29"/>
  <c r="M538" i="29"/>
  <c r="N560" i="29"/>
  <c r="N362" i="29"/>
  <c r="N554" i="29"/>
  <c r="M593" i="29"/>
  <c r="W593" i="29" s="1"/>
  <c r="AA593" i="29" s="1"/>
  <c r="M505" i="29"/>
  <c r="M604" i="29"/>
  <c r="AG604" i="29" s="1"/>
  <c r="N371" i="29"/>
  <c r="AH371" i="29" s="1"/>
  <c r="N57" i="29"/>
  <c r="X57" i="29" s="1"/>
  <c r="Y57" i="29" s="1"/>
  <c r="M489" i="29"/>
  <c r="M609" i="29"/>
  <c r="M292" i="29"/>
  <c r="M181" i="29"/>
  <c r="N500" i="29"/>
  <c r="M459" i="29"/>
  <c r="M97" i="29"/>
  <c r="W97" i="29" s="1"/>
  <c r="N556" i="29"/>
  <c r="M567" i="29"/>
  <c r="W567" i="29" s="1"/>
  <c r="AA567" i="29" s="1"/>
  <c r="N577" i="29"/>
  <c r="N339" i="29"/>
  <c r="M87" i="29"/>
  <c r="M385" i="29"/>
  <c r="W385" i="29" s="1"/>
  <c r="AA385" i="29" s="1"/>
  <c r="M228" i="29"/>
  <c r="N132" i="29"/>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M586" i="29"/>
  <c r="N308" i="29"/>
  <c r="AO366" i="29"/>
  <c r="AO386" i="29"/>
  <c r="AO435" i="29"/>
  <c r="U435" i="29" s="1"/>
  <c r="AO213" i="29"/>
  <c r="U467" i="29"/>
  <c r="V467" i="29"/>
  <c r="X467" i="29" s="1"/>
  <c r="Y467" i="29" s="1"/>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N338" i="29"/>
  <c r="N125" i="29"/>
  <c r="N182" i="29"/>
  <c r="N231" i="29"/>
  <c r="N352" i="29"/>
  <c r="M288" i="29"/>
  <c r="W288" i="29" s="1"/>
  <c r="N17" i="29"/>
  <c r="M526" i="29"/>
  <c r="M530" i="29"/>
  <c r="W530" i="29" s="1"/>
  <c r="N181" i="29"/>
  <c r="N238" i="29"/>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N263" i="29"/>
  <c r="N312" i="29"/>
  <c r="N336" i="29"/>
  <c r="M484" i="29"/>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M117" i="29"/>
  <c r="M497" i="29"/>
  <c r="AG497" i="29" s="1"/>
  <c r="X282" i="29"/>
  <c r="Y282" i="29" s="1"/>
  <c r="AO69" i="29"/>
  <c r="AO38" i="29"/>
  <c r="AO25" i="29"/>
  <c r="AO175" i="29"/>
  <c r="AO99" i="29"/>
  <c r="N279" i="29"/>
  <c r="X279" i="29" s="1"/>
  <c r="Y279" i="29" s="1"/>
  <c r="M320" i="29"/>
  <c r="M286" i="29"/>
  <c r="N134" i="29"/>
  <c r="N326" i="29"/>
  <c r="AH326" i="29" s="1"/>
  <c r="N283" i="29"/>
  <c r="M284" i="29"/>
  <c r="N74" i="29"/>
  <c r="N204" i="29"/>
  <c r="AH204" i="29" s="1"/>
  <c r="N205" i="29"/>
  <c r="M350" i="29"/>
  <c r="N97" i="29"/>
  <c r="M94" i="29"/>
  <c r="N408" i="29"/>
  <c r="AH408" i="29" s="1"/>
  <c r="M594" i="29"/>
  <c r="N277" i="29"/>
  <c r="N302" i="29"/>
  <c r="N215" i="29"/>
  <c r="N47" i="29"/>
  <c r="N104" i="29"/>
  <c r="N287" i="29"/>
  <c r="AH287" i="29" s="1"/>
  <c r="M300" i="29"/>
  <c r="N300" i="29"/>
  <c r="AH300" i="29" s="1"/>
  <c r="N333" i="29"/>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M180" i="29"/>
  <c r="M520" i="29"/>
  <c r="N271" i="29"/>
  <c r="N403" i="29"/>
  <c r="AH403" i="29" s="1"/>
  <c r="M28" i="29"/>
  <c r="N294" i="29"/>
  <c r="M95" i="29"/>
  <c r="M69" i="29"/>
  <c r="N603" i="29"/>
  <c r="I477" i="29"/>
  <c r="AG477" i="29" s="1"/>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AH62" i="29" s="1"/>
  <c r="I328" i="29"/>
  <c r="J130" i="29"/>
  <c r="AH130" i="29" s="1"/>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AH70" i="29" s="1"/>
  <c r="I90" i="29"/>
  <c r="I544" i="29"/>
  <c r="J524" i="29"/>
  <c r="J381" i="29"/>
  <c r="AH381" i="29" s="1"/>
  <c r="I340" i="29"/>
  <c r="I239" i="29"/>
  <c r="J226" i="29"/>
  <c r="J132" i="29"/>
  <c r="J112" i="29"/>
  <c r="I497" i="29"/>
  <c r="J322" i="29"/>
  <c r="J288" i="29"/>
  <c r="J124" i="29"/>
  <c r="I45" i="29"/>
  <c r="J452" i="29"/>
  <c r="J299" i="29"/>
  <c r="J210" i="29"/>
  <c r="J99" i="29"/>
  <c r="J574" i="29"/>
  <c r="J399" i="29"/>
  <c r="AH399" i="29" s="1"/>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AH412" i="29" s="1"/>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AG545" i="29" s="1"/>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AG509" i="29" s="1"/>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AH570" i="29" s="1"/>
  <c r="J341" i="29"/>
  <c r="J241" i="29"/>
  <c r="I188" i="29"/>
  <c r="J174" i="29"/>
  <c r="J533" i="29"/>
  <c r="J344" i="29"/>
  <c r="I249" i="29"/>
  <c r="I563" i="29"/>
  <c r="I396" i="29"/>
  <c r="J246" i="29"/>
  <c r="AH246" i="29" s="1"/>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AH292" i="29" s="1"/>
  <c r="I186" i="29"/>
  <c r="J155" i="29"/>
  <c r="AH155" i="29" s="1"/>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W180" i="29" s="1"/>
  <c r="AA180" i="29" s="1"/>
  <c r="J462" i="29"/>
  <c r="J214" i="29"/>
  <c r="I574" i="29"/>
  <c r="I572" i="29"/>
  <c r="J53" i="29"/>
  <c r="I158" i="29"/>
  <c r="I461" i="29"/>
  <c r="I605" i="29"/>
  <c r="J32" i="29"/>
  <c r="J604" i="29"/>
  <c r="I593" i="29"/>
  <c r="J503" i="29"/>
  <c r="I408" i="29"/>
  <c r="I361" i="29"/>
  <c r="I303" i="29"/>
  <c r="J544" i="29"/>
  <c r="I476" i="29"/>
  <c r="J401" i="29"/>
  <c r="AH401" i="29" s="1"/>
  <c r="I15" i="29"/>
  <c r="AG15" i="29" s="1"/>
  <c r="I541" i="29"/>
  <c r="I481" i="29"/>
  <c r="I370" i="29"/>
  <c r="I52" i="29"/>
  <c r="I569" i="29"/>
  <c r="J482" i="29"/>
  <c r="I401" i="29"/>
  <c r="I312" i="29"/>
  <c r="J258" i="29"/>
  <c r="J198" i="29"/>
  <c r="I160" i="29"/>
  <c r="J84" i="29"/>
  <c r="J579" i="29"/>
  <c r="J493" i="29"/>
  <c r="I421" i="29"/>
  <c r="I387" i="29"/>
  <c r="I281" i="29"/>
  <c r="J240" i="29"/>
  <c r="J192" i="29"/>
  <c r="AH192" i="29" s="1"/>
  <c r="J98" i="29"/>
  <c r="J595" i="29"/>
  <c r="J417" i="29"/>
  <c r="I231" i="29"/>
  <c r="I213" i="29"/>
  <c r="J154" i="29"/>
  <c r="I508" i="29"/>
  <c r="J368" i="29"/>
  <c r="I265" i="29"/>
  <c r="J197" i="29"/>
  <c r="J96" i="29"/>
  <c r="J490" i="29"/>
  <c r="I359" i="29"/>
  <c r="J238" i="29"/>
  <c r="I120" i="29"/>
  <c r="I53" i="29"/>
  <c r="J446" i="29"/>
  <c r="AH446" i="29" s="1"/>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AH244" i="29" s="1"/>
  <c r="I128" i="29"/>
  <c r="I69" i="29"/>
  <c r="J517" i="29"/>
  <c r="I431" i="29"/>
  <c r="J285" i="29"/>
  <c r="J247" i="29"/>
  <c r="J126" i="29"/>
  <c r="J532" i="29"/>
  <c r="J307" i="29"/>
  <c r="J184" i="29"/>
  <c r="J141" i="29"/>
  <c r="I352" i="29"/>
  <c r="J199" i="29"/>
  <c r="I77" i="29"/>
  <c r="AG77" i="29" s="1"/>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AG305" i="29" s="1"/>
  <c r="J373" i="29"/>
  <c r="J252" i="29"/>
  <c r="X252" i="29" s="1"/>
  <c r="Y252" i="29" s="1"/>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AG292" i="29" s="1"/>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AG72" i="29" s="1"/>
  <c r="J40" i="29"/>
  <c r="I611" i="29"/>
  <c r="J512" i="29"/>
  <c r="I393" i="29"/>
  <c r="J316" i="29"/>
  <c r="I504" i="29"/>
  <c r="J459" i="29"/>
  <c r="I21" i="29"/>
  <c r="J495" i="29"/>
  <c r="J413" i="29"/>
  <c r="J584" i="29"/>
  <c r="J474" i="29"/>
  <c r="J379" i="29"/>
  <c r="I243" i="29"/>
  <c r="I201" i="29"/>
  <c r="AG201" i="29" s="1"/>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AG193" i="29" s="1"/>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AG533" i="29" s="1"/>
  <c r="I276" i="29"/>
  <c r="AG276" i="29" s="1"/>
  <c r="I86" i="29"/>
  <c r="J57" i="29"/>
  <c r="J133" i="29"/>
  <c r="J377" i="29"/>
  <c r="J607" i="29"/>
  <c r="J400" i="29"/>
  <c r="J558" i="29"/>
  <c r="J164" i="29"/>
  <c r="I194" i="29"/>
  <c r="I598" i="29"/>
  <c r="AG598" i="29" s="1"/>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AG570" i="29" s="1"/>
  <c r="I429" i="29"/>
  <c r="W429" i="29" s="1"/>
  <c r="AA429" i="29" s="1"/>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W453" i="29" s="1"/>
  <c r="AA453" i="29" s="1"/>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AH234" i="29" s="1"/>
  <c r="J106" i="29"/>
  <c r="I225" i="29"/>
  <c r="I63" i="29"/>
  <c r="J235" i="29"/>
  <c r="I19" i="29"/>
  <c r="I112" i="29"/>
  <c r="I57" i="29"/>
  <c r="J16" i="29"/>
  <c r="I602" i="29"/>
  <c r="I280" i="29"/>
  <c r="I130" i="29"/>
  <c r="I304" i="29"/>
  <c r="I101" i="29"/>
  <c r="I54" i="29"/>
  <c r="I189" i="29"/>
  <c r="AG189" i="29" s="1"/>
  <c r="I144" i="29"/>
  <c r="W144" i="29" s="1"/>
  <c r="AA144" i="29" s="1"/>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AH15" i="29" s="1"/>
  <c r="J23" i="29"/>
  <c r="I43" i="29"/>
  <c r="I398" i="29"/>
  <c r="I543" i="29"/>
  <c r="J522" i="29"/>
  <c r="I123" i="29"/>
  <c r="J85" i="29"/>
  <c r="I200" i="29"/>
  <c r="I338" i="29"/>
  <c r="I341" i="29"/>
  <c r="I99" i="29"/>
  <c r="J488" i="29"/>
  <c r="J411" i="29"/>
  <c r="AH411" i="29" s="1"/>
  <c r="I117" i="29"/>
  <c r="I214" i="29"/>
  <c r="J429" i="29"/>
  <c r="J61" i="29"/>
  <c r="J465" i="29"/>
  <c r="I523" i="29"/>
  <c r="I381" i="29"/>
  <c r="J65" i="29"/>
  <c r="J360" i="29"/>
  <c r="J109" i="29"/>
  <c r="J156" i="29"/>
  <c r="I240" i="29"/>
  <c r="J140" i="29"/>
  <c r="I267" i="29"/>
  <c r="I433" i="29"/>
  <c r="J73" i="29"/>
  <c r="J35" i="29"/>
  <c r="I609" i="29"/>
  <c r="AG609" i="29" s="1"/>
  <c r="I44" i="29"/>
  <c r="AG44" i="29" s="1"/>
  <c r="J380" i="29"/>
  <c r="J598" i="29"/>
  <c r="I400" i="29"/>
  <c r="I525" i="29"/>
  <c r="J370" i="29"/>
  <c r="I518" i="29"/>
  <c r="J100" i="29"/>
  <c r="I59" i="29"/>
  <c r="I567" i="29"/>
  <c r="J359" i="29"/>
  <c r="I558" i="29"/>
  <c r="J548" i="29"/>
  <c r="J530" i="29"/>
  <c r="I469" i="29"/>
  <c r="J221" i="29"/>
  <c r="I407" i="29"/>
  <c r="AG407" i="29" s="1"/>
  <c r="J137" i="29"/>
  <c r="X137" i="29" s="1"/>
  <c r="Y137" i="29" s="1"/>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X389" i="29" s="1"/>
  <c r="Y389" i="29" s="1"/>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X293" i="29" s="1"/>
  <c r="Y293" i="29" s="1"/>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X18" i="29" s="1"/>
  <c r="Y18" i="29" s="1"/>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AH498" i="29" s="1"/>
  <c r="I374" i="29"/>
  <c r="I373" i="29"/>
  <c r="I257" i="29"/>
  <c r="AG257" i="29" s="1"/>
  <c r="I395" i="29"/>
  <c r="AG395" i="29" s="1"/>
  <c r="I473" i="29"/>
  <c r="I584" i="29"/>
  <c r="I489" i="29"/>
  <c r="I251" i="29"/>
  <c r="I82" i="29"/>
  <c r="J392" i="29"/>
  <c r="I344" i="29"/>
  <c r="J272" i="29"/>
  <c r="I498" i="29"/>
  <c r="I482" i="29"/>
  <c r="I501" i="29"/>
  <c r="AG501" i="29" s="1"/>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M595" i="29"/>
  <c r="M592" i="29"/>
  <c r="M155" i="29"/>
  <c r="AG155" i="29" s="1"/>
  <c r="M102" i="29"/>
  <c r="M508" i="29"/>
  <c r="N383" i="29"/>
  <c r="N217" i="29"/>
  <c r="N261" i="29"/>
  <c r="N388" i="29"/>
  <c r="T624" i="29"/>
  <c r="N354" i="29"/>
  <c r="AH354" i="29" s="1"/>
  <c r="M485" i="29"/>
  <c r="N377" i="29"/>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W436" i="29" s="1"/>
  <c r="AA436" i="29" s="1"/>
  <c r="AO525" i="29"/>
  <c r="U39" i="29"/>
  <c r="V39" i="29"/>
  <c r="AO66" i="29"/>
  <c r="AO198" i="29"/>
  <c r="AH5" i="25"/>
  <c r="N483" i="29"/>
  <c r="N587" i="29"/>
  <c r="AH587" i="29" s="1"/>
  <c r="N243" i="29"/>
  <c r="M281" i="29"/>
  <c r="N553" i="29"/>
  <c r="M89" i="29"/>
  <c r="M414" i="29"/>
  <c r="N100" i="29"/>
  <c r="N516" i="29"/>
  <c r="N344" i="29"/>
  <c r="M579" i="29"/>
  <c r="M551" i="29"/>
  <c r="M384" i="29"/>
  <c r="M357" i="29"/>
  <c r="N557" i="29"/>
  <c r="N466" i="29"/>
  <c r="N457" i="29"/>
  <c r="H329" i="25"/>
  <c r="I24" i="8" s="1"/>
  <c r="J24" i="8" s="1"/>
  <c r="I28" i="8"/>
  <c r="L52" i="1"/>
  <c r="L54" i="1" s="1"/>
  <c r="H31" i="8"/>
  <c r="H329" i="24"/>
  <c r="I23" i="8" s="1"/>
  <c r="J23" i="8" s="1"/>
  <c r="U21" i="29"/>
  <c r="AG21" i="29" s="1"/>
  <c r="V21" i="29"/>
  <c r="U232" i="29"/>
  <c r="U130" i="29"/>
  <c r="V501" i="29"/>
  <c r="U41" i="29"/>
  <c r="V41" i="29"/>
  <c r="U279" i="29"/>
  <c r="W279" i="29" s="1"/>
  <c r="AA279" i="29" s="1"/>
  <c r="V598" i="29"/>
  <c r="V322" i="29"/>
  <c r="AH322" i="29" s="1"/>
  <c r="V258" i="29"/>
  <c r="U447" i="29"/>
  <c r="AH447" i="29"/>
  <c r="V442" i="29"/>
  <c r="U442" i="29"/>
  <c r="AG442" i="29" s="1"/>
  <c r="AG55" i="29"/>
  <c r="V401" i="29"/>
  <c r="X401" i="29" s="1"/>
  <c r="Y401" i="29" s="1"/>
  <c r="V468" i="29"/>
  <c r="V88" i="29"/>
  <c r="V311" i="29"/>
  <c r="U542" i="29"/>
  <c r="V495" i="29"/>
  <c r="V452" i="29"/>
  <c r="U510" i="29"/>
  <c r="W510" i="29" s="1"/>
  <c r="V280" i="29"/>
  <c r="AH280" i="29" s="1"/>
  <c r="AG62" i="29"/>
  <c r="V609" i="29"/>
  <c r="U604" i="29"/>
  <c r="V253" i="29"/>
  <c r="V334" i="29"/>
  <c r="U299" i="29"/>
  <c r="V466" i="29"/>
  <c r="U371" i="29"/>
  <c r="AG371" i="29" s="1"/>
  <c r="V435" i="29"/>
  <c r="V451" i="29"/>
  <c r="V576" i="29"/>
  <c r="AG394" i="29"/>
  <c r="AG144" i="29"/>
  <c r="V362" i="29"/>
  <c r="V226" i="29"/>
  <c r="AH226" i="29" s="1"/>
  <c r="AG168" i="29"/>
  <c r="U44" i="29"/>
  <c r="V497" i="29"/>
  <c r="V144" i="29"/>
  <c r="U568" i="29"/>
  <c r="AG298" i="29"/>
  <c r="U348" i="29"/>
  <c r="U402" i="29"/>
  <c r="U346" i="29"/>
  <c r="U429" i="29"/>
  <c r="V436" i="29"/>
  <c r="V504" i="29"/>
  <c r="AG253"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X353" i="29"/>
  <c r="Y353" i="29" s="1"/>
  <c r="AG451" i="29"/>
  <c r="AG486" i="29"/>
  <c r="X447" i="29"/>
  <c r="Y447" i="29" s="1"/>
  <c r="AH282" i="29"/>
  <c r="AG279" i="29"/>
  <c r="A241" i="2"/>
  <c r="B241" i="2"/>
  <c r="D44" i="16" s="1"/>
  <c r="C44" i="16"/>
  <c r="J15" i="23"/>
  <c r="K15" i="23" s="1"/>
  <c r="V518" i="29"/>
  <c r="V254" i="29"/>
  <c r="U391" i="29"/>
  <c r="U333" i="29"/>
  <c r="V513" i="29"/>
  <c r="U57" i="29"/>
  <c r="W57" i="29" s="1"/>
  <c r="AA57" i="29" s="1"/>
  <c r="V106" i="29"/>
  <c r="AD624" i="29"/>
  <c r="AH516" i="29"/>
  <c r="V551" i="29"/>
  <c r="V77" i="29"/>
  <c r="U516" i="29"/>
  <c r="AG516" i="29" s="1"/>
  <c r="V13" i="29"/>
  <c r="AH353" i="29"/>
  <c r="X371" i="29"/>
  <c r="Y371" i="29" s="1"/>
  <c r="V164" i="29"/>
  <c r="V278" i="29"/>
  <c r="V193" i="29"/>
  <c r="V547" i="29"/>
  <c r="AG311" i="29"/>
  <c r="U267" i="29"/>
  <c r="U540" i="29"/>
  <c r="V540" i="29"/>
  <c r="V245" i="29"/>
  <c r="X88" i="29"/>
  <c r="Y88" i="29" s="1"/>
  <c r="U305" i="29"/>
  <c r="V295" i="29"/>
  <c r="V368" i="29"/>
  <c r="AH368" i="29" s="1"/>
  <c r="U479" i="29"/>
  <c r="V593" i="29"/>
  <c r="U261" i="29"/>
  <c r="AG261" i="29" s="1"/>
  <c r="V313" i="29"/>
  <c r="U132" i="29"/>
  <c r="W132" i="29" s="1"/>
  <c r="AA132" i="29" s="1"/>
  <c r="AG602" i="29"/>
  <c r="V485" i="29"/>
  <c r="V326" i="29"/>
  <c r="V67" i="29"/>
  <c r="AG484" i="29"/>
  <c r="V599" i="29"/>
  <c r="AH599" i="29" s="1"/>
  <c r="AH389" i="29"/>
  <c r="U613" i="29"/>
  <c r="V613" i="29"/>
  <c r="AH613" i="29" s="1"/>
  <c r="W451" i="29"/>
  <c r="AA451" i="29" s="1"/>
  <c r="W624" i="29"/>
  <c r="J634" i="29" s="1"/>
  <c r="X395" i="29"/>
  <c r="Y395" i="29" s="1"/>
  <c r="U456" i="29"/>
  <c r="U124" i="29"/>
  <c r="V506" i="29"/>
  <c r="U506" i="29"/>
  <c r="AH562" i="29"/>
  <c r="U433" i="29"/>
  <c r="V433" i="29"/>
  <c r="AX6" i="25"/>
  <c r="U500" i="29"/>
  <c r="V500" i="29"/>
  <c r="V503" i="29"/>
  <c r="AH503" i="29" s="1"/>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AG429" i="29"/>
  <c r="V327" i="29"/>
  <c r="X327" i="29" s="1"/>
  <c r="Y327" i="29" s="1"/>
  <c r="U327" i="29"/>
  <c r="BA153" i="24"/>
  <c r="BA161" i="24"/>
  <c r="BA143" i="24"/>
  <c r="BA170" i="24"/>
  <c r="BA234" i="24"/>
  <c r="BA168" i="24"/>
  <c r="BA158" i="24"/>
  <c r="BA223" i="24"/>
  <c r="BA149" i="24"/>
  <c r="BA206" i="24"/>
  <c r="BA229" i="24"/>
  <c r="BA195" i="24"/>
  <c r="BA131" i="24"/>
  <c r="BA276" i="24"/>
  <c r="U206" i="29"/>
  <c r="AG206" i="29" s="1"/>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77" i="29"/>
  <c r="AA77" i="29" s="1"/>
  <c r="W362" i="29"/>
  <c r="AG470" i="29"/>
  <c r="AH93" i="29"/>
  <c r="W193" i="29"/>
  <c r="AA193" i="29" s="1"/>
  <c r="W627" i="29"/>
  <c r="W260" i="29"/>
  <c r="AA260" i="29" s="1"/>
  <c r="AG469" i="29"/>
  <c r="W21" i="29"/>
  <c r="AA21" i="29" s="1"/>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AH369" i="29"/>
  <c r="L300" i="25"/>
  <c r="U369" i="29"/>
  <c r="V65" i="29"/>
  <c r="U65" i="29"/>
  <c r="U488" i="29"/>
  <c r="AG488" i="29" s="1"/>
  <c r="V488" i="29"/>
  <c r="U100" i="29"/>
  <c r="V100" i="29"/>
  <c r="V283" i="29"/>
  <c r="U283" i="29"/>
  <c r="BQ187" i="25"/>
  <c r="BQ137" i="25"/>
  <c r="AD97" i="29"/>
  <c r="W62" i="29"/>
  <c r="AA62" i="29" s="1"/>
  <c r="L278" i="25"/>
  <c r="M293" i="24"/>
  <c r="M296" i="24"/>
  <c r="V301" i="29"/>
  <c r="U301" i="29"/>
  <c r="R93" i="23"/>
  <c r="N93" i="23"/>
  <c r="O93" i="23" s="1"/>
  <c r="P93" i="23" s="1"/>
  <c r="Q93" i="23" s="1"/>
  <c r="U475" i="29"/>
  <c r="V475" i="29"/>
  <c r="V372" i="29"/>
  <c r="AG313" i="29"/>
  <c r="U153" i="29"/>
  <c r="V153" i="29"/>
  <c r="V592" i="29"/>
  <c r="U592" i="29"/>
  <c r="V71" i="29"/>
  <c r="X71" i="29" s="1"/>
  <c r="Y71" i="29" s="1"/>
  <c r="U71" i="29"/>
  <c r="V577" i="29"/>
  <c r="U577" i="29"/>
  <c r="AG577" i="29" s="1"/>
  <c r="U517" i="29"/>
  <c r="V517" i="29"/>
  <c r="V82" i="29"/>
  <c r="AH82" i="29" s="1"/>
  <c r="U82" i="29"/>
  <c r="AG82" i="29" s="1"/>
  <c r="U520" i="29"/>
  <c r="V520" i="29"/>
  <c r="V491" i="29"/>
  <c r="X491" i="29" s="1"/>
  <c r="Y491" i="29" s="1"/>
  <c r="AE389" i="29"/>
  <c r="AH24" i="29"/>
  <c r="AH377" i="29"/>
  <c r="AH470" i="29"/>
  <c r="U207" i="29"/>
  <c r="V207" i="29"/>
  <c r="V56" i="29"/>
  <c r="U56" i="29"/>
  <c r="V137" i="29"/>
  <c r="U137" i="29"/>
  <c r="U478" i="29"/>
  <c r="AG478" i="29" s="1"/>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W490" i="29" s="1"/>
  <c r="AA490" i="29" s="1"/>
  <c r="V490" i="29"/>
  <c r="V473" i="29"/>
  <c r="AH473" i="29" s="1"/>
  <c r="U473" i="29"/>
  <c r="U612" i="29"/>
  <c r="V612" i="29"/>
  <c r="AH88" i="29"/>
  <c r="X369" i="29"/>
  <c r="Y369" i="29" s="1"/>
  <c r="U351" i="29"/>
  <c r="U374" i="29"/>
  <c r="V374" i="29"/>
  <c r="U536" i="29"/>
  <c r="V536" i="29"/>
  <c r="AH536" i="29" s="1"/>
  <c r="V541" i="29"/>
  <c r="U541" i="29"/>
  <c r="AG541" i="29" s="1"/>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AG266" i="29" s="1"/>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X436" i="29"/>
  <c r="Y436" i="29" s="1"/>
  <c r="W491" i="29"/>
  <c r="AA491" i="29" s="1"/>
  <c r="W469" i="29"/>
  <c r="AA469" i="29" s="1"/>
  <c r="V91" i="29"/>
  <c r="U91" i="29"/>
  <c r="U36" i="29"/>
  <c r="V36" i="29"/>
  <c r="V330" i="29"/>
  <c r="U330" i="29"/>
  <c r="AG330" i="29" s="1"/>
  <c r="V324" i="29"/>
  <c r="U324" i="29"/>
  <c r="U86" i="29"/>
  <c r="V86" i="29"/>
  <c r="X86" i="29" s="1"/>
  <c r="Y86" i="29" s="1"/>
  <c r="U53" i="29"/>
  <c r="V53" i="29"/>
  <c r="AH53" i="29" s="1"/>
  <c r="U454" i="29"/>
  <c r="W454" i="29" s="1"/>
  <c r="AA454" i="29" s="1"/>
  <c r="V454" i="29"/>
  <c r="U493" i="29"/>
  <c r="V493" i="29"/>
  <c r="N42" i="23"/>
  <c r="O42" i="23" s="1"/>
  <c r="P42" i="23" s="1"/>
  <c r="Q42" i="23" s="1"/>
  <c r="W486" i="29"/>
  <c r="AA486" i="29" s="1"/>
  <c r="U367" i="29"/>
  <c r="V367" i="29"/>
  <c r="V270" i="29"/>
  <c r="U270" i="29"/>
  <c r="U117" i="29"/>
  <c r="V117" i="29"/>
  <c r="U373" i="29"/>
  <c r="W373" i="29" s="1"/>
  <c r="AA373" i="29" s="1"/>
  <c r="V373" i="29"/>
  <c r="U601" i="29"/>
  <c r="V601" i="29"/>
  <c r="V600" i="29"/>
  <c r="U600" i="29"/>
  <c r="U589" i="29"/>
  <c r="V589" i="29"/>
  <c r="U262" i="29"/>
  <c r="V262" i="29"/>
  <c r="AE419" i="29"/>
  <c r="AH258" i="29"/>
  <c r="X258" i="29"/>
  <c r="Y258" i="29" s="1"/>
  <c r="I128" i="25"/>
  <c r="AE357" i="29"/>
  <c r="U448" i="29"/>
  <c r="V448" i="29"/>
  <c r="U241" i="29"/>
  <c r="AG241" i="29" s="1"/>
  <c r="V241" i="29"/>
  <c r="U397" i="29"/>
  <c r="V397" i="29"/>
  <c r="AE379" i="29"/>
  <c r="F76" i="23"/>
  <c r="G76" i="23" s="1"/>
  <c r="H76" i="23" s="1"/>
  <c r="U529" i="29"/>
  <c r="X470" i="29"/>
  <c r="Y470" i="29" s="1"/>
  <c r="U297" i="29"/>
  <c r="AG297" i="29" s="1"/>
  <c r="V297" i="29"/>
  <c r="X297" i="29" s="1"/>
  <c r="Y297" i="29" s="1"/>
  <c r="U543" i="29"/>
  <c r="AG543" i="29" s="1"/>
  <c r="V543" i="29"/>
  <c r="AH195" i="29"/>
  <c r="X195" i="29"/>
  <c r="Y195" i="29" s="1"/>
  <c r="AH253" i="29"/>
  <c r="X253" i="29"/>
  <c r="Y253" i="29" s="1"/>
  <c r="AH65" i="29"/>
  <c r="X402" i="29"/>
  <c r="Y402" i="29" s="1"/>
  <c r="AH402" i="29"/>
  <c r="AE364" i="29"/>
  <c r="U450" i="29"/>
  <c r="V450" i="29"/>
  <c r="U524" i="29"/>
  <c r="V524" i="29"/>
  <c r="U355" i="29"/>
  <c r="V355" i="29"/>
  <c r="U607" i="29"/>
  <c r="V607" i="29"/>
  <c r="X607" i="29" s="1"/>
  <c r="Y607" i="29" s="1"/>
  <c r="AH474" i="29"/>
  <c r="X36" i="29"/>
  <c r="Y36" i="29" s="1"/>
  <c r="AH36" i="29"/>
  <c r="I129" i="25"/>
  <c r="AO229" i="29"/>
  <c r="V229" i="29" s="1"/>
  <c r="AD567" i="29"/>
  <c r="V307" i="29"/>
  <c r="U307" i="29"/>
  <c r="U591" i="29"/>
  <c r="V591" i="29"/>
  <c r="U514" i="29"/>
  <c r="V514" i="29"/>
  <c r="AE472" i="29"/>
  <c r="AH602" i="29"/>
  <c r="AD56" i="29"/>
  <c r="U416" i="29"/>
  <c r="V416" i="29"/>
  <c r="U356" i="29"/>
  <c r="AG356" i="29" s="1"/>
  <c r="V356" i="29"/>
  <c r="U566" i="29"/>
  <c r="AG566" i="29" s="1"/>
  <c r="V566" i="29"/>
  <c r="J89" i="23"/>
  <c r="K89" i="23" s="1"/>
  <c r="V319" i="29"/>
  <c r="U319" i="29"/>
  <c r="U289" i="29"/>
  <c r="V289" i="29"/>
  <c r="U480" i="29"/>
  <c r="V480" i="29"/>
  <c r="U538" i="29"/>
  <c r="V538" i="29"/>
  <c r="X328" i="29"/>
  <c r="Y328" i="29" s="1"/>
  <c r="AH328" i="29"/>
  <c r="AH415" i="29"/>
  <c r="X415" i="29"/>
  <c r="Y415" i="29" s="1"/>
  <c r="AH567" i="29"/>
  <c r="X567" i="29"/>
  <c r="Y567" i="29" s="1"/>
  <c r="J98" i="23"/>
  <c r="K98" i="23" s="1"/>
  <c r="U489" i="29"/>
  <c r="N21" i="23"/>
  <c r="O21" i="23" s="1"/>
  <c r="P21" i="23" s="1"/>
  <c r="Q21" i="23" s="1"/>
  <c r="U455" i="29"/>
  <c r="V455" i="29"/>
  <c r="U337" i="29"/>
  <c r="V337" i="29"/>
  <c r="X337" i="29" s="1"/>
  <c r="Y337" i="29" s="1"/>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AG259" i="29" s="1"/>
  <c r="V107" i="29"/>
  <c r="AH107" i="29" s="1"/>
  <c r="U107" i="29"/>
  <c r="U460" i="29"/>
  <c r="W460" i="29" s="1"/>
  <c r="AA460" i="29" s="1"/>
  <c r="V460" i="29"/>
  <c r="V546" i="29"/>
  <c r="U546" i="29"/>
  <c r="AE543" i="29"/>
  <c r="AE536" i="29"/>
  <c r="U358" i="29"/>
  <c r="V358" i="29"/>
  <c r="W253" i="29"/>
  <c r="AA253" i="29" s="1"/>
  <c r="W298" i="29"/>
  <c r="W602" i="29"/>
  <c r="AA602" i="29" s="1"/>
  <c r="W371" i="29"/>
  <c r="AA371" i="29" s="1"/>
  <c r="W15" i="29"/>
  <c r="AA15" i="29" s="1"/>
  <c r="W313" i="29"/>
  <c r="AA313"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AH469" i="29" s="1"/>
  <c r="U249" i="29"/>
  <c r="V249" i="29"/>
  <c r="AH249" i="29" s="1"/>
  <c r="U332" i="29"/>
  <c r="AG332" i="29" s="1"/>
  <c r="V332" i="29"/>
  <c r="AH332" i="29" s="1"/>
  <c r="V532" i="29"/>
  <c r="U532" i="29"/>
  <c r="U350" i="29"/>
  <c r="V350" i="29"/>
  <c r="U558" i="29"/>
  <c r="V558" i="29"/>
  <c r="AE356" i="29"/>
  <c r="U420" i="29"/>
  <c r="V420" i="29"/>
  <c r="R33" i="23"/>
  <c r="N33" i="23"/>
  <c r="O33" i="23" s="1"/>
  <c r="P33" i="23" s="1"/>
  <c r="Q33" i="23" s="1"/>
  <c r="W230" i="29"/>
  <c r="AA230" i="29" s="1"/>
  <c r="AG230" i="29"/>
  <c r="AE506" i="29"/>
  <c r="J66" i="23"/>
  <c r="I44" i="25"/>
  <c r="J44" i="23"/>
  <c r="K44" i="23" s="1"/>
  <c r="U320" i="29"/>
  <c r="V320" i="29"/>
  <c r="AD516" i="29"/>
  <c r="W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H552" i="29"/>
  <c r="W403" i="29"/>
  <c r="AA403" i="29" s="1"/>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AG132"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W122" i="29" s="1"/>
  <c r="AA122" i="29" s="1"/>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AH237" i="29" s="1"/>
  <c r="V194" i="29"/>
  <c r="X194" i="29" s="1"/>
  <c r="Y194" i="29" s="1"/>
  <c r="U194" i="29"/>
  <c r="AG194" i="29" s="1"/>
  <c r="U406" i="29"/>
  <c r="V406" i="29"/>
  <c r="V584" i="29"/>
  <c r="U584" i="29"/>
  <c r="U274" i="29"/>
  <c r="V274" i="29"/>
  <c r="AE568" i="29"/>
  <c r="R44" i="23"/>
  <c r="N44" i="23"/>
  <c r="O44" i="23" s="1"/>
  <c r="P44" i="23" s="1"/>
  <c r="Q44" i="23" s="1"/>
  <c r="AE480" i="29"/>
  <c r="I182" i="25"/>
  <c r="K8" i="2"/>
  <c r="A28" i="16" s="1"/>
  <c r="AO42" i="29"/>
  <c r="AO46" i="29"/>
  <c r="U46" i="29" s="1"/>
  <c r="W609" i="29"/>
  <c r="AA609" i="29" s="1"/>
  <c r="V220" i="29"/>
  <c r="U220" i="29"/>
  <c r="AG220" i="29" s="1"/>
  <c r="U590" i="29"/>
  <c r="V590" i="29"/>
  <c r="AH590" i="29" s="1"/>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AG417" i="29"/>
  <c r="W417" i="29"/>
  <c r="O270" i="25"/>
  <c r="R270" i="25" s="1"/>
  <c r="J9" i="23"/>
  <c r="K9" i="23" s="1"/>
  <c r="U359" i="29"/>
  <c r="U125" i="29"/>
  <c r="AG125" i="29" s="1"/>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343" i="29" s="1"/>
  <c r="Y343" i="29" s="1"/>
  <c r="X144" i="29"/>
  <c r="Y144" i="29" s="1"/>
  <c r="AH144" i="29"/>
  <c r="AG334" i="29"/>
  <c r="W334" i="29"/>
  <c r="W290" i="29"/>
  <c r="AG290" i="29"/>
  <c r="AG223" i="29"/>
  <c r="X257" i="29"/>
  <c r="Y257" i="29" s="1"/>
  <c r="AH257" i="29"/>
  <c r="X238" i="29"/>
  <c r="Y238" i="29" s="1"/>
  <c r="U573" i="29"/>
  <c r="V573" i="29"/>
  <c r="U376" i="29"/>
  <c r="V376" i="29"/>
  <c r="U606" i="29"/>
  <c r="V606" i="29"/>
  <c r="U440" i="29"/>
  <c r="V440" i="29"/>
  <c r="W192" i="29"/>
  <c r="AG192" i="29"/>
  <c r="W542" i="29"/>
  <c r="AG542" i="29"/>
  <c r="W270" i="29"/>
  <c r="AG270" i="29"/>
  <c r="X273" i="29"/>
  <c r="Y273" i="29" s="1"/>
  <c r="AH273" i="29"/>
  <c r="AG282" i="29"/>
  <c r="W282" i="29"/>
  <c r="AO147" i="29"/>
  <c r="V147" i="29" s="1"/>
  <c r="U537" i="29"/>
  <c r="V537" i="29"/>
  <c r="V508" i="29"/>
  <c r="U508" i="29"/>
  <c r="V496" i="29"/>
  <c r="U496" i="29"/>
  <c r="U603" i="29"/>
  <c r="V603" i="29"/>
  <c r="AE623" i="29"/>
  <c r="X239" i="29"/>
  <c r="Y239" i="29" s="1"/>
  <c r="AH239" i="29"/>
  <c r="AH296" i="29"/>
  <c r="X296" i="29"/>
  <c r="Y296" i="29" s="1"/>
  <c r="X97" i="29"/>
  <c r="Y97" i="29" s="1"/>
  <c r="AH97" i="29"/>
  <c r="X408" i="29"/>
  <c r="Y408" i="29" s="1"/>
  <c r="AH302" i="29"/>
  <c r="X302" i="29"/>
  <c r="Y302" i="29" s="1"/>
  <c r="AH91" i="29"/>
  <c r="AG246" i="29"/>
  <c r="W570" i="29"/>
  <c r="X333" i="29"/>
  <c r="Y333" i="29" s="1"/>
  <c r="AH333" i="29"/>
  <c r="U563" i="29"/>
  <c r="V563" i="29"/>
  <c r="X232" i="29"/>
  <c r="Y232" i="29" s="1"/>
  <c r="AH232" i="29"/>
  <c r="AH337" i="29"/>
  <c r="AG143" i="29"/>
  <c r="W143" i="29"/>
  <c r="AH347" i="29"/>
  <c r="AG93" i="29"/>
  <c r="U303" i="29"/>
  <c r="V303" i="29"/>
  <c r="AH303" i="29" s="1"/>
  <c r="AH169" i="29"/>
  <c r="W446" i="29"/>
  <c r="AG460" i="29"/>
  <c r="AH72" i="29"/>
  <c r="U522" i="29"/>
  <c r="V522" i="29"/>
  <c r="AH132" i="29"/>
  <c r="X132" i="29"/>
  <c r="Y132" i="29" s="1"/>
  <c r="U78" i="29"/>
  <c r="V78" i="29"/>
  <c r="U378" i="29"/>
  <c r="V378" i="29"/>
  <c r="AH278" i="29"/>
  <c r="W342" i="29"/>
  <c r="AG342" i="29"/>
  <c r="AH242" i="29"/>
  <c r="X233" i="29"/>
  <c r="Y233" i="29" s="1"/>
  <c r="AH233" i="29"/>
  <c r="V250" i="29"/>
  <c r="U250" i="29"/>
  <c r="U83" i="29"/>
  <c r="V83" i="29"/>
  <c r="V179" i="29"/>
  <c r="U179" i="29"/>
  <c r="AG322" i="29"/>
  <c r="W322" i="29"/>
  <c r="AG271" i="29"/>
  <c r="W326" i="29"/>
  <c r="W278" i="29"/>
  <c r="AG278" i="29"/>
  <c r="W562" i="29"/>
  <c r="AG562" i="29"/>
  <c r="W295" i="29"/>
  <c r="AG295" i="29"/>
  <c r="V505" i="29"/>
  <c r="U505" i="29"/>
  <c r="V557" i="29"/>
  <c r="V228" i="29"/>
  <c r="U228" i="29"/>
  <c r="U202" i="29"/>
  <c r="V202" i="29"/>
  <c r="U312" i="29"/>
  <c r="V312" i="29"/>
  <c r="AG434" i="29"/>
  <c r="W18" i="29"/>
  <c r="AA18" i="29" s="1"/>
  <c r="AG18" i="29"/>
  <c r="X329" i="29"/>
  <c r="Y329" i="29" s="1"/>
  <c r="AH329"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AH167" i="29" s="1"/>
  <c r="U167" i="29"/>
  <c r="V75" i="29"/>
  <c r="U75" i="29"/>
  <c r="U142" i="29"/>
  <c r="AG142" i="29" s="1"/>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G354" i="29"/>
  <c r="W354" i="29"/>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AG239" i="29"/>
  <c r="AH293" i="29"/>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W220"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H310" i="29"/>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X37" i="29" s="1"/>
  <c r="Y37" i="29" s="1"/>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G401" i="29"/>
  <c r="W40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G88" i="29"/>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W312" i="29" l="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J325" i="29" s="1"/>
  <c r="AK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H609" i="29"/>
  <c r="AE403" i="29"/>
  <c r="X403" i="29"/>
  <c r="Y403" i="29" s="1"/>
  <c r="AD239" i="29"/>
  <c r="W239" i="29"/>
  <c r="AE150" i="29"/>
  <c r="X150" i="29"/>
  <c r="Y150" i="29" s="1"/>
  <c r="AE335" i="29"/>
  <c r="X335" i="29"/>
  <c r="Y335" i="29" s="1"/>
  <c r="AE145" i="29"/>
  <c r="AE411" i="29"/>
  <c r="AD155" i="29"/>
  <c r="W155" i="29"/>
  <c r="AA155" i="29" s="1"/>
  <c r="AD286" i="29"/>
  <c r="W286" i="29"/>
  <c r="AJ286" i="29" s="1"/>
  <c r="AK286" i="29" s="1"/>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X256" i="29"/>
  <c r="Y256" i="29" s="1"/>
  <c r="W524" i="29"/>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AJ546" i="29" s="1"/>
  <c r="AK546" i="29" s="1"/>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AJ93" i="29" s="1"/>
  <c r="AK93" i="29" s="1"/>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J282" i="29" s="1"/>
  <c r="AK282" i="29" s="1"/>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AJ490" i="29"/>
  <c r="AK490" i="29" s="1"/>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AK371" i="29" s="1"/>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AJ144" i="29"/>
  <c r="AK144" i="29" s="1"/>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J453" i="29"/>
  <c r="AK453" i="29" s="1"/>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AJ330" i="29" s="1"/>
  <c r="AK330" i="29" s="1"/>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J482" i="29" s="1"/>
  <c r="AK482" i="29" s="1"/>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298" i="29"/>
  <c r="AA518" i="29"/>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A325" i="29"/>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J605" i="29" s="1"/>
  <c r="AK605" i="29" s="1"/>
  <c r="AG605" i="29"/>
  <c r="AA54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110" i="24"/>
  <c r="CG110" i="24"/>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A417"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AA312" i="29"/>
  <c r="AJ312" i="29"/>
  <c r="AK312" i="29" s="1"/>
  <c r="AJ311" i="29"/>
  <c r="AK311" i="29" s="1"/>
  <c r="Q222" i="25"/>
  <c r="R222" i="25"/>
  <c r="R308" i="25"/>
  <c r="Q308" i="25"/>
  <c r="R240" i="25"/>
  <c r="S240" i="25"/>
  <c r="K240" i="25" s="1"/>
  <c r="AD240" i="25" s="1"/>
  <c r="AG557" i="29"/>
  <c r="W557" i="29"/>
  <c r="AA322" i="29"/>
  <c r="AA342" i="29"/>
  <c r="AG563" i="29"/>
  <c r="W563" i="29"/>
  <c r="AH508" i="29"/>
  <c r="X508" i="29"/>
  <c r="Y508" i="29" s="1"/>
  <c r="AH440" i="29"/>
  <c r="X440" i="29"/>
  <c r="Y440" i="29" s="1"/>
  <c r="AJ547" i="29"/>
  <c r="AK547" i="29" s="1"/>
  <c r="AA547" i="29"/>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AA326" i="29"/>
  <c r="X378" i="29"/>
  <c r="Y378" i="29" s="1"/>
  <c r="AH378" i="29"/>
  <c r="X522" i="29"/>
  <c r="Y522" i="29" s="1"/>
  <c r="AH522" i="29"/>
  <c r="AA348" i="29"/>
  <c r="AJ347" i="29"/>
  <c r="AK347" i="29" s="1"/>
  <c r="AG312" i="29"/>
  <c r="AA256" i="29"/>
  <c r="AA284" i="29"/>
  <c r="AA270" i="29"/>
  <c r="W440" i="29"/>
  <c r="AG440" i="29"/>
  <c r="AJ293" i="29"/>
  <c r="AK293" i="29" s="1"/>
  <c r="AA294" i="29"/>
  <c r="AH505" i="29"/>
  <c r="X505" i="29"/>
  <c r="Y505" i="29" s="1"/>
  <c r="W179" i="29"/>
  <c r="AG179" i="29"/>
  <c r="W378" i="29"/>
  <c r="AG378" i="29"/>
  <c r="AA570" i="29"/>
  <c r="AA282"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J294" i="29"/>
  <c r="AK294" i="29" s="1"/>
  <c r="AA295" i="29"/>
  <c r="AA278" i="29"/>
  <c r="AJ278" i="29"/>
  <c r="AK278" i="29" s="1"/>
  <c r="AH179" i="29"/>
  <c r="X179" i="29"/>
  <c r="Y179" i="29" s="1"/>
  <c r="AA280" i="29"/>
  <c r="AJ279" i="29"/>
  <c r="AK279" i="29" s="1"/>
  <c r="AA24" i="29"/>
  <c r="AJ23" i="29"/>
  <c r="AK23" i="29" s="1"/>
  <c r="X303" i="29"/>
  <c r="Y303" i="29" s="1"/>
  <c r="AA143" i="29"/>
  <c r="AJ143" i="29"/>
  <c r="AK143" i="29" s="1"/>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A446" i="29"/>
  <c r="AG603" i="29"/>
  <c r="W603" i="29"/>
  <c r="AG537" i="29"/>
  <c r="W537" i="29"/>
  <c r="AH376" i="29"/>
  <c r="X376" i="29"/>
  <c r="Y376" i="29" s="1"/>
  <c r="AA334" i="29"/>
  <c r="X286" i="29"/>
  <c r="Y286" i="29" s="1"/>
  <c r="AH286" i="29"/>
  <c r="S145" i="25"/>
  <c r="K145" i="25" s="1"/>
  <c r="W145" i="25" s="1"/>
  <c r="Z145" i="25" s="1"/>
  <c r="AA145" i="25" s="1"/>
  <c r="AB145" i="25" s="1"/>
  <c r="S232" i="25"/>
  <c r="K232" i="25" s="1"/>
  <c r="S250" i="25"/>
  <c r="K250" i="25" s="1"/>
  <c r="W250" i="25" s="1"/>
  <c r="Z250" i="25" s="1"/>
  <c r="AA250" i="25" s="1"/>
  <c r="AB250" i="25" s="1"/>
  <c r="AH37" i="29"/>
  <c r="AA447" i="29"/>
  <c r="AJ446" i="29"/>
  <c r="AK446" i="29" s="1"/>
  <c r="W228" i="29"/>
  <c r="AA228" i="29" s="1"/>
  <c r="AG228" i="29"/>
  <c r="AA195" i="29"/>
  <c r="AG83" i="29"/>
  <c r="W83" i="29"/>
  <c r="W303" i="29"/>
  <c r="AG303" i="29"/>
  <c r="AJ304" i="29"/>
  <c r="AK304" i="29" s="1"/>
  <c r="AJ575" i="29"/>
  <c r="AK575" i="29" s="1"/>
  <c r="AA575" i="29"/>
  <c r="AG496" i="29"/>
  <c r="W496" i="29"/>
  <c r="AA41" i="29"/>
  <c r="AJ40" i="29"/>
  <c r="AK40" i="29" s="1"/>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AA370"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AJ476" i="29"/>
  <c r="AK476" i="29" s="1"/>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A297" i="29"/>
  <c r="AJ297" i="29"/>
  <c r="AK297" i="29" s="1"/>
  <c r="AH34" i="29"/>
  <c r="X34" i="29"/>
  <c r="Y34" i="29" s="1"/>
  <c r="X157" i="29"/>
  <c r="Y157" i="29" s="1"/>
  <c r="AH157" i="29"/>
  <c r="W149" i="29"/>
  <c r="AG149" i="29"/>
  <c r="AG187" i="29"/>
  <c r="W187" i="29"/>
  <c r="U116" i="29"/>
  <c r="V116" i="29"/>
  <c r="AG199" i="29"/>
  <c r="W199" i="29"/>
  <c r="AA354"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AA524"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AA401"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CG141" i="24"/>
  <c r="C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CG138" i="24"/>
  <c r="C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J561" i="29" l="1"/>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B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J60" i="29"/>
  <c r="AK60"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10" i="25"/>
  <c r="CJ123" i="25"/>
  <c r="CI113" i="25"/>
  <c r="CJ114" i="25"/>
  <c r="CJ113" i="25"/>
  <c r="CI114" i="25"/>
  <c r="CJ115" i="25"/>
  <c r="CI117" i="25"/>
  <c r="CI116" i="25"/>
  <c r="CI118" i="25"/>
  <c r="CI124" i="25"/>
  <c r="CI123" i="25"/>
  <c r="CI133" i="25"/>
  <c r="CI204" i="25"/>
  <c r="CI115" i="25"/>
  <c r="CI191" i="25"/>
  <c r="CI129" i="25"/>
  <c r="CI110" i="25"/>
  <c r="CJ204" i="25"/>
  <c r="CJ118" i="25"/>
  <c r="CJ124" i="25"/>
  <c r="CJ116" i="25"/>
  <c r="CJ117" i="25"/>
  <c r="CJ128" i="25"/>
  <c r="CI128" i="25"/>
  <c r="CJ133"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AJ338" i="29" l="1"/>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76" i="25"/>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93" i="25"/>
  <c r="CI220" i="25"/>
  <c r="CI265" i="25"/>
  <c r="CI227" i="25"/>
  <c r="CI273" i="25"/>
  <c r="CI231" i="25"/>
  <c r="CI306" i="25"/>
  <c r="CI247" i="25"/>
  <c r="CI312"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87"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R306" i="25" s="1"/>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BM133" i="25" s="1"/>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BM110" i="25" s="1"/>
  <c r="AY182" i="25"/>
  <c r="AW182" i="25"/>
  <c r="AR230" i="25"/>
  <c r="AP230" i="25"/>
  <c r="AJ40" i="25"/>
  <c r="AM40" i="25"/>
  <c r="AM23" i="25"/>
  <c r="BM23" i="25" s="1"/>
  <c r="AJ23" i="25"/>
  <c r="AM190" i="25"/>
  <c r="AJ190" i="25"/>
  <c r="AR298" i="25"/>
  <c r="AP298" i="25"/>
  <c r="AJ246" i="25"/>
  <c r="AM246" i="25"/>
  <c r="CI246" i="25" s="1"/>
  <c r="AM90" i="25"/>
  <c r="AJ90" i="25"/>
  <c r="AJ20" i="25"/>
  <c r="AM20" i="25"/>
  <c r="BM20" i="25" s="1"/>
  <c r="AR132" i="25"/>
  <c r="BI132" i="25"/>
  <c r="BJ132" i="25"/>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BX132" i="25" l="1"/>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BN141" i="24" s="1"/>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BN138" i="24" s="1"/>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AT132" i="25"/>
  <c r="BA132" i="25" s="1"/>
  <c r="AU132"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AU241" i="25" l="1"/>
  <c r="AU294" i="25"/>
  <c r="BN17" i="24"/>
  <c r="CG17" i="24"/>
  <c r="AU102" i="25"/>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BD102" i="25"/>
  <c r="BE102" i="25"/>
  <c r="BP102" i="25" s="1"/>
  <c r="BF102" i="25"/>
  <c r="BQ102" i="25" s="1"/>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AW299" i="24" l="1"/>
  <c r="BD299" i="24"/>
  <c r="AW92" i="24"/>
  <c r="BG92" i="24" s="1"/>
  <c r="BD136" i="25"/>
  <c r="BF136" i="25"/>
  <c r="BW136" i="25" s="1"/>
  <c r="BD167" i="25"/>
  <c r="BU167" i="25" s="1"/>
  <c r="BF167" i="25"/>
  <c r="BW167" i="25" s="1"/>
  <c r="CA110" i="24"/>
  <c r="CC110" i="24" s="1"/>
  <c r="CD110" i="24" s="1"/>
  <c r="BD117" i="25"/>
  <c r="BU117" i="25" s="1"/>
  <c r="BE117" i="25"/>
  <c r="BV117" i="25" s="1"/>
  <c r="BE165" i="25"/>
  <c r="BV165" i="25" s="1"/>
  <c r="BD165" i="25"/>
  <c r="BH165" i="25" s="1"/>
  <c r="BN165" i="25" s="1"/>
  <c r="BW102" i="25"/>
  <c r="BV102" i="25"/>
  <c r="BT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U136" i="25"/>
  <c r="BH136" i="25"/>
  <c r="BN136"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AY92" i="24" l="1"/>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36" i="25"/>
  <c r="BY136" i="25"/>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U92" i="24" l="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X92" i="24"/>
  <c r="BZ92" i="24" s="1"/>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B136"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36" i="25"/>
  <c r="CE136" i="25" s="1"/>
  <c r="CF136" i="25" s="1"/>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CJ202" i="25"/>
  <c r="BI142" i="24"/>
  <c r="CF196" i="25"/>
  <c r="CJ196" i="25"/>
  <c r="BI94" i="24"/>
  <c r="BO180" i="25"/>
  <c r="BU80" i="24"/>
  <c r="BX80" i="24" s="1"/>
  <c r="BZ80" i="24" s="1"/>
  <c r="BU113" i="24"/>
  <c r="BO210" i="25"/>
  <c r="CJ174" i="25"/>
  <c r="CJ187"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207" i="25" l="1"/>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F110" i="25" s="1"/>
  <c r="CC22" i="25"/>
  <c r="CE22" i="25" s="1"/>
  <c r="CC54" i="25"/>
  <c r="CE54" i="25" s="1"/>
  <c r="CF54" i="25" s="1"/>
  <c r="CB113" i="25"/>
  <c r="CC133" i="25"/>
  <c r="CE133" i="25" s="1"/>
  <c r="CF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CD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CD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J194" i="25" l="1"/>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<sst xmlns="http://schemas.openxmlformats.org/spreadsheetml/2006/main" count="1554" uniqueCount="862">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</sst>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43" xfId="4" applyFont="1" applyFill="1" applyBorder="1" applyAlignment="1">
      <alignment horizontal="center"/>
    </xf>
    <xf numFmtId="0" fontId="80" fillId="4" borderId="81" xfId="4" applyFont="1" applyFill="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96.720751086805052</c:v>
                </c:pt>
                <c:pt idx="1">
                  <c:v>89.926076113730034</c:v>
                </c:pt>
                <c:pt idx="2">
                  <c:v>89.276580319790909</c:v>
                </c:pt>
                <c:pt idx="3">
                  <c:v>88.605899560770638</c:v>
                </c:pt>
                <c:pt idx="4">
                  <c:v>87.916953347786361</c:v>
                </c:pt>
                <c:pt idx="5">
                  <c:v>87.210902325876262</c:v>
                </c:pt>
                <c:pt idx="6">
                  <c:v>86.490870394385482</c:v>
                </c:pt>
                <c:pt idx="7">
                  <c:v>85.758324250023762</c:v>
                </c:pt>
                <c:pt idx="8">
                  <c:v>85.015533598384508</c:v>
                </c:pt>
                <c:pt idx="9">
                  <c:v>84.263469927321552</c:v>
                </c:pt>
                <c:pt idx="10">
                  <c:v>83.503904944202901</c:v>
                </c:pt>
                <c:pt idx="11">
                  <c:v>82.737897454071842</c:v>
                </c:pt>
                <c:pt idx="12">
                  <c:v>81.966041968950407</c:v>
                </c:pt>
                <c:pt idx="13">
                  <c:v>81.189939714436562</c:v>
                </c:pt>
                <c:pt idx="14">
                  <c:v>80.409705513733925</c:v>
                </c:pt>
                <c:pt idx="15">
                  <c:v>79.626260525483872</c:v>
                </c:pt>
                <c:pt idx="16">
                  <c:v>78.840068579964381</c:v>
                </c:pt>
                <c:pt idx="17">
                  <c:v>78.051686099733985</c:v>
                </c:pt>
                <c:pt idx="18">
                  <c:v>77.261257677661888</c:v>
                </c:pt>
                <c:pt idx="19">
                  <c:v>76.46930897543406</c:v>
                </c:pt>
                <c:pt idx="20">
                  <c:v>75.675944475149763</c:v>
                </c:pt>
                <c:pt idx="21">
                  <c:v>74.8815451404745</c:v>
                </c:pt>
                <c:pt idx="22">
                  <c:v>74.086124058933322</c:v>
                </c:pt>
                <c:pt idx="23">
                  <c:v>73.290030313565836</c:v>
                </c:pt>
                <c:pt idx="24">
                  <c:v>72.493187997574054</c:v>
                </c:pt>
                <c:pt idx="25">
                  <c:v>71.695825644864172</c:v>
                </c:pt>
                <c:pt idx="26">
                  <c:v>70.897844753894944</c:v>
                </c:pt>
                <c:pt idx="27">
                  <c:v>70.099571747394918</c:v>
                </c:pt>
                <c:pt idx="28">
                  <c:v>69.301035624001656</c:v>
                </c:pt>
                <c:pt idx="29">
                  <c:v>68.502782239799799</c:v>
                </c:pt>
                <c:pt idx="30">
                  <c:v>67.70350249262782</c:v>
                </c:pt>
                <c:pt idx="31">
                  <c:v>66.904346622602716</c:v>
                </c:pt>
                <c:pt idx="32">
                  <c:v>66.104800032663206</c:v>
                </c:pt>
                <c:pt idx="33">
                  <c:v>65.305454731248304</c:v>
                </c:pt>
                <c:pt idx="34">
                  <c:v>64.505712097570921</c:v>
                </c:pt>
                <c:pt idx="35">
                  <c:v>63.706036084330748</c:v>
                </c:pt>
                <c:pt idx="36">
                  <c:v>62.906314648624075</c:v>
                </c:pt>
                <c:pt idx="37">
                  <c:v>62.106124083110402</c:v>
                </c:pt>
                <c:pt idx="38">
                  <c:v>61.306230175399477</c:v>
                </c:pt>
                <c:pt idx="39">
                  <c:v>60.505988941972177</c:v>
                </c:pt>
                <c:pt idx="40">
                  <c:v>59.705699836489586</c:v>
                </c:pt>
                <c:pt idx="41">
                  <c:v>58.905286865997112</c:v>
                </c:pt>
                <c:pt idx="42">
                  <c:v>58.104848726586631</c:v>
                </c:pt>
                <c:pt idx="43">
                  <c:v>57.30413355763244</c:v>
                </c:pt>
                <c:pt idx="44">
                  <c:v>56.503332096268899</c:v>
                </c:pt>
                <c:pt idx="45">
                  <c:v>55.70225444072954</c:v>
                </c:pt>
                <c:pt idx="46">
                  <c:v>54.901027035571914</c:v>
                </c:pt>
                <c:pt idx="47">
                  <c:v>54.099434022963997</c:v>
                </c:pt>
                <c:pt idx="48">
                  <c:v>53.297620071476608</c:v>
                </c:pt>
                <c:pt idx="49">
                  <c:v>52.495316937695698</c:v>
                </c:pt>
                <c:pt idx="50">
                  <c:v>51.69257225699198</c:v>
                </c:pt>
                <c:pt idx="51">
                  <c:v>50.889107894392183</c:v>
                </c:pt>
                <c:pt idx="52">
                  <c:v>50.08507163504418</c:v>
                </c:pt>
                <c:pt idx="53">
                  <c:v>49.280304700096053</c:v>
                </c:pt>
                <c:pt idx="54">
                  <c:v>48.475157433045062</c:v>
                </c:pt>
                <c:pt idx="55">
                  <c:v>47.668090761945777</c:v>
                </c:pt>
                <c:pt idx="56">
                  <c:v>46.860023912762088</c:v>
                </c:pt>
                <c:pt idx="57">
                  <c:v>46.050166860096112</c:v>
                </c:pt>
                <c:pt idx="58">
                  <c:v>45.238816516427832</c:v>
                </c:pt>
                <c:pt idx="59">
                  <c:v>44.425024445263155</c:v>
                </c:pt>
                <c:pt idx="60">
                  <c:v>43.608879856871198</c:v>
                </c:pt>
                <c:pt idx="61">
                  <c:v>42.789843237476212</c:v>
                </c:pt>
                <c:pt idx="62">
                  <c:v>41.967008654255828</c:v>
                </c:pt>
                <c:pt idx="63">
                  <c:v>41.140653212991253</c:v>
                </c:pt>
                <c:pt idx="64">
                  <c:v>40.30956944039999</c:v>
                </c:pt>
                <c:pt idx="65">
                  <c:v>39.473504782350005</c:v>
                </c:pt>
                <c:pt idx="66">
                  <c:v>38.631820634097103</c:v>
                </c:pt>
                <c:pt idx="67">
                  <c:v>37.784094196470598</c:v>
                </c:pt>
                <c:pt idx="68">
                  <c:v>36.92960131407105</c:v>
                </c:pt>
                <c:pt idx="69">
                  <c:v>36.068205314570243</c:v>
                </c:pt>
                <c:pt idx="70">
                  <c:v>35.199532606304516</c:v>
                </c:pt>
                <c:pt idx="71">
                  <c:v>34.323775762530843</c:v>
                </c:pt>
                <c:pt idx="72">
                  <c:v>33.441028504494057</c:v>
                </c:pt>
                <c:pt idx="73">
                  <c:v>32.552090828549886</c:v>
                </c:pt>
                <c:pt idx="74">
                  <c:v>31.657631833291227</c:v>
                </c:pt>
                <c:pt idx="75">
                  <c:v>30.758982683841232</c:v>
                </c:pt>
                <c:pt idx="76">
                  <c:v>29.857377480961578</c:v>
                </c:pt>
                <c:pt idx="77">
                  <c:v>28.954720164690183</c:v>
                </c:pt>
                <c:pt idx="78">
                  <c:v>28.052665567391671</c:v>
                </c:pt>
                <c:pt idx="79">
                  <c:v>27.153423421864463</c:v>
                </c:pt>
                <c:pt idx="80">
                  <c:v>26.256983841911492</c:v>
                </c:pt>
                <c:pt idx="81">
                  <c:v>25.365883441939438</c:v>
                </c:pt>
                <c:pt idx="82">
                  <c:v>24.480510680051687</c:v>
                </c:pt>
                <c:pt idx="83">
                  <c:v>23.602174401964149</c:v>
                </c:pt>
                <c:pt idx="84">
                  <c:v>22.730565858659656</c:v>
                </c:pt>
                <c:pt idx="85">
                  <c:v>21.866264423071392</c:v>
                </c:pt>
                <c:pt idx="86">
                  <c:v>21.008984660664822</c:v>
                </c:pt>
                <c:pt idx="87">
                  <c:v>20.157933011077304</c:v>
                </c:pt>
                <c:pt idx="88">
                  <c:v>19.313450218925439</c:v>
                </c:pt>
                <c:pt idx="89">
                  <c:v>18.474298413421526</c:v>
                </c:pt>
                <c:pt idx="90">
                  <c:v>17.64019448306653</c:v>
                </c:pt>
                <c:pt idx="91">
                  <c:v>16.810447604983455</c:v>
                </c:pt>
                <c:pt idx="92">
                  <c:v>15.984558533228039</c:v>
                </c:pt>
                <c:pt idx="93">
                  <c:v>15.161691317444214</c:v>
                </c:pt>
                <c:pt idx="94">
                  <c:v>14.956484469240635</c:v>
                </c:pt>
                <c:pt idx="95">
                  <c:v>14.853304156554657</c:v>
                </c:pt>
                <c:pt idx="96">
                  <c:v>14.751341990593321</c:v>
                </c:pt>
                <c:pt idx="97">
                  <c:v>14.648246774188465</c:v>
                </c:pt>
                <c:pt idx="98">
                  <c:v>14.546366506822206</c:v>
                </c:pt>
                <c:pt idx="99">
                  <c:v>14.443326269738527</c:v>
                </c:pt>
                <c:pt idx="100">
                  <c:v>14.341498467202625</c:v>
                </c:pt>
                <c:pt idx="101">
                  <c:v>14.238563106373288</c:v>
                </c:pt>
                <c:pt idx="102">
                  <c:v>14.136836477243271</c:v>
                </c:pt>
                <c:pt idx="103">
                  <c:v>14.033902989159547</c:v>
                </c:pt>
                <c:pt idx="104">
                  <c:v>13.932176912043463</c:v>
                </c:pt>
                <c:pt idx="105">
                  <c:v>13.829298334789966</c:v>
                </c:pt>
                <c:pt idx="106">
                  <c:v>13.727624585552862</c:v>
                </c:pt>
                <c:pt idx="107">
                  <c:v>13.624850080318129</c:v>
                </c:pt>
                <c:pt idx="108">
                  <c:v>13.523276654355572</c:v>
                </c:pt>
                <c:pt idx="109">
                  <c:v>13.420582209883358</c:v>
                </c:pt>
                <c:pt idx="110">
                  <c:v>13.319085633651142</c:v>
                </c:pt>
                <c:pt idx="111">
                  <c:v>13.216382310565999</c:v>
                </c:pt>
                <c:pt idx="112">
                  <c:v>13.114875681764131</c:v>
                </c:pt>
                <c:pt idx="113">
                  <c:v>13.012216193174353</c:v>
                </c:pt>
                <c:pt idx="114">
                  <c:v>12.910750975424126</c:v>
                </c:pt>
                <c:pt idx="115">
                  <c:v>12.808119424635612</c:v>
                </c:pt>
                <c:pt idx="116">
                  <c:v>12.706680061057776</c:v>
                </c:pt>
                <c:pt idx="117">
                  <c:v>12.60406289557406</c:v>
                </c:pt>
                <c:pt idx="118">
                  <c:v>12.502636116429592</c:v>
                </c:pt>
                <c:pt idx="119">
                  <c:v>12.40008377248423</c:v>
                </c:pt>
                <c:pt idx="120">
                  <c:v>12.298718820743426</c:v>
                </c:pt>
                <c:pt idx="121">
                  <c:v>12.196217627979042</c:v>
                </c:pt>
                <c:pt idx="122">
                  <c:v>12.094901118300891</c:v>
                </c:pt>
                <c:pt idx="123">
                  <c:v>11.992380422551506</c:v>
                </c:pt>
                <c:pt idx="124">
                  <c:v>11.891043289700566</c:v>
                </c:pt>
                <c:pt idx="125">
                  <c:v>11.788555050652075</c:v>
                </c:pt>
                <c:pt idx="126">
                  <c:v>11.687248024006717</c:v>
                </c:pt>
                <c:pt idx="127">
                  <c:v>11.584784095280183</c:v>
                </c:pt>
                <c:pt idx="128">
                  <c:v>11.483499177439988</c:v>
                </c:pt>
                <c:pt idx="129">
                  <c:v>11.381052989037407</c:v>
                </c:pt>
                <c:pt idx="130">
                  <c:v>11.279783719922605</c:v>
                </c:pt>
                <c:pt idx="131">
                  <c:v>11.1773501414721</c:v>
                </c:pt>
                <c:pt idx="132">
                  <c:v>11.126575682246768</c:v>
                </c:pt>
                <c:pt idx="133">
                  <c:v>11.076091464804389</c:v>
                </c:pt>
                <c:pt idx="134">
                  <c:v>11.024704263028703</c:v>
                </c:pt>
                <c:pt idx="135">
                  <c:v>10.973614103949288</c:v>
                </c:pt>
                <c:pt idx="136">
                  <c:v>10.922817459951927</c:v>
                </c:pt>
                <c:pt idx="137">
                  <c:v>10.872310865706659</c:v>
                </c:pt>
                <c:pt idx="138">
                  <c:v>10.820954033657291</c:v>
                </c:pt>
                <c:pt idx="139">
                  <c:v>10.769893433275568</c:v>
                </c:pt>
                <c:pt idx="140">
                  <c:v>10.719125550551468</c:v>
                </c:pt>
                <c:pt idx="141">
                  <c:v>10.668646933421712</c:v>
                </c:pt>
                <c:pt idx="142">
                  <c:v>10.617267391180649</c:v>
                </c:pt>
                <c:pt idx="143">
                  <c:v>10.566183867580035</c:v>
                </c:pt>
                <c:pt idx="144">
                  <c:v>10.515392851483991</c:v>
                </c:pt>
                <c:pt idx="145">
                  <c:v>10.464890893617573</c:v>
                </c:pt>
                <c:pt idx="146">
                  <c:v>10.413514747528419</c:v>
                </c:pt>
                <c:pt idx="147">
                  <c:v>10.362434092944028</c:v>
                </c:pt>
                <c:pt idx="148">
                  <c:v>10.311645427052799</c:v>
                </c:pt>
                <c:pt idx="149">
                  <c:v>10.261145308690448</c:v>
                </c:pt>
                <c:pt idx="150">
                  <c:v>10.209772663885765</c:v>
                </c:pt>
                <c:pt idx="151">
                  <c:v>10.158694967981301</c:v>
                </c:pt>
                <c:pt idx="152">
                  <c:v>10.107908726635237</c:v>
                </c:pt>
                <c:pt idx="153">
                  <c:v>10.057410506936657</c:v>
                </c:pt>
                <c:pt idx="154">
                  <c:v>10.006018286130233</c:v>
                </c:pt>
                <c:pt idx="155">
                  <c:v>9.9549207203713692</c:v>
                </c:pt>
                <c:pt idx="156">
                  <c:v>9.9041143192486114</c:v>
                </c:pt>
                <c:pt idx="157">
                  <c:v>9.8535956536713787</c:v>
                </c:pt>
                <c:pt idx="158">
                  <c:v>9.8021862917257447</c:v>
                </c:pt>
                <c:pt idx="159">
                  <c:v>9.7510712463027751</c:v>
                </c:pt>
                <c:pt idx="160">
                  <c:v>9.7002470315770175</c:v>
                </c:pt>
                <c:pt idx="161">
                  <c:v>9.6497102229188929</c:v>
                </c:pt>
                <c:pt idx="162">
                  <c:v>9.5983088979501172</c:v>
                </c:pt>
                <c:pt idx="163">
                  <c:v>9.5472012464691112</c:v>
                </c:pt>
                <c:pt idx="164">
                  <c:v>9.4963837924879186</c:v>
                </c:pt>
                <c:pt idx="165">
                  <c:v>9.4458531209673264</c:v>
                </c:pt>
                <c:pt idx="166">
                  <c:v>9.3944171334881972</c:v>
                </c:pt>
                <c:pt idx="167">
                  <c:v>9.3432746448794362</c:v>
                </c:pt>
                <c:pt idx="168">
                  <c:v>9.2924221805516876</c:v>
                </c:pt>
                <c:pt idx="169">
                  <c:v>9.2418563268146574</c:v>
                </c:pt>
                <c:pt idx="170">
                  <c:v>9.1904977837699384</c:v>
                </c:pt>
                <c:pt idx="171">
                  <c:v>9.1394312724497357</c:v>
                </c:pt>
                <c:pt idx="172">
                  <c:v>9.0886533423786542</c:v>
                </c:pt>
                <c:pt idx="173">
                  <c:v>9.0381606034029449</c:v>
                </c:pt>
                <c:pt idx="174">
                  <c:v>8.9866875175501573</c:v>
                </c:pt>
                <c:pt idx="175">
                  <c:v>8.9355071555776515</c:v>
                </c:pt>
                <c:pt idx="176">
                  <c:v>8.884616052779359</c:v>
                </c:pt>
                <c:pt idx="177">
                  <c:v>8.8340108050855477</c:v>
                </c:pt>
                <c:pt idx="178">
                  <c:v>8.7824541541270928</c:v>
                </c:pt>
                <c:pt idx="179">
                  <c:v>8.7311905437209685</c:v>
                </c:pt>
                <c:pt idx="180">
                  <c:v>8.680216501391758</c:v>
                </c:pt>
                <c:pt idx="181">
                  <c:v>8.6295286154654978</c:v>
                </c:pt>
                <c:pt idx="182">
                  <c:v>8.5781182938996512</c:v>
                </c:pt>
                <c:pt idx="183">
                  <c:v>8.526998706630275</c:v>
                </c:pt>
                <c:pt idx="184">
                  <c:v>8.4761664196710331</c:v>
                </c:pt>
                <c:pt idx="185">
                  <c:v>8.4256180589281744</c:v>
                </c:pt>
                <c:pt idx="186">
                  <c:v>8.3739743358508889</c:v>
                </c:pt>
                <c:pt idx="187">
                  <c:v>8.3226233078333962</c:v>
                </c:pt>
                <c:pt idx="188">
                  <c:v>8.2715615036960735</c:v>
                </c:pt>
                <c:pt idx="189">
                  <c:v>8.2207855130018714</c:v>
                </c:pt>
                <c:pt idx="190">
                  <c:v>8.1693310927338842</c:v>
                </c:pt>
                <c:pt idx="191">
                  <c:v>8.1181665341359981</c:v>
                </c:pt>
                <c:pt idx="192">
                  <c:v>8.0672884135195861</c:v>
                </c:pt>
                <c:pt idx="193">
                  <c:v>8.0166933668228975</c:v>
                </c:pt>
                <c:pt idx="194">
                  <c:v>7.9650626949550336</c:v>
                </c:pt>
                <c:pt idx="195">
                  <c:v>7.9137231428335078</c:v>
                </c:pt>
                <c:pt idx="196">
                  <c:v>7.8626712616822489</c:v>
                </c:pt>
                <c:pt idx="197">
                  <c:v>7.8119036629212779</c:v>
                </c:pt>
                <c:pt idx="198">
                  <c:v>7.7603145884784617</c:v>
                </c:pt>
                <c:pt idx="199">
                  <c:v>7.7090154146904757</c:v>
                </c:pt>
                <c:pt idx="200">
                  <c:v>7.6580027113435758</c:v>
                </c:pt>
                <c:pt idx="201">
                  <c:v>7.6072731079780205</c:v>
                </c:pt>
                <c:pt idx="202">
                  <c:v>7.5557452628912705</c:v>
                </c:pt>
                <c:pt idx="203">
                  <c:v>7.5045058571033296</c:v>
                </c:pt>
                <c:pt idx="204">
                  <c:v>7.4535514830483347</c:v>
                </c:pt>
                <c:pt idx="205">
                  <c:v>7.4028787923800623</c:v>
                </c:pt>
                <c:pt idx="206">
                  <c:v>7.3512545305524242</c:v>
                </c:pt>
                <c:pt idx="207">
                  <c:v>7.2999189796990169</c:v>
                </c:pt>
                <c:pt idx="208">
                  <c:v>7.2488687240714498</c:v>
                </c:pt>
                <c:pt idx="209">
                  <c:v>7.1981004073204877</c:v>
                </c:pt>
                <c:pt idx="210">
                  <c:v>7.1462360503908782</c:v>
                </c:pt>
                <c:pt idx="211">
                  <c:v>7.0946622442359155</c:v>
                </c:pt>
                <c:pt idx="212">
                  <c:v>7.0433755368739632</c:v>
                </c:pt>
                <c:pt idx="213">
                  <c:v>6.9923725365528249</c:v>
                </c:pt>
                <c:pt idx="214">
                  <c:v>6.9406416557204818</c:v>
                </c:pt>
                <c:pt idx="215">
                  <c:v>6.889198963675276</c:v>
                </c:pt>
                <c:pt idx="216">
                  <c:v>6.8380410465190042</c:v>
                </c:pt>
                <c:pt idx="217">
                  <c:v>6.7871645496935535</c:v>
                </c:pt>
                <c:pt idx="218">
                  <c:v>6.735415685288566</c:v>
                </c:pt>
                <c:pt idx="219">
                  <c:v>6.6839543066315503</c:v>
                </c:pt>
                <c:pt idx="220">
                  <c:v>6.632777008276955</c:v>
                </c:pt>
                <c:pt idx="221">
                  <c:v>6.5818804439176501</c:v>
                </c:pt>
                <c:pt idx="222">
                  <c:v>6.5301360098827912</c:v>
                </c:pt>
                <c:pt idx="223">
                  <c:v>6.4786780771616215</c:v>
                </c:pt>
                <c:pt idx="224">
                  <c:v>6.4275032535399372</c:v>
                </c:pt>
                <c:pt idx="225">
                  <c:v>6.3766082056315518</c:v>
                </c:pt>
                <c:pt idx="226">
                  <c:v>6.32473163955326</c:v>
                </c:pt>
                <c:pt idx="227">
                  <c:v>6.2731420613886666</c:v>
                </c:pt>
                <c:pt idx="228">
                  <c:v>6.2218360658703711</c:v>
                </c:pt>
                <c:pt idx="229">
                  <c:v>6.1708103068557776</c:v>
                </c:pt>
                <c:pt idx="230">
                  <c:v>6.0671386092644131</c:v>
                </c:pt>
                <c:pt idx="231">
                  <c:v>6.0157300103321063</c:v>
                </c:pt>
                <c:pt idx="232">
                  <c:v>5.9646017544869423</c:v>
                </c:pt>
                <c:pt idx="233">
                  <c:v>5.9125467363297819</c:v>
                </c:pt>
                <c:pt idx="234">
                  <c:v>5.8607786026347082</c:v>
                </c:pt>
                <c:pt idx="235">
                  <c:v>5.8092939403783941</c:v>
                </c:pt>
                <c:pt idx="236">
                  <c:v>5.7580893958376578</c:v>
                </c:pt>
                <c:pt idx="237">
                  <c:v>5.7061311997574453</c:v>
                </c:pt>
                <c:pt idx="238">
                  <c:v>5.6544577333389334</c:v>
                </c:pt>
                <c:pt idx="239">
                  <c:v>5.6030656167200341</c:v>
                </c:pt>
                <c:pt idx="240">
                  <c:v>5.5519515285739498</c:v>
                </c:pt>
                <c:pt idx="241">
                  <c:v>5.4998159095950117</c:v>
                </c:pt>
                <c:pt idx="242">
                  <c:v>5.4479658253504155</c:v>
                </c:pt>
                <c:pt idx="243">
                  <c:v>5.3963978762988818</c:v>
                </c:pt>
                <c:pt idx="244">
                  <c:v>5.3451087218899174</c:v>
                </c:pt>
                <c:pt idx="245">
                  <c:v>5.2929676786468169</c:v>
                </c:pt>
                <c:pt idx="246">
                  <c:v>5.2411110484500796</c:v>
                </c:pt>
                <c:pt idx="247">
                  <c:v>5.1895354461014787</c:v>
                </c:pt>
                <c:pt idx="248">
                  <c:v>5.1382375450659179</c:v>
                </c:pt>
                <c:pt idx="249">
                  <c:v>5.0859730024326719</c:v>
                </c:pt>
                <c:pt idx="250">
                  <c:v>5.0339929889362445</c:v>
                </c:pt>
                <c:pt idx="251">
                  <c:v>4.9822941114332613</c:v>
                </c:pt>
                <c:pt idx="252">
                  <c:v>4.9308730356317909</c:v>
                </c:pt>
                <c:pt idx="253">
                  <c:v>4.8786469610162166</c:v>
                </c:pt>
                <c:pt idx="254">
                  <c:v>4.8267037257569321</c:v>
                </c:pt>
                <c:pt idx="255">
                  <c:v>4.7750399607067475</c:v>
                </c:pt>
                <c:pt idx="256">
                  <c:v>4.7236523550239458</c:v>
                </c:pt>
                <c:pt idx="257">
                  <c:v>4.6712170376119539</c:v>
                </c:pt>
                <c:pt idx="258">
                  <c:v>4.6190654967971723</c:v>
                </c:pt>
                <c:pt idx="259">
                  <c:v>4.5671943403184585</c:v>
                </c:pt>
                <c:pt idx="260">
                  <c:v>4.5156002347614415</c:v>
                </c:pt>
                <c:pt idx="261">
                  <c:v>4.4631166895087899</c:v>
                </c:pt>
                <c:pt idx="262">
                  <c:v>4.410916061593487</c:v>
                </c:pt>
                <c:pt idx="263">
                  <c:v>4.3589949674359021</c:v>
                </c:pt>
                <c:pt idx="264">
                  <c:v>4.307350082113758</c:v>
                </c:pt>
                <c:pt idx="265">
                  <c:v>4.2548396146408489</c:v>
                </c:pt>
                <c:pt idx="266">
                  <c:v>4.2026109242647305</c:v>
                </c:pt>
                <c:pt idx="267">
                  <c:v>4.1506606408666009</c:v>
                </c:pt>
                <c:pt idx="268">
                  <c:v>4.0989854526879919</c:v>
                </c:pt>
                <c:pt idx="269">
                  <c:v>4.0463438138286758</c:v>
                </c:pt>
                <c:pt idx="270">
                  <c:v>3.9939838709282642</c:v>
                </c:pt>
                <c:pt idx="271">
                  <c:v>3.9419022481159538</c:v>
                </c:pt>
                <c:pt idx="272">
                  <c:v>3.8900956280289667</c:v>
                </c:pt>
                <c:pt idx="273">
                  <c:v>3.83734855913728</c:v>
                </c:pt>
                <c:pt idx="274">
                  <c:v>3.7848827664599307</c:v>
                </c:pt>
                <c:pt idx="275">
                  <c:v>3.7326948741529984</c:v>
                </c:pt>
                <c:pt idx="276">
                  <c:v>3.680781564897861</c:v>
                </c:pt>
                <c:pt idx="277">
                  <c:v>3.6280715104498569</c:v>
                </c:pt>
                <c:pt idx="278">
                  <c:v>3.5756407416723728</c:v>
                </c:pt>
                <c:pt idx="279">
                  <c:v>3.5234859106746832</c:v>
                </c:pt>
                <c:pt idx="280">
                  <c:v>3.4716037274680818</c:v>
                </c:pt>
                <c:pt idx="281">
                  <c:v>3.4185965878963827</c:v>
                </c:pt>
                <c:pt idx="282">
                  <c:v>3.3658702138260561</c:v>
                </c:pt>
                <c:pt idx="283">
                  <c:v>3.3134212227189099</c:v>
                </c:pt>
                <c:pt idx="284">
                  <c:v>3.2612462907600168</c:v>
                </c:pt>
                <c:pt idx="285">
                  <c:v>3.2083181854836411</c:v>
                </c:pt>
                <c:pt idx="286">
                  <c:v>3.1556682876513249</c:v>
                </c:pt>
                <c:pt idx="287">
                  <c:v>3.103293252414248</c:v>
                </c:pt>
                <c:pt idx="288">
                  <c:v>3.051189792804474</c:v>
                </c:pt>
                <c:pt idx="289">
                  <c:v>2.9980176462712009</c:v>
                </c:pt>
                <c:pt idx="290">
                  <c:v>2.9451244774680156</c:v>
                </c:pt>
                <c:pt idx="291">
                  <c:v>2.8925069190488593</c:v>
                </c:pt>
                <c:pt idx="292">
                  <c:v>2.8401616620960546</c:v>
                </c:pt>
                <c:pt idx="293">
                  <c:v>2.7868851680400004</c:v>
                </c:pt>
                <c:pt idx="294">
                  <c:v>2.7338868805111174</c:v>
                </c:pt>
                <c:pt idx="295">
                  <c:v>2.6811634371376725</c:v>
                </c:pt>
                <c:pt idx="296">
                  <c:v>2.6287115338942173</c:v>
                </c:pt>
                <c:pt idx="297">
                  <c:v>2.5753523120205077</c:v>
                </c:pt>
                <c:pt idx="298">
                  <c:v>2.5222702285743748</c:v>
                </c:pt>
                <c:pt idx="299">
                  <c:v>2.4694619312647195</c:v>
                </c:pt>
                <c:pt idx="300">
                  <c:v>2.4169241259502581</c:v>
                </c:pt>
                <c:pt idx="301">
                  <c:v>2.3635019974095708</c:v>
                </c:pt>
                <c:pt idx="302">
                  <c:v>2.3103556639044305</c:v>
                </c:pt>
                <c:pt idx="303">
                  <c:v>2.2574817879604914</c:v>
                </c:pt>
                <c:pt idx="304">
                  <c:v>2.2048770899515198</c:v>
                </c:pt>
                <c:pt idx="305">
                  <c:v>2.1512050557772318</c:v>
                </c:pt>
                <c:pt idx="306">
                  <c:v>2.0978093192132468</c:v>
                </c:pt>
                <c:pt idx="307">
                  <c:v>2.0446865238780969</c:v>
                </c:pt>
                <c:pt idx="308">
                  <c:v>1.9918333717186421</c:v>
                </c:pt>
                <c:pt idx="309">
                  <c:v>1.9381413146564666</c:v>
                </c:pt>
                <c:pt idx="310">
                  <c:v>1.8847236155016402</c:v>
                </c:pt>
                <c:pt idx="311">
                  <c:v>1.8315769430139672</c:v>
                </c:pt>
                <c:pt idx="312">
                  <c:v>1.7786980237493841</c:v>
                </c:pt>
                <c:pt idx="313">
                  <c:v>1.7248036410791301</c:v>
                </c:pt>
                <c:pt idx="314">
                  <c:v>1.6711834583855232</c:v>
                </c:pt>
                <c:pt idx="315">
                  <c:v>1.6178341369559361</c:v>
                </c:pt>
                <c:pt idx="316">
                  <c:v>1.5647523960988345</c:v>
                </c:pt>
                <c:pt idx="317">
                  <c:v>1.5106806509229349</c:v>
                </c:pt>
                <c:pt idx="318">
                  <c:v>1.4568826011817495</c:v>
                </c:pt>
                <c:pt idx="319">
                  <c:v>1.4033549067041498</c:v>
                </c:pt>
                <c:pt idx="320">
                  <c:v>1.3500942854315392</c:v>
                </c:pt>
                <c:pt idx="321">
                  <c:v>1.2958681427964369</c:v>
                </c:pt>
                <c:pt idx="322">
                  <c:v>1.2419148675905789</c:v>
                </c:pt>
                <c:pt idx="323">
                  <c:v>1.1882311238290659</c:v>
                </c:pt>
                <c:pt idx="324">
                  <c:v>1.1348136336055621</c:v>
                </c:pt>
                <c:pt idx="325">
                  <c:v>1.0804541519333493</c:v>
                </c:pt>
                <c:pt idx="326">
                  <c:v>1.0263664089401814</c:v>
                </c:pt>
                <c:pt idx="327">
                  <c:v>0.97254707810178076</c:v>
                </c:pt>
                <c:pt idx="328">
                  <c:v>0.91899289082171642</c:v>
                </c:pt>
                <c:pt idx="329">
                  <c:v>0.86442844791775375</c:v>
                </c:pt>
                <c:pt idx="330">
                  <c:v>0.81013523565996937</c:v>
                </c:pt>
                <c:pt idx="331">
                  <c:v>0.75610992539385424</c:v>
                </c:pt>
                <c:pt idx="332">
                  <c:v>0.70234924651609032</c:v>
                </c:pt>
                <c:pt idx="333">
                  <c:v>0.64769177396398203</c:v>
                </c:pt>
                <c:pt idx="334">
                  <c:v>0.59330382132975223</c:v>
                </c:pt>
                <c:pt idx="335">
                  <c:v>0.53918207969586807</c:v>
                </c:pt>
                <c:pt idx="336">
                  <c:v>0.48532329781853656</c:v>
                </c:pt>
                <c:pt idx="337">
                  <c:v>0.43041381412072865</c:v>
                </c:pt>
                <c:pt idx="338">
                  <c:v>0.37577360949853178</c:v>
                </c:pt>
                <c:pt idx="339">
                  <c:v>0.32139936758437188</c:v>
                </c:pt>
                <c:pt idx="340">
                  <c:v>0.26728782994359856</c:v>
                </c:pt>
                <c:pt idx="341">
                  <c:v>0.21215062080211772</c:v>
                </c:pt>
                <c:pt idx="342">
                  <c:v>0.15728210218799399</c:v>
                </c:pt>
                <c:pt idx="343">
                  <c:v>0.10267895645355747</c:v>
                </c:pt>
                <c:pt idx="344">
                  <c:v>4.8337924007621359E-2</c:v>
                </c:pt>
                <c:pt idx="345">
                  <c:v>-6.9206980844769821E-3</c:v>
                </c:pt>
                <c:pt idx="346">
                  <c:v>-6.19123515747068E-2</c:v>
                </c:pt>
                <c:pt idx="347">
                  <c:v>-0.11664033461567969</c:v>
                </c:pt>
                <c:pt idx="348">
                  <c:v>-0.17110788765634038</c:v>
                </c:pt>
                <c:pt idx="349">
                  <c:v>-0.22663721019414665</c:v>
                </c:pt>
                <c:pt idx="350">
                  <c:v>-0.28189994775105198</c:v>
                </c:pt>
                <c:pt idx="351">
                  <c:v>-0.33689940384565009</c:v>
                </c:pt>
                <c:pt idx="352">
                  <c:v>-0.39163882405970629</c:v>
                </c:pt>
                <c:pt idx="353">
                  <c:v>-0.44741549685473014</c:v>
                </c:pt>
                <c:pt idx="354">
                  <c:v>-0.50292630823043627</c:v>
                </c:pt>
                <c:pt idx="355">
                  <c:v>-0.55817456093078022</c:v>
                </c:pt>
                <c:pt idx="356">
                  <c:v>-0.61316349966428541</c:v>
                </c:pt>
                <c:pt idx="357">
                  <c:v>-0.66908678570147428</c:v>
                </c:pt>
                <c:pt idx="358">
                  <c:v>-0.72474599685146335</c:v>
                </c:pt>
                <c:pt idx="359">
                  <c:v>-0.78014441540907586</c:v>
                </c:pt>
                <c:pt idx="360">
                  <c:v>-0.83528526598668784</c:v>
                </c:pt>
                <c:pt idx="361">
                  <c:v>-0.89149586097886246</c:v>
                </c:pt>
                <c:pt idx="362">
                  <c:v>-0.94744294720281408</c:v>
                </c:pt>
                <c:pt idx="363">
                  <c:v>-1.0031298092329008</c:v>
                </c:pt>
                <c:pt idx="364">
                  <c:v>-1.0585596737740068</c:v>
                </c:pt>
                <c:pt idx="365">
                  <c:v>-1.1149589861121931</c:v>
                </c:pt>
                <c:pt idx="366">
                  <c:v>-1.171096390884572</c:v>
                </c:pt>
                <c:pt idx="367">
                  <c:v>-1.226975155676568</c:v>
                </c:pt>
                <c:pt idx="368">
                  <c:v>-1.282598490459653</c:v>
                </c:pt>
                <c:pt idx="369">
                  <c:v>-1.3393205983562175</c:v>
                </c:pt>
                <c:pt idx="370">
                  <c:v>-1.3957812700601222</c:v>
                </c:pt>
                <c:pt idx="371">
                  <c:v>-1.4519837772351896</c:v>
                </c:pt>
                <c:pt idx="372">
                  <c:v>-1.5079313336831666</c:v>
                </c:pt>
                <c:pt idx="373">
                  <c:v>-1.5648799583675097</c:v>
                </c:pt>
                <c:pt idx="374">
                  <c:v>-1.6215686232091531</c:v>
                </c:pt>
                <c:pt idx="375">
                  <c:v>-1.6780005851054656</c:v>
                </c:pt>
                <c:pt idx="376">
                  <c:v>-1.7341790432766127</c:v>
                </c:pt>
                <c:pt idx="377">
                  <c:v>-1.7914822601373348</c:v>
                </c:pt>
                <c:pt idx="378">
                  <c:v>-1.8485259454038785</c:v>
                </c:pt>
                <c:pt idx="379">
                  <c:v>-1.9053133607573181</c:v>
                </c:pt>
                <c:pt idx="380">
                  <c:v>-1.9618477099155884</c:v>
                </c:pt>
                <c:pt idx="381">
                  <c:v>-2.0193406000215033</c:v>
                </c:pt>
                <c:pt idx="382">
                  <c:v>-2.0765759940731212</c:v>
                </c:pt>
                <c:pt idx="383">
                  <c:v>-2.1335571281952794</c:v>
                </c:pt>
                <c:pt idx="384">
                  <c:v>-2.1902871809698174</c:v>
                </c:pt>
                <c:pt idx="385">
                  <c:v>-2.2481659564564165</c:v>
                </c:pt>
                <c:pt idx="386">
                  <c:v>-2.3057876304267246</c:v>
                </c:pt>
                <c:pt idx="387">
                  <c:v>-2.3631554440944962</c:v>
                </c:pt>
                <c:pt idx="388">
                  <c:v>-2.4202725808152343</c:v>
                </c:pt>
                <c:pt idx="389">
                  <c:v>-2.4784458392376068</c:v>
                </c:pt>
                <c:pt idx="390">
                  <c:v>-2.5363633294081724</c:v>
                </c:pt>
                <c:pt idx="391">
                  <c:v>-2.594028279711853</c:v>
                </c:pt>
                <c:pt idx="392">
                  <c:v>-2.6514438607732926</c:v>
                </c:pt>
                <c:pt idx="393">
                  <c:v>-2.7098943278489656</c:v>
                </c:pt>
                <c:pt idx="394">
                  <c:v>-2.7680906234758136</c:v>
                </c:pt>
                <c:pt idx="395">
                  <c:v>-2.8260359578970808</c:v>
                </c:pt>
                <c:pt idx="396">
                  <c:v>-2.8837334838096189</c:v>
                </c:pt>
                <c:pt idx="397">
                  <c:v>-2.9425780888930535</c:v>
                </c:pt>
                <c:pt idx="398">
                  <c:v>-3.0011692232359271</c:v>
                </c:pt>
                <c:pt idx="399">
                  <c:v>-3.059510095487898</c:v>
                </c:pt>
                <c:pt idx="400">
                  <c:v>-3.1176038565602111</c:v>
                </c:pt>
                <c:pt idx="401">
                  <c:v>-3.1767566716934055</c:v>
                </c:pt>
                <c:pt idx="402">
                  <c:v>-3.2356575782353132</c:v>
                </c:pt>
                <c:pt idx="403">
                  <c:v>-3.2943097665020633</c:v>
                </c:pt>
                <c:pt idx="404">
                  <c:v>-3.3527163692681028</c:v>
                </c:pt>
                <c:pt idx="405">
                  <c:v>-3.4122257860312946</c:v>
                </c:pt>
                <c:pt idx="406">
                  <c:v>-3.4714845571406632</c:v>
                </c:pt>
                <c:pt idx="407">
                  <c:v>-3.530495859715304</c:v>
                </c:pt>
                <c:pt idx="408">
                  <c:v>-3.5892628133953099</c:v>
                </c:pt>
                <c:pt idx="409">
                  <c:v>-3.6491745340055992</c:v>
                </c:pt>
                <c:pt idx="410">
                  <c:v>-3.7088366077027226</c:v>
                </c:pt>
                <c:pt idx="411">
                  <c:v>-3.7682522028296677</c:v>
                </c:pt>
                <c:pt idx="412">
                  <c:v>-3.8274244301952369</c:v>
                </c:pt>
                <c:pt idx="413">
                  <c:v>-3.8877196955560884</c:v>
                </c:pt>
                <c:pt idx="414">
                  <c:v>-3.9477665888319264</c:v>
                </c:pt>
                <c:pt idx="415">
                  <c:v>-4.0075682636885652</c:v>
                </c:pt>
                <c:pt idx="416">
                  <c:v>-4.0671278163329836</c:v>
                </c:pt>
                <c:pt idx="417">
                  <c:v>-4.1278505320029542</c:v>
                </c:pt>
                <c:pt idx="418">
                  <c:v>-4.188325906634927</c:v>
                </c:pt>
                <c:pt idx="419">
                  <c:v>-4.2485570831008177</c:v>
                </c:pt>
                <c:pt idx="420">
                  <c:v>-4.308547146783849</c:v>
                </c:pt>
                <c:pt idx="421">
                  <c:v>-4.3696189350690222</c:v>
                </c:pt>
                <c:pt idx="422">
                  <c:v>-4.4304451596256254</c:v>
                </c:pt>
                <c:pt idx="423">
                  <c:v>-4.4910289375287213</c:v>
                </c:pt>
                <c:pt idx="424">
                  <c:v>-4.5513733286895537</c:v>
                </c:pt>
                <c:pt idx="425">
                  <c:v>-4.612957418201832</c:v>
                </c:pt>
                <c:pt idx="426">
                  <c:v>-4.6742965205780438</c:v>
                </c:pt>
                <c:pt idx="427">
                  <c:v>-4.7353937489846807</c:v>
                </c:pt>
                <c:pt idx="428">
                  <c:v>-4.7962521592044602</c:v>
                </c:pt>
                <c:pt idx="429">
                  <c:v>-4.858269632447783</c:v>
                </c:pt>
                <c:pt idx="430">
                  <c:v>-4.9200434408904856</c:v>
                </c:pt>
                <c:pt idx="431">
                  <c:v>-4.9815766786324183</c:v>
                </c:pt>
                <c:pt idx="432">
                  <c:v>-5.0428723825302137</c:v>
                </c:pt>
                <c:pt idx="433">
                  <c:v>-5.1053068798827814</c:v>
                </c:pt>
                <c:pt idx="434">
                  <c:v>-5.1674992615790476</c:v>
                </c:pt>
                <c:pt idx="435">
                  <c:v>-5.2294525972667412</c:v>
                </c:pt>
                <c:pt idx="436">
                  <c:v>-5.2911698996151424</c:v>
                </c:pt>
                <c:pt idx="437">
                  <c:v>-5.3541192438372933</c:v>
                </c:pt>
                <c:pt idx="438">
                  <c:v>-5.4168273640462878</c:v>
                </c:pt>
                <c:pt idx="439">
                  <c:v>-5.4792973167343195</c:v>
                </c:pt>
                <c:pt idx="440">
                  <c:v>-5.5415321013929404</c:v>
                </c:pt>
                <c:pt idx="441">
                  <c:v>-5.6049777141247024</c:v>
                </c:pt>
                <c:pt idx="442">
                  <c:v>-5.6681832415944111</c:v>
                </c:pt>
                <c:pt idx="443">
                  <c:v>-5.7311517211936094</c:v>
                </c:pt>
                <c:pt idx="444">
                  <c:v>-5.7938861334304628</c:v>
                </c:pt>
                <c:pt idx="445">
                  <c:v>-5.8578109961939919</c:v>
                </c:pt>
                <c:pt idx="446">
                  <c:v>-5.9214971329832782</c:v>
                </c:pt>
                <c:pt idx="447">
                  <c:v>-5.9849475565806465</c:v>
                </c:pt>
                <c:pt idx="448">
                  <c:v>-6.0481652231336902</c:v>
                </c:pt>
                <c:pt idx="449">
                  <c:v>-6.11266150918539</c:v>
                </c:pt>
                <c:pt idx="450">
                  <c:v>-6.1769198325199079</c:v>
                </c:pt>
                <c:pt idx="451">
                  <c:v>-6.2409431911271174</c:v>
                </c:pt>
                <c:pt idx="452">
                  <c:v>-6.3047345263604893</c:v>
                </c:pt>
                <c:pt idx="453">
                  <c:v>-6.3697302326959448</c:v>
                </c:pt>
                <c:pt idx="454">
                  <c:v>-6.4344893579042299</c:v>
                </c:pt>
                <c:pt idx="455">
                  <c:v>-6.4990148720286456</c:v>
                </c:pt>
                <c:pt idx="456">
                  <c:v>-6.5633096888011631</c:v>
                </c:pt>
                <c:pt idx="457">
                  <c:v>-6.6288943335140251</c:v>
                </c:pt>
                <c:pt idx="458">
                  <c:v>-6.6942432059845682</c:v>
                </c:pt>
                <c:pt idx="459">
                  <c:v>-6.7593592574818206</c:v>
                </c:pt>
                <c:pt idx="460">
                  <c:v>-6.8242453830561853</c:v>
                </c:pt>
                <c:pt idx="461">
                  <c:v>-6.8904006427608264</c:v>
                </c:pt>
                <c:pt idx="462">
                  <c:v>-6.9563211503107638</c:v>
                </c:pt>
                <c:pt idx="463">
                  <c:v>-7.0220098325769529</c:v>
                </c:pt>
                <c:pt idx="464">
                  <c:v>-7.0874695604465519</c:v>
                </c:pt>
                <c:pt idx="465">
                  <c:v>-7.1542293726929982</c:v>
                </c:pt>
                <c:pt idx="466">
                  <c:v>-7.2207552831582023</c:v>
                </c:pt>
                <c:pt idx="467">
                  <c:v>-7.287050195749794</c:v>
                </c:pt>
                <c:pt idx="468">
                  <c:v>-7.3531169585925626</c:v>
                </c:pt>
                <c:pt idx="469">
                  <c:v>-7.4204635660688458</c:v>
                </c:pt>
                <c:pt idx="470">
                  <c:v>-7.487577309898712</c:v>
                </c:pt>
                <c:pt idx="471">
                  <c:v>-7.5544610657651825</c:v>
                </c:pt>
                <c:pt idx="472">
                  <c:v>-7.6211176539086081</c:v>
                </c:pt>
                <c:pt idx="473">
                  <c:v>-7.6891335598009256</c:v>
                </c:pt>
                <c:pt idx="474">
                  <c:v>-7.756917129900768</c:v>
                </c:pt>
                <c:pt idx="475">
                  <c:v>-7.8244712192448853</c:v>
                </c:pt>
                <c:pt idx="476">
                  <c:v>-7.891798627580533</c:v>
                </c:pt>
                <c:pt idx="477">
                  <c:v>-7.960464545654987</c:v>
                </c:pt>
                <c:pt idx="478">
                  <c:v>-8.0288988458527921</c:v>
                </c:pt>
                <c:pt idx="479">
                  <c:v>-8.0971043571598056</c:v>
                </c:pt>
                <c:pt idx="480">
                  <c:v>-8.1650838535740338</c:v>
                </c:pt>
                <c:pt idx="481">
                  <c:v>-8.2343817747315189</c:v>
                </c:pt>
                <c:pt idx="482">
                  <c:v>-8.3034489604162918</c:v>
                </c:pt>
                <c:pt idx="483">
                  <c:v>-8.3722882086779649</c:v>
                </c:pt>
                <c:pt idx="484">
                  <c:v>-8.4409022630196375</c:v>
                </c:pt>
                <c:pt idx="485">
                  <c:v>-8.510862891483665</c:v>
                </c:pt>
                <c:pt idx="486">
                  <c:v>-8.5805934959247505</c:v>
                </c:pt>
                <c:pt idx="487">
                  <c:v>-8.6500968446863844</c:v>
                </c:pt>
                <c:pt idx="488">
                  <c:v>-8.7193756519919443</c:v>
                </c:pt>
                <c:pt idx="489">
                  <c:v>-8.7900752264649231</c:v>
                </c:pt>
                <c:pt idx="490">
                  <c:v>-8.8605450221196396</c:v>
                </c:pt>
                <c:pt idx="491">
                  <c:v>-8.9307877840456822</c:v>
                </c:pt>
                <c:pt idx="492">
                  <c:v>-9.0008062034906509</c:v>
                </c:pt>
                <c:pt idx="493">
                  <c:v>-9.0722245590384283</c:v>
                </c:pt>
                <c:pt idx="494">
                  <c:v>-9.1434135436486379</c:v>
                </c:pt>
                <c:pt idx="495">
                  <c:v>-9.2143758742964756</c:v>
                </c:pt>
                <c:pt idx="496">
                  <c:v>-9.2851142145425882</c:v>
                </c:pt>
                <c:pt idx="497">
                  <c:v>-9.3572780663930022</c:v>
                </c:pt>
                <c:pt idx="498">
                  <c:v>-9.4292128050202724</c:v>
                </c:pt>
                <c:pt idx="499">
                  <c:v>-9.5009211200514159</c:v>
                </c:pt>
                <c:pt idx="500">
                  <c:v>-9.5724056481333228</c:v>
                </c:pt>
                <c:pt idx="501">
                  <c:v>-9.6453404582004545</c:v>
                </c:pt>
                <c:pt idx="502">
                  <c:v>-9.7180462678809842</c:v>
                </c:pt>
                <c:pt idx="503">
                  <c:v>-9.7905257401303007</c:v>
                </c:pt>
                <c:pt idx="504">
                  <c:v>-9.8627814853710092</c:v>
                </c:pt>
                <c:pt idx="505">
                  <c:v>-9.9364668854036395</c:v>
                </c:pt>
                <c:pt idx="506">
                  <c:v>-10.009923533501066</c:v>
                </c:pt>
                <c:pt idx="507">
                  <c:v>-10.08315406182307</c:v>
                </c:pt>
                <c:pt idx="508">
                  <c:v>-10.156161050587233</c:v>
                </c:pt>
                <c:pt idx="509">
                  <c:v>-10.230621743693471</c:v>
                </c:pt>
                <c:pt idx="510">
                  <c:v>-10.304853778316685</c:v>
                </c:pt>
                <c:pt idx="511">
                  <c:v>-10.378859756853904</c:v>
                </c:pt>
                <c:pt idx="512">
                  <c:v>-10.452642230362612</c:v>
                </c:pt>
                <c:pt idx="513">
                  <c:v>-10.527945233906665</c:v>
                </c:pt>
                <c:pt idx="514">
                  <c:v>-10.603019258913776</c:v>
                </c:pt>
                <c:pt idx="515">
                  <c:v>-10.677866883459433</c:v>
                </c:pt>
                <c:pt idx="516">
                  <c:v>-10.75249063478315</c:v>
                </c:pt>
                <c:pt idx="517">
                  <c:v>-10.82861366080008</c:v>
                </c:pt>
                <c:pt idx="518">
                  <c:v>-10.904507518208767</c:v>
                </c:pt>
                <c:pt idx="519">
                  <c:v>-10.980174757087749</c:v>
                </c:pt>
                <c:pt idx="520">
                  <c:v>-11.055617877327252</c:v>
                </c:pt>
                <c:pt idx="521">
                  <c:v>-11.132582093982922</c:v>
                </c:pt>
                <c:pt idx="522">
                  <c:v>-11.209316810670245</c:v>
                </c:pt>
                <c:pt idx="523">
                  <c:v>-11.285824550540495</c:v>
                </c:pt>
                <c:pt idx="524">
                  <c:v>-11.362107787229032</c:v>
                </c:pt>
                <c:pt idx="525">
                  <c:v>-11.439933233386945</c:v>
                </c:pt>
                <c:pt idx="526">
                  <c:v>-11.517528711460198</c:v>
                </c:pt>
                <c:pt idx="527">
                  <c:v>-11.594896718808489</c:v>
                </c:pt>
                <c:pt idx="528">
                  <c:v>-11.672039703975578</c:v>
                </c:pt>
                <c:pt idx="529">
                  <c:v>-11.750745318320245</c:v>
                </c:pt>
                <c:pt idx="530">
                  <c:v>-11.829220364349773</c:v>
                </c:pt>
                <c:pt idx="531">
                  <c:v>-11.907467314861131</c:v>
                </c:pt>
                <c:pt idx="532">
                  <c:v>-11.985488594565492</c:v>
                </c:pt>
                <c:pt idx="533">
                  <c:v>-12.065133280935186</c:v>
                </c:pt>
                <c:pt idx="534">
                  <c:v>-12.144546433943134</c:v>
                </c:pt>
                <c:pt idx="535">
                  <c:v>-12.223730506930593</c:v>
                </c:pt>
                <c:pt idx="536">
                  <c:v>-12.302687905818409</c:v>
                </c:pt>
                <c:pt idx="537">
                  <c:v>-12.383205946019435</c:v>
                </c:pt>
                <c:pt idx="538">
                  <c:v>-12.463491846079327</c:v>
                </c:pt>
                <c:pt idx="539">
                  <c:v>-12.543548033763052</c:v>
                </c:pt>
                <c:pt idx="540">
                  <c:v>-12.623376890309718</c:v>
                </c:pt>
                <c:pt idx="541">
                  <c:v>-12.704865719434991</c:v>
                </c:pt>
                <c:pt idx="542">
                  <c:v>-12.786121214176287</c:v>
                </c:pt>
                <c:pt idx="543">
                  <c:v>-12.867145785769798</c:v>
                </c:pt>
                <c:pt idx="544">
                  <c:v>-12.947941799667062</c:v>
                </c:pt>
                <c:pt idx="545">
                  <c:v>-13.030375242084309</c:v>
                </c:pt>
                <c:pt idx="546">
                  <c:v>-13.112574284012437</c:v>
                </c:pt>
                <c:pt idx="547">
                  <c:v>-13.19454131828801</c:v>
                </c:pt>
                <c:pt idx="548">
                  <c:v>-13.276278692834374</c:v>
                </c:pt>
                <c:pt idx="549">
                  <c:v>-13.359670665573164</c:v>
                </c:pt>
                <c:pt idx="550">
                  <c:v>-13.442827069336046</c:v>
                </c:pt>
                <c:pt idx="551">
                  <c:v>-13.525750280639436</c:v>
                </c:pt>
                <c:pt idx="552">
                  <c:v>-13.608442631992981</c:v>
                </c:pt>
                <c:pt idx="553">
                  <c:v>-13.692844915592477</c:v>
                </c:pt>
                <c:pt idx="554">
                  <c:v>-13.777010150946094</c:v>
                </c:pt>
                <c:pt idx="555">
                  <c:v>-13.860940703798384</c:v>
                </c:pt>
                <c:pt idx="556">
                  <c:v>-13.944638896751606</c:v>
                </c:pt>
                <c:pt idx="557">
                  <c:v>-14.115247203659544</c:v>
                </c:pt>
                <c:pt idx="558">
                  <c:v>-14.284910496932426</c:v>
                </c:pt>
                <c:pt idx="559">
                  <c:v>-14.457504084276238</c:v>
                </c:pt>
                <c:pt idx="560">
                  <c:v>-14.629147006348974</c:v>
                </c:pt>
                <c:pt idx="561">
                  <c:v>-14.803896636475038</c:v>
                </c:pt>
                <c:pt idx="562">
                  <c:v>-14.97768808947006</c:v>
                </c:pt>
                <c:pt idx="563">
                  <c:v>-15.154238771158317</c:v>
                </c:pt>
                <c:pt idx="564">
                  <c:v>-15.32982767922049</c:v>
                </c:pt>
                <c:pt idx="565">
                  <c:v>-15.508863839160444</c:v>
                </c:pt>
                <c:pt idx="566">
                  <c:v>-15.686927300962237</c:v>
                </c:pt>
                <c:pt idx="567">
                  <c:v>-15.868379739250273</c:v>
                </c:pt>
                <c:pt idx="568">
                  <c:v>-16.048849531836819</c:v>
                </c:pt>
                <c:pt idx="569">
                  <c:v>-16.231935651115556</c:v>
                </c:pt>
                <c:pt idx="570">
                  <c:v>-16.414037842782335</c:v>
                </c:pt>
                <c:pt idx="571">
                  <c:v>-16.600133577834029</c:v>
                </c:pt>
                <c:pt idx="572">
                  <c:v>-16.785229690949638</c:v>
                </c:pt>
                <c:pt idx="573">
                  <c:v>-16.972849366667454</c:v>
                </c:pt>
                <c:pt idx="574">
                  <c:v>-17.159470065403536</c:v>
                </c:pt>
                <c:pt idx="575">
                  <c:v>-17.349964711392044</c:v>
                </c:pt>
                <c:pt idx="576">
                  <c:v>-17.539447210953099</c:v>
                </c:pt>
                <c:pt idx="577">
                  <c:v>-18.330861217630762</c:v>
                </c:pt>
                <c:pt idx="578">
                  <c:v>-19.105856946467668</c:v>
                </c:pt>
                <c:pt idx="579">
                  <c:v>-20.752828490426602</c:v>
                </c:pt>
                <c:pt idx="580">
                  <c:v>-22.490971345565349</c:v>
                </c:pt>
                <c:pt idx="581">
                  <c:v>-24.329593352614154</c:v>
                </c:pt>
                <c:pt idx="582">
                  <c:v>-26.289087346155782</c:v>
                </c:pt>
                <c:pt idx="583">
                  <c:v>-28.401976235778616</c:v>
                </c:pt>
                <c:pt idx="584">
                  <c:v>-30.734378735767706</c:v>
                </c:pt>
                <c:pt idx="585">
                  <c:v>-33.417174234869108</c:v>
                </c:pt>
                <c:pt idx="586">
                  <c:v>-36.749177293466062</c:v>
                </c:pt>
                <c:pt idx="587">
                  <c:v>-41.522746445858331</c:v>
                </c:pt>
                <c:pt idx="588">
                  <c:v>-50.885558740230636</c:v>
                </c:pt>
                <c:pt idx="589">
                  <c:v>-56.030863351210471</c:v>
                </c:pt>
                <c:pt idx="590">
                  <c:v>-47.631183868854947</c:v>
                </c:pt>
                <c:pt idx="591">
                  <c:v>-46.192236762662937</c:v>
                </c:pt>
                <c:pt idx="592">
                  <c:v>-46.785357848342827</c:v>
                </c:pt>
                <c:pt idx="593">
                  <c:v>-48.376656529163199</c:v>
                </c:pt>
                <c:pt idx="594">
                  <c:v>-50.850021402275587</c:v>
                </c:pt>
                <c:pt idx="595">
                  <c:v>-55.317585923064421</c:v>
                </c:pt>
                <c:pt idx="596">
                  <c:v>-74.01401331444643</c:v>
                </c:pt>
                <c:pt idx="597">
                  <c:v>-60.086840022431538</c:v>
                </c:pt>
                <c:pt idx="598">
                  <c:v>-58.25935887402543</c:v>
                </c:pt>
                <c:pt idx="599">
                  <c:v>-59.932975223029679</c:v>
                </c:pt>
                <c:pt idx="600">
                  <c:v>-66.448692288296471</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-10.25838103041032</c:v>
                </c:pt>
                <c:pt idx="1">
                  <c:v>-63.267584202650703</c:v>
                </c:pt>
                <c:pt idx="2">
                  <c:v>-65.331279272593051</c:v>
                </c:pt>
                <c:pt idx="3">
                  <c:v>-67.275066498806865</c:v>
                </c:pt>
                <c:pt idx="4">
                  <c:v>-69.09646601762843</c:v>
                </c:pt>
                <c:pt idx="5">
                  <c:v>-70.79920255604425</c:v>
                </c:pt>
                <c:pt idx="6">
                  <c:v>-72.383203191989665</c:v>
                </c:pt>
                <c:pt idx="7">
                  <c:v>-73.853311632309058</c:v>
                </c:pt>
                <c:pt idx="8">
                  <c:v>-75.21323461866308</c:v>
                </c:pt>
                <c:pt idx="9">
                  <c:v>-76.469444843731011</c:v>
                </c:pt>
                <c:pt idx="10">
                  <c:v>-77.62704798202887</c:v>
                </c:pt>
                <c:pt idx="11">
                  <c:v>-78.692310704290847</c:v>
                </c:pt>
                <c:pt idx="12">
                  <c:v>-79.671856009823458</c:v>
                </c:pt>
                <c:pt idx="13">
                  <c:v>-80.570784383413056</c:v>
                </c:pt>
                <c:pt idx="14">
                  <c:v>-81.395711800118136</c:v>
                </c:pt>
                <c:pt idx="15">
                  <c:v>-82.151943739281734</c:v>
                </c:pt>
                <c:pt idx="16">
                  <c:v>-82.844927928940777</c:v>
                </c:pt>
                <c:pt idx="17">
                  <c:v>-83.479661870316875</c:v>
                </c:pt>
                <c:pt idx="18">
                  <c:v>-84.06110610602336</c:v>
                </c:pt>
                <c:pt idx="19">
                  <c:v>-84.593569149018336</c:v>
                </c:pt>
                <c:pt idx="20">
                  <c:v>-85.08132296464477</c:v>
                </c:pt>
                <c:pt idx="21">
                  <c:v>-85.528137922351959</c:v>
                </c:pt>
                <c:pt idx="22">
                  <c:v>-85.937696490849888</c:v>
                </c:pt>
                <c:pt idx="23">
                  <c:v>-86.313218004670588</c:v>
                </c:pt>
                <c:pt idx="24">
                  <c:v>-86.657867541530223</c:v>
                </c:pt>
                <c:pt idx="25">
                  <c:v>-86.974422492313636</c:v>
                </c:pt>
                <c:pt idx="26">
                  <c:v>-87.265568598744125</c:v>
                </c:pt>
                <c:pt idx="27">
                  <c:v>-87.533629066743046</c:v>
                </c:pt>
                <c:pt idx="28">
                  <c:v>-87.780856507364717</c:v>
                </c:pt>
                <c:pt idx="29">
                  <c:v>-88.009186920541609</c:v>
                </c:pt>
                <c:pt idx="30">
                  <c:v>-88.220914025717789</c:v>
                </c:pt>
                <c:pt idx="31">
                  <c:v>-88.417505293990942</c:v>
                </c:pt>
                <c:pt idx="32">
                  <c:v>-88.600752285558485</c:v>
                </c:pt>
                <c:pt idx="33">
                  <c:v>-88.772071062512509</c:v>
                </c:pt>
                <c:pt idx="34">
                  <c:v>-88.93304095395456</c:v>
                </c:pt>
                <c:pt idx="35">
                  <c:v>-89.084927764234592</c:v>
                </c:pt>
                <c:pt idx="36">
                  <c:v>-89.229040669719694</c:v>
                </c:pt>
                <c:pt idx="37">
                  <c:v>-89.366669814618248</c:v>
                </c:pt>
                <c:pt idx="38">
                  <c:v>-89.498844995989288</c:v>
                </c:pt>
                <c:pt idx="39">
                  <c:v>-89.626788592633332</c:v>
                </c:pt>
                <c:pt idx="40">
                  <c:v>-89.751527452649185</c:v>
                </c:pt>
                <c:pt idx="41">
                  <c:v>-89.874120309066001</c:v>
                </c:pt>
                <c:pt idx="42">
                  <c:v>-89.99557706806138</c:v>
                </c:pt>
                <c:pt idx="43">
                  <c:v>-90.116946633876864</c:v>
                </c:pt>
                <c:pt idx="44">
                  <c:v>-90.239203797274982</c:v>
                </c:pt>
                <c:pt idx="45">
                  <c:v>-90.363381139590089</c:v>
                </c:pt>
                <c:pt idx="46">
                  <c:v>-90.490468336177685</c:v>
                </c:pt>
                <c:pt idx="47">
                  <c:v>-90.621520364534348</c:v>
                </c:pt>
                <c:pt idx="48">
                  <c:v>-90.757549771637258</c:v>
                </c:pt>
                <c:pt idx="49">
                  <c:v>-90.899657725271879</c:v>
                </c:pt>
                <c:pt idx="50">
                  <c:v>-91.048913613865167</c:v>
                </c:pt>
                <c:pt idx="51">
                  <c:v>-91.206469772599846</c:v>
                </c:pt>
                <c:pt idx="52">
                  <c:v>-91.373416054587537</c:v>
                </c:pt>
                <c:pt idx="53">
                  <c:v>-91.55091377860019</c:v>
                </c:pt>
                <c:pt idx="54">
                  <c:v>-91.740006778275003</c:v>
                </c:pt>
                <c:pt idx="55">
                  <c:v>-91.942184828194058</c:v>
                </c:pt>
                <c:pt idx="56">
                  <c:v>-92.158318822343432</c:v>
                </c:pt>
                <c:pt idx="57">
                  <c:v>-92.389644976752663</c:v>
                </c:pt>
                <c:pt idx="58">
                  <c:v>-92.636998791780499</c:v>
                </c:pt>
                <c:pt idx="59">
                  <c:v>-92.901436348412744</c:v>
                </c:pt>
                <c:pt idx="60">
                  <c:v>-93.183480058144468</c:v>
                </c:pt>
                <c:pt idx="61">
                  <c:v>-93.483556744917578</c:v>
                </c:pt>
                <c:pt idx="62">
                  <c:v>-93.801859561411248</c:v>
                </c:pt>
                <c:pt idx="63">
                  <c:v>-94.137625303215046</c:v>
                </c:pt>
                <c:pt idx="64">
                  <c:v>-94.490056790681834</c:v>
                </c:pt>
                <c:pt idx="65">
                  <c:v>-94.857229861248911</c:v>
                </c:pt>
                <c:pt idx="66">
                  <c:v>-95.236515859697803</c:v>
                </c:pt>
                <c:pt idx="67">
                  <c:v>-95.624230054528951</c:v>
                </c:pt>
                <c:pt idx="68">
                  <c:v>-96.015811740777593</c:v>
                </c:pt>
                <c:pt idx="69">
                  <c:v>-96.405430911106961</c:v>
                </c:pt>
                <c:pt idx="70">
                  <c:v>-96.786471506928095</c:v>
                </c:pt>
                <c:pt idx="71">
                  <c:v>-97.151396336503637</c:v>
                </c:pt>
                <c:pt idx="72">
                  <c:v>-97.492388448723332</c:v>
                </c:pt>
                <c:pt idx="73">
                  <c:v>-97.801499118354911</c:v>
                </c:pt>
                <c:pt idx="74">
                  <c:v>-98.071533801159433</c:v>
                </c:pt>
                <c:pt idx="75">
                  <c:v>-98.296377246156879</c:v>
                </c:pt>
                <c:pt idx="76">
                  <c:v>-98.471792186455232</c:v>
                </c:pt>
                <c:pt idx="77">
                  <c:v>-98.595704960104456</c:v>
                </c:pt>
                <c:pt idx="78">
                  <c:v>-98.668676124110888</c:v>
                </c:pt>
                <c:pt idx="79">
                  <c:v>-98.693857299442641</c:v>
                </c:pt>
                <c:pt idx="80">
                  <c:v>-98.67681887795257</c:v>
                </c:pt>
                <c:pt idx="81">
                  <c:v>-98.625101046423396</c:v>
                </c:pt>
                <c:pt idx="82">
                  <c:v>-98.547698478201241</c:v>
                </c:pt>
                <c:pt idx="83">
                  <c:v>-98.454558291777971</c:v>
                </c:pt>
                <c:pt idx="84">
                  <c:v>-98.355799332390973</c:v>
                </c:pt>
                <c:pt idx="85">
                  <c:v>-98.261478670355302</c:v>
                </c:pt>
                <c:pt idx="86">
                  <c:v>-98.181039335595273</c:v>
                </c:pt>
                <c:pt idx="87">
                  <c:v>-98.123147430245936</c:v>
                </c:pt>
                <c:pt idx="88">
                  <c:v>-98.095690371905249</c:v>
                </c:pt>
                <c:pt idx="89">
                  <c:v>-98.105613008635785</c:v>
                </c:pt>
                <c:pt idx="90">
                  <c:v>-98.159117572155495</c:v>
                </c:pt>
                <c:pt idx="91">
                  <c:v>-98.261741655395099</c:v>
                </c:pt>
                <c:pt idx="92">
                  <c:v>-98.418494128508087</c:v>
                </c:pt>
                <c:pt idx="93">
                  <c:v>-98.63411340380479</c:v>
                </c:pt>
                <c:pt idx="94">
                  <c:v>-98.697715931340099</c:v>
                </c:pt>
                <c:pt idx="95">
                  <c:v>-98.731231907822021</c:v>
                </c:pt>
                <c:pt idx="96">
                  <c:v>-98.765374392959473</c:v>
                </c:pt>
                <c:pt idx="97">
                  <c:v>-98.800938926101651</c:v>
                </c:pt>
                <c:pt idx="98">
                  <c:v>-98.837123628063623</c:v>
                </c:pt>
                <c:pt idx="99">
                  <c:v>-98.87478062658883</c:v>
                </c:pt>
                <c:pt idx="100">
                  <c:v>-98.913051412360502</c:v>
                </c:pt>
                <c:pt idx="101">
                  <c:v>-98.95281573475755</c:v>
                </c:pt>
                <c:pt idx="102">
                  <c:v>-98.993186506117723</c:v>
                </c:pt>
                <c:pt idx="103">
                  <c:v>-99.035131774784631</c:v>
                </c:pt>
                <c:pt idx="104">
                  <c:v>-99.077677018050423</c:v>
                </c:pt>
                <c:pt idx="105">
                  <c:v>-99.121817791214582</c:v>
                </c:pt>
                <c:pt idx="106">
                  <c:v>-99.166551128510022</c:v>
                </c:pt>
                <c:pt idx="107">
                  <c:v>-99.212899165752958</c:v>
                </c:pt>
                <c:pt idx="108">
                  <c:v>-99.259831517632179</c:v>
                </c:pt>
                <c:pt idx="109">
                  <c:v>-99.308429258664816</c:v>
                </c:pt>
                <c:pt idx="110">
                  <c:v>-99.357603092070377</c:v>
                </c:pt>
                <c:pt idx="111">
                  <c:v>-99.408527697078554</c:v>
                </c:pt>
                <c:pt idx="112">
                  <c:v>-99.460020924837934</c:v>
                </c:pt>
                <c:pt idx="113">
                  <c:v>-99.513283507192639</c:v>
                </c:pt>
                <c:pt idx="114">
                  <c:v>-99.567106439546308</c:v>
                </c:pt>
                <c:pt idx="115">
                  <c:v>-99.622751081607262</c:v>
                </c:pt>
                <c:pt idx="116">
                  <c:v>-99.678947779444641</c:v>
                </c:pt>
                <c:pt idx="117">
                  <c:v>-99.737018965048875</c:v>
                </c:pt>
                <c:pt idx="118">
                  <c:v>-99.79563387803141</c:v>
                </c:pt>
                <c:pt idx="119">
                  <c:v>-99.856139558901475</c:v>
                </c:pt>
                <c:pt idx="120">
                  <c:v>-99.917179955131957</c:v>
                </c:pt>
                <c:pt idx="121">
                  <c:v>-99.980163286705562</c:v>
                </c:pt>
                <c:pt idx="122">
                  <c:v>-100.04367233691497</c:v>
                </c:pt>
                <c:pt idx="123">
                  <c:v>-100.10921491380199</c:v>
                </c:pt>
                <c:pt idx="124">
                  <c:v>-100.17527480606836</c:v>
                </c:pt>
                <c:pt idx="125">
                  <c:v>-100.24338345765194</c:v>
                </c:pt>
                <c:pt idx="126">
                  <c:v>-100.31200038436414</c:v>
                </c:pt>
                <c:pt idx="127">
                  <c:v>-100.38271900970989</c:v>
                </c:pt>
                <c:pt idx="128">
                  <c:v>-100.45393685807653</c:v>
                </c:pt>
                <c:pt idx="129">
                  <c:v>-100.52730951123606</c:v>
                </c:pt>
                <c:pt idx="130">
                  <c:v>-100.60117231671057</c:v>
                </c:pt>
                <c:pt idx="131">
                  <c:v>-100.67724315550097</c:v>
                </c:pt>
                <c:pt idx="132">
                  <c:v>-100.71545994204189</c:v>
                </c:pt>
                <c:pt idx="133">
                  <c:v>-100.75379505184512</c:v>
                </c:pt>
                <c:pt idx="134">
                  <c:v>-100.79316205592474</c:v>
                </c:pt>
                <c:pt idx="135">
                  <c:v>-100.83264910270677</c:v>
                </c:pt>
                <c:pt idx="136">
                  <c:v>-100.87225424309328</c:v>
                </c:pt>
                <c:pt idx="137">
                  <c:v>-100.9119755674937</c:v>
                </c:pt>
                <c:pt idx="138">
                  <c:v>-100.95271693863528</c:v>
                </c:pt>
                <c:pt idx="139">
                  <c:v>-100.99357591173349</c:v>
                </c:pt>
                <c:pt idx="140">
                  <c:v>-101.03455056612826</c:v>
                </c:pt>
                <c:pt idx="141">
                  <c:v>-101.0756390202618</c:v>
                </c:pt>
                <c:pt idx="142">
                  <c:v>-101.11781777742827</c:v>
                </c:pt>
                <c:pt idx="143">
                  <c:v>-101.16011192641737</c:v>
                </c:pt>
                <c:pt idx="144">
                  <c:v>-101.20251956971309</c:v>
                </c:pt>
                <c:pt idx="145">
                  <c:v>-101.24503884862297</c:v>
                </c:pt>
                <c:pt idx="146">
                  <c:v>-101.28865669477851</c:v>
                </c:pt>
                <c:pt idx="147">
                  <c:v>-101.33238759197428</c:v>
                </c:pt>
                <c:pt idx="148">
                  <c:v>-101.37622966930468</c:v>
                </c:pt>
                <c:pt idx="149">
                  <c:v>-101.42018109430256</c:v>
                </c:pt>
                <c:pt idx="150">
                  <c:v>-101.46526003469492</c:v>
                </c:pt>
                <c:pt idx="151">
                  <c:v>-101.51044967610775</c:v>
                </c:pt>
                <c:pt idx="152">
                  <c:v>-101.5557481747211</c:v>
                </c:pt>
                <c:pt idx="153">
                  <c:v>-101.60115372473996</c:v>
                </c:pt>
                <c:pt idx="154">
                  <c:v>-101.64773715894428</c:v>
                </c:pt>
                <c:pt idx="155">
                  <c:v>-101.69442903371062</c:v>
                </c:pt>
                <c:pt idx="156">
                  <c:v>-101.74122753026195</c:v>
                </c:pt>
                <c:pt idx="157">
                  <c:v>-101.78813086747191</c:v>
                </c:pt>
                <c:pt idx="158">
                  <c:v>-101.83624125146561</c:v>
                </c:pt>
                <c:pt idx="159">
                  <c:v>-101.88445779433673</c:v>
                </c:pt>
                <c:pt idx="160">
                  <c:v>-101.9327787029985</c:v>
                </c:pt>
                <c:pt idx="161">
                  <c:v>-101.98120222161258</c:v>
                </c:pt>
                <c:pt idx="162">
                  <c:v>-102.03084004491437</c:v>
                </c:pt>
                <c:pt idx="163">
                  <c:v>-102.08058163463676</c:v>
                </c:pt>
                <c:pt idx="164">
                  <c:v>-102.13042522627666</c:v>
                </c:pt>
                <c:pt idx="165">
                  <c:v>-102.18036909208382</c:v>
                </c:pt>
                <c:pt idx="166">
                  <c:v>-102.23160002254646</c:v>
                </c:pt>
                <c:pt idx="167">
                  <c:v>-102.28293249138406</c:v>
                </c:pt>
                <c:pt idx="168">
                  <c:v>-102.33436475853986</c:v>
                </c:pt>
                <c:pt idx="169">
                  <c:v>-102.38589512031564</c:v>
                </c:pt>
                <c:pt idx="170">
                  <c:v>-102.43863082411275</c:v>
                </c:pt>
                <c:pt idx="171">
                  <c:v>-102.49146539641271</c:v>
                </c:pt>
                <c:pt idx="172">
                  <c:v>-102.54439713296037</c:v>
                </c:pt>
                <c:pt idx="173">
                  <c:v>-102.59742436513319</c:v>
                </c:pt>
                <c:pt idx="174">
                  <c:v>-102.65188584518762</c:v>
                </c:pt>
                <c:pt idx="175">
                  <c:v>-102.70644425554121</c:v>
                </c:pt>
                <c:pt idx="176">
                  <c:v>-102.76109790882629</c:v>
                </c:pt>
                <c:pt idx="177">
                  <c:v>-102.81584515309672</c:v>
                </c:pt>
                <c:pt idx="178">
                  <c:v>-102.87203402135735</c:v>
                </c:pt>
                <c:pt idx="179">
                  <c:v>-102.92831773905692</c:v>
                </c:pt>
                <c:pt idx="180">
                  <c:v>-102.98469463910196</c:v>
                </c:pt>
                <c:pt idx="181">
                  <c:v>-103.04116308950366</c:v>
                </c:pt>
                <c:pt idx="182">
                  <c:v>-103.09885356723304</c:v>
                </c:pt>
                <c:pt idx="183">
                  <c:v>-103.1566359717893</c:v>
                </c:pt>
                <c:pt idx="184">
                  <c:v>-103.21450867833167</c:v>
                </c:pt>
                <c:pt idx="185">
                  <c:v>-103.27247009618084</c:v>
                </c:pt>
                <c:pt idx="186">
                  <c:v>-103.3321133725871</c:v>
                </c:pt>
                <c:pt idx="187">
                  <c:v>-103.39184700002446</c:v>
                </c:pt>
                <c:pt idx="188">
                  <c:v>-103.45166936001941</c:v>
                </c:pt>
                <c:pt idx="189">
                  <c:v>-103.51157886830734</c:v>
                </c:pt>
                <c:pt idx="190">
                  <c:v>-103.57271974105981</c:v>
                </c:pt>
                <c:pt idx="191">
                  <c:v>-103.6339479026846</c:v>
                </c:pt>
                <c:pt idx="192">
                  <c:v>-103.69526178040893</c:v>
                </c:pt>
                <c:pt idx="193">
                  <c:v>-103.75665983460298</c:v>
                </c:pt>
                <c:pt idx="194">
                  <c:v>-103.81975351068303</c:v>
                </c:pt>
                <c:pt idx="195">
                  <c:v>-103.88293265288405</c:v>
                </c:pt>
                <c:pt idx="196">
                  <c:v>-103.94619570045523</c:v>
                </c:pt>
                <c:pt idx="197">
                  <c:v>-104.0095411256531</c:v>
                </c:pt>
                <c:pt idx="198">
                  <c:v>-104.07435722396757</c:v>
                </c:pt>
                <c:pt idx="199">
                  <c:v>-104.13925622318897</c:v>
                </c:pt>
                <c:pt idx="200">
                  <c:v>-104.20423659422406</c:v>
                </c:pt>
                <c:pt idx="201">
                  <c:v>-104.26929684029034</c:v>
                </c:pt>
                <c:pt idx="202">
                  <c:v>-104.33583217186739</c:v>
                </c:pt>
                <c:pt idx="203">
                  <c:v>-104.40244778108767</c:v>
                </c:pt>
                <c:pt idx="204">
                  <c:v>-104.46914217179174</c:v>
                </c:pt>
                <c:pt idx="205">
                  <c:v>-104.5359138793857</c:v>
                </c:pt>
                <c:pt idx="206">
                  <c:v>-104.60439853927041</c:v>
                </c:pt>
                <c:pt idx="207">
                  <c:v>-104.67296133311287</c:v>
                </c:pt>
                <c:pt idx="208">
                  <c:v>-104.7416007837691</c:v>
                </c:pt>
                <c:pt idx="209">
                  <c:v>-104.81031544529363</c:v>
                </c:pt>
                <c:pt idx="210">
                  <c:v>-104.88098310697622</c:v>
                </c:pt>
                <c:pt idx="211">
                  <c:v>-104.95172714662834</c:v>
                </c:pt>
                <c:pt idx="212">
                  <c:v>-105.02254609402257</c:v>
                </c:pt>
                <c:pt idx="213">
                  <c:v>-105.09343851009422</c:v>
                </c:pt>
                <c:pt idx="214">
                  <c:v>-105.16581828340674</c:v>
                </c:pt>
                <c:pt idx="215">
                  <c:v>-105.23827155515397</c:v>
                </c:pt>
                <c:pt idx="216">
                  <c:v>-105.31079689334722</c:v>
                </c:pt>
                <c:pt idx="217">
                  <c:v>-105.38339289623113</c:v>
                </c:pt>
                <c:pt idx="218">
                  <c:v>-105.4577158522502</c:v>
                </c:pt>
                <c:pt idx="219">
                  <c:v>-105.53210985928719</c:v>
                </c:pt>
                <c:pt idx="220">
                  <c:v>-105.60657351043771</c:v>
                </c:pt>
                <c:pt idx="221">
                  <c:v>-105.68110542845825</c:v>
                </c:pt>
                <c:pt idx="222">
                  <c:v>-105.75736804869538</c:v>
                </c:pt>
                <c:pt idx="223">
                  <c:v>-105.83369919416555</c:v>
                </c:pt>
                <c:pt idx="224">
                  <c:v>-105.91009748446403</c:v>
                </c:pt>
                <c:pt idx="225">
                  <c:v>-105.98656156822375</c:v>
                </c:pt>
                <c:pt idx="226">
                  <c:v>-106.0649981881824</c:v>
                </c:pt>
                <c:pt idx="227">
                  <c:v>-106.14350113757344</c:v>
                </c:pt>
                <c:pt idx="228">
                  <c:v>-106.22206905135539</c:v>
                </c:pt>
                <c:pt idx="229">
                  <c:v>-106.30070059320033</c:v>
                </c:pt>
                <c:pt idx="230">
                  <c:v>-106.46198091468389</c:v>
                </c:pt>
                <c:pt idx="231">
                  <c:v>-106.5427157440879</c:v>
                </c:pt>
                <c:pt idx="232">
                  <c:v>-106.62351191758641</c:v>
                </c:pt>
                <c:pt idx="233">
                  <c:v>-106.70628829847062</c:v>
                </c:pt>
                <c:pt idx="234">
                  <c:v>-106.78912626020904</c:v>
                </c:pt>
                <c:pt idx="235">
                  <c:v>-106.87202447472072</c:v>
                </c:pt>
                <c:pt idx="236">
                  <c:v>-106.95498164178166</c:v>
                </c:pt>
                <c:pt idx="237">
                  <c:v>-107.03968143576571</c:v>
                </c:pt>
                <c:pt idx="238">
                  <c:v>-107.12443994971613</c:v>
                </c:pt>
                <c:pt idx="239">
                  <c:v>-107.20925588751214</c:v>
                </c:pt>
                <c:pt idx="240">
                  <c:v>-107.29412798007064</c:v>
                </c:pt>
                <c:pt idx="241">
                  <c:v>-107.38122712282573</c:v>
                </c:pt>
                <c:pt idx="242">
                  <c:v>-107.46838270896745</c:v>
                </c:pt>
                <c:pt idx="243">
                  <c:v>-107.55559345342367</c:v>
                </c:pt>
                <c:pt idx="244">
                  <c:v>-107.64285809790812</c:v>
                </c:pt>
                <c:pt idx="245">
                  <c:v>-107.73211100713098</c:v>
                </c:pt>
                <c:pt idx="246">
                  <c:v>-107.82141765581312</c:v>
                </c:pt>
                <c:pt idx="247">
                  <c:v>-107.91077678226053</c:v>
                </c:pt>
                <c:pt idx="248">
                  <c:v>-108.0001871509595</c:v>
                </c:pt>
                <c:pt idx="249">
                  <c:v>-108.09183012785279</c:v>
                </c:pt>
                <c:pt idx="250">
                  <c:v>-108.1835243336142</c:v>
                </c:pt>
                <c:pt idx="251">
                  <c:v>-108.27526852097633</c:v>
                </c:pt>
                <c:pt idx="252">
                  <c:v>-108.36706146848269</c:v>
                </c:pt>
                <c:pt idx="253">
                  <c:v>-108.46084619970983</c:v>
                </c:pt>
                <c:pt idx="254">
                  <c:v>-108.55467928176853</c:v>
                </c:pt>
                <c:pt idx="255">
                  <c:v>-108.64855949284971</c:v>
                </c:pt>
                <c:pt idx="256">
                  <c:v>-108.74248563627219</c:v>
                </c:pt>
                <c:pt idx="257">
                  <c:v>-108.83889160362257</c:v>
                </c:pt>
                <c:pt idx="258">
                  <c:v>-108.93534344068684</c:v>
                </c:pt>
                <c:pt idx="259">
                  <c:v>-109.03183993336648</c:v>
                </c:pt>
                <c:pt idx="260">
                  <c:v>-109.12837989248224</c:v>
                </c:pt>
                <c:pt idx="261">
                  <c:v>-109.22715768710708</c:v>
                </c:pt>
                <c:pt idx="262">
                  <c:v>-109.325978507286</c:v>
                </c:pt>
                <c:pt idx="263">
                  <c:v>-109.42484115742762</c:v>
                </c:pt>
                <c:pt idx="264">
                  <c:v>-109.52374446634231</c:v>
                </c:pt>
                <c:pt idx="265">
                  <c:v>-109.62488645603672</c:v>
                </c:pt>
                <c:pt idx="266">
                  <c:v>-109.72606853198707</c:v>
                </c:pt>
                <c:pt idx="267">
                  <c:v>-109.82728951799018</c:v>
                </c:pt>
                <c:pt idx="268">
                  <c:v>-109.92854826169477</c:v>
                </c:pt>
                <c:pt idx="269">
                  <c:v>-110.03229082585287</c:v>
                </c:pt>
                <c:pt idx="270">
                  <c:v>-110.13607062109836</c:v>
                </c:pt>
                <c:pt idx="271">
                  <c:v>-110.23988648315616</c:v>
                </c:pt>
                <c:pt idx="272">
                  <c:v>-110.34373727124259</c:v>
                </c:pt>
                <c:pt idx="273">
                  <c:v>-110.45007237494502</c:v>
                </c:pt>
                <c:pt idx="274">
                  <c:v>-110.55644172557081</c:v>
                </c:pt>
                <c:pt idx="275">
                  <c:v>-110.66284417206093</c:v>
                </c:pt>
                <c:pt idx="276">
                  <c:v>-110.76927858644143</c:v>
                </c:pt>
                <c:pt idx="277">
                  <c:v>-110.8779519873482</c:v>
                </c:pt>
                <c:pt idx="278">
                  <c:v>-110.98665639172708</c:v>
                </c:pt>
                <c:pt idx="279">
                  <c:v>-111.09539067038794</c:v>
                </c:pt>
                <c:pt idx="280">
                  <c:v>-111.20415371657886</c:v>
                </c:pt>
                <c:pt idx="281">
                  <c:v>-111.31589174761342</c:v>
                </c:pt>
                <c:pt idx="282">
                  <c:v>-111.42765782922862</c:v>
                </c:pt>
                <c:pt idx="283">
                  <c:v>-111.53945083223429</c:v>
                </c:pt>
                <c:pt idx="284">
                  <c:v>-111.65126964980055</c:v>
                </c:pt>
                <c:pt idx="285">
                  <c:v>-111.76532572894699</c:v>
                </c:pt>
                <c:pt idx="286">
                  <c:v>-111.87940639754517</c:v>
                </c:pt>
                <c:pt idx="287">
                  <c:v>-111.9935105497694</c:v>
                </c:pt>
                <c:pt idx="288">
                  <c:v>-112.10763710145004</c:v>
                </c:pt>
                <c:pt idx="289">
                  <c:v>-112.22473736369423</c:v>
                </c:pt>
                <c:pt idx="290">
                  <c:v>-112.34185895494964</c:v>
                </c:pt>
                <c:pt idx="291">
                  <c:v>-112.45900077198667</c:v>
                </c:pt>
                <c:pt idx="292">
                  <c:v>-112.57616173306245</c:v>
                </c:pt>
                <c:pt idx="293">
                  <c:v>-112.69604890186676</c:v>
                </c:pt>
                <c:pt idx="294">
                  <c:v>-112.81595388532173</c:v>
                </c:pt>
                <c:pt idx="295">
                  <c:v>-112.93587559103982</c:v>
                </c:pt>
                <c:pt idx="296">
                  <c:v>-113.05581294772482</c:v>
                </c:pt>
                <c:pt idx="297">
                  <c:v>-113.17847445226876</c:v>
                </c:pt>
                <c:pt idx="298">
                  <c:v>-113.30115012208216</c:v>
                </c:pt>
                <c:pt idx="299">
                  <c:v>-113.4238388764005</c:v>
                </c:pt>
                <c:pt idx="300">
                  <c:v>-113.54653965512728</c:v>
                </c:pt>
                <c:pt idx="301">
                  <c:v>-113.67196203526348</c:v>
                </c:pt>
                <c:pt idx="302">
                  <c:v>-113.7973948012062</c:v>
                </c:pt>
                <c:pt idx="303">
                  <c:v>-113.92283688443052</c:v>
                </c:pt>
                <c:pt idx="304">
                  <c:v>-114.04828723663398</c:v>
                </c:pt>
                <c:pt idx="305">
                  <c:v>-114.17694913647169</c:v>
                </c:pt>
                <c:pt idx="306">
                  <c:v>-114.30561756277383</c:v>
                </c:pt>
                <c:pt idx="307">
                  <c:v>-114.43429144761325</c:v>
                </c:pt>
                <c:pt idx="308">
                  <c:v>-114.56296974312447</c:v>
                </c:pt>
                <c:pt idx="309">
                  <c:v>-114.69436313287541</c:v>
                </c:pt>
                <c:pt idx="310">
                  <c:v>-114.82575897479605</c:v>
                </c:pt>
                <c:pt idx="311">
                  <c:v>-114.95715621470616</c:v>
                </c:pt>
                <c:pt idx="312">
                  <c:v>-115.08855381799258</c:v>
                </c:pt>
                <c:pt idx="313">
                  <c:v>-115.22315555618627</c:v>
                </c:pt>
                <c:pt idx="314">
                  <c:v>-115.35775553854108</c:v>
                </c:pt>
                <c:pt idx="315">
                  <c:v>-115.49235271340326</c:v>
                </c:pt>
                <c:pt idx="316">
                  <c:v>-115.62694604846465</c:v>
                </c:pt>
                <c:pt idx="317">
                  <c:v>-115.76473895054154</c:v>
                </c:pt>
                <c:pt idx="318">
                  <c:v>-115.90252569786723</c:v>
                </c:pt>
                <c:pt idx="319">
                  <c:v>-116.04030524235998</c:v>
                </c:pt>
                <c:pt idx="320">
                  <c:v>-116.17807655502962</c:v>
                </c:pt>
                <c:pt idx="321">
                  <c:v>-116.31904227659233</c:v>
                </c:pt>
                <c:pt idx="322">
                  <c:v>-116.45999725820877</c:v>
                </c:pt>
                <c:pt idx="323">
                  <c:v>-116.60094045627234</c:v>
                </c:pt>
                <c:pt idx="324">
                  <c:v>-116.74187084598991</c:v>
                </c:pt>
                <c:pt idx="325">
                  <c:v>-116.88598990198417</c:v>
                </c:pt>
                <c:pt idx="326">
                  <c:v>-117.03009345078608</c:v>
                </c:pt>
                <c:pt idx="327">
                  <c:v>-117.17418045404267</c:v>
                </c:pt>
                <c:pt idx="328">
                  <c:v>-117.3182498919151</c:v>
                </c:pt>
                <c:pt idx="329">
                  <c:v>-117.46574789820484</c:v>
                </c:pt>
                <c:pt idx="330">
                  <c:v>-117.61322538167957</c:v>
                </c:pt>
                <c:pt idx="331">
                  <c:v>-117.76068130476673</c:v>
                </c:pt>
                <c:pt idx="332">
                  <c:v>-117.90811464821529</c:v>
                </c:pt>
                <c:pt idx="333">
                  <c:v>-118.05872335200226</c:v>
                </c:pt>
                <c:pt idx="334">
                  <c:v>-118.20930639088006</c:v>
                </c:pt>
                <c:pt idx="335">
                  <c:v>-118.35986273403408</c:v>
                </c:pt>
                <c:pt idx="336">
                  <c:v>-118.51039136864091</c:v>
                </c:pt>
                <c:pt idx="337">
                  <c:v>-118.66457965449541</c:v>
                </c:pt>
                <c:pt idx="338">
                  <c:v>-118.81873676060538</c:v>
                </c:pt>
                <c:pt idx="339">
                  <c:v>-118.97286165363045</c:v>
                </c:pt>
                <c:pt idx="340">
                  <c:v>-119.12695331810833</c:v>
                </c:pt>
                <c:pt idx="341">
                  <c:v>-119.2846959133001</c:v>
                </c:pt>
                <c:pt idx="342">
                  <c:v>-119.44240157182088</c:v>
                </c:pt>
                <c:pt idx="343">
                  <c:v>-119.60006925893609</c:v>
                </c:pt>
                <c:pt idx="344">
                  <c:v>-119.75769795765676</c:v>
                </c:pt>
                <c:pt idx="345">
                  <c:v>-119.91872272930996</c:v>
                </c:pt>
                <c:pt idx="346">
                  <c:v>-120.07970470157261</c:v>
                </c:pt>
                <c:pt idx="347">
                  <c:v>-120.24064284404942</c:v>
                </c:pt>
                <c:pt idx="348">
                  <c:v>-120.4015361438347</c:v>
                </c:pt>
                <c:pt idx="349">
                  <c:v>-120.56630613296311</c:v>
                </c:pt>
                <c:pt idx="350">
                  <c:v>-120.73102696792813</c:v>
                </c:pt>
                <c:pt idx="351">
                  <c:v>-120.89569761420158</c:v>
                </c:pt>
                <c:pt idx="352">
                  <c:v>-121.06031705469067</c:v>
                </c:pt>
                <c:pt idx="353">
                  <c:v>-121.22880191239057</c:v>
                </c:pt>
                <c:pt idx="354">
                  <c:v>-121.39723099350087</c:v>
                </c:pt>
                <c:pt idx="355">
                  <c:v>-121.56560326061174</c:v>
                </c:pt>
                <c:pt idx="356">
                  <c:v>-121.73391769367969</c:v>
                </c:pt>
                <c:pt idx="357">
                  <c:v>-121.90584099008153</c:v>
                </c:pt>
                <c:pt idx="358">
                  <c:v>-122.07770180356826</c:v>
                </c:pt>
                <c:pt idx="359">
                  <c:v>-122.24949909944529</c:v>
                </c:pt>
                <c:pt idx="360">
                  <c:v>-122.42123186020643</c:v>
                </c:pt>
                <c:pt idx="361">
                  <c:v>-122.59704953533382</c:v>
                </c:pt>
                <c:pt idx="362">
                  <c:v>-122.77279740951462</c:v>
                </c:pt>
                <c:pt idx="363">
                  <c:v>-122.9484744430909</c:v>
                </c:pt>
                <c:pt idx="364">
                  <c:v>-123.12407961360537</c:v>
                </c:pt>
                <c:pt idx="365">
                  <c:v>-123.3035117979732</c:v>
                </c:pt>
                <c:pt idx="366">
                  <c:v>-123.48286678262473</c:v>
                </c:pt>
                <c:pt idx="367">
                  <c:v>-123.66214352860226</c:v>
                </c:pt>
                <c:pt idx="368">
                  <c:v>-123.84134101405961</c:v>
                </c:pt>
                <c:pt idx="369">
                  <c:v>-124.02483780414894</c:v>
                </c:pt>
                <c:pt idx="370">
                  <c:v>-124.2082492917235</c:v>
                </c:pt>
                <c:pt idx="371">
                  <c:v>-124.39157443148451</c:v>
                </c:pt>
                <c:pt idx="372">
                  <c:v>-124.57481219533724</c:v>
                </c:pt>
                <c:pt idx="373">
                  <c:v>-124.76208990797748</c:v>
                </c:pt>
                <c:pt idx="374">
                  <c:v>-124.94927413949688</c:v>
                </c:pt>
                <c:pt idx="375">
                  <c:v>-125.13636384403706</c:v>
                </c:pt>
                <c:pt idx="376">
                  <c:v>-125.32335799294094</c:v>
                </c:pt>
                <c:pt idx="377">
                  <c:v>-125.51486012364373</c:v>
                </c:pt>
                <c:pt idx="378">
                  <c:v>-125.70625979825407</c:v>
                </c:pt>
                <c:pt idx="379">
                  <c:v>-125.89755596396057</c:v>
                </c:pt>
                <c:pt idx="380">
                  <c:v>-126.08874758532515</c:v>
                </c:pt>
                <c:pt idx="381">
                  <c:v>-126.28394445469756</c:v>
                </c:pt>
                <c:pt idx="382">
                  <c:v>-126.47903010159352</c:v>
                </c:pt>
                <c:pt idx="383">
                  <c:v>-126.67400347608263</c:v>
                </c:pt>
                <c:pt idx="384">
                  <c:v>-126.86886354560629</c:v>
                </c:pt>
                <c:pt idx="385">
                  <c:v>-127.06843424691796</c:v>
                </c:pt>
                <c:pt idx="386">
                  <c:v>-127.26788381634304</c:v>
                </c:pt>
                <c:pt idx="387">
                  <c:v>-127.46721119709292</c:v>
                </c:pt>
                <c:pt idx="388">
                  <c:v>-127.66641535000895</c:v>
                </c:pt>
                <c:pt idx="389">
                  <c:v>-127.87006756766567</c:v>
                </c:pt>
                <c:pt idx="390">
                  <c:v>-128.07358868529369</c:v>
                </c:pt>
                <c:pt idx="391">
                  <c:v>-128.27697764543967</c:v>
                </c:pt>
                <c:pt idx="392">
                  <c:v>-128.48023340845515</c:v>
                </c:pt>
                <c:pt idx="393">
                  <c:v>-128.6879152346543</c:v>
                </c:pt>
                <c:pt idx="394">
                  <c:v>-128.89545567100771</c:v>
                </c:pt>
                <c:pt idx="395">
                  <c:v>-129.10285366172883</c:v>
                </c:pt>
                <c:pt idx="396">
                  <c:v>-129.31010816901551</c:v>
                </c:pt>
                <c:pt idx="397">
                  <c:v>-129.52224447171969</c:v>
                </c:pt>
                <c:pt idx="398">
                  <c:v>-129.73422809191507</c:v>
                </c:pt>
                <c:pt idx="399">
                  <c:v>-129.94605797083162</c:v>
                </c:pt>
                <c:pt idx="400">
                  <c:v>-130.1577330680347</c:v>
                </c:pt>
                <c:pt idx="401">
                  <c:v>-130.37402525690129</c:v>
                </c:pt>
                <c:pt idx="402">
                  <c:v>-130.59015345409171</c:v>
                </c:pt>
                <c:pt idx="403">
                  <c:v>-130.80611660440752</c:v>
                </c:pt>
                <c:pt idx="404">
                  <c:v>-131.02191367126045</c:v>
                </c:pt>
                <c:pt idx="405">
                  <c:v>-131.24253969235187</c:v>
                </c:pt>
                <c:pt idx="406">
                  <c:v>-131.46298970419045</c:v>
                </c:pt>
                <c:pt idx="407">
                  <c:v>-131.6832626547604</c:v>
                </c:pt>
                <c:pt idx="408">
                  <c:v>-131.90335751102015</c:v>
                </c:pt>
                <c:pt idx="409">
                  <c:v>-132.12849021853924</c:v>
                </c:pt>
                <c:pt idx="410">
                  <c:v>-132.35343414669268</c:v>
                </c:pt>
                <c:pt idx="411">
                  <c:v>-132.57818824678031</c:v>
                </c:pt>
                <c:pt idx="412">
                  <c:v>-132.80275148952828</c:v>
                </c:pt>
                <c:pt idx="413">
                  <c:v>-133.03232202516352</c:v>
                </c:pt>
                <c:pt idx="414">
                  <c:v>-133.26169063264675</c:v>
                </c:pt>
                <c:pt idx="415">
                  <c:v>-133.49085627046577</c:v>
                </c:pt>
                <c:pt idx="416">
                  <c:v>-133.71981791699372</c:v>
                </c:pt>
                <c:pt idx="417">
                  <c:v>-133.95399061744698</c:v>
                </c:pt>
                <c:pt idx="418">
                  <c:v>-134.18794744417337</c:v>
                </c:pt>
                <c:pt idx="419">
                  <c:v>-134.42168736383934</c:v>
                </c:pt>
                <c:pt idx="420">
                  <c:v>-134.65520936354415</c:v>
                </c:pt>
                <c:pt idx="421">
                  <c:v>-134.89367361665148</c:v>
                </c:pt>
                <c:pt idx="422">
                  <c:v>-135.13190812070056</c:v>
                </c:pt>
                <c:pt idx="423">
                  <c:v>-135.36991185809893</c:v>
                </c:pt>
                <c:pt idx="424">
                  <c:v>-135.60768383215756</c:v>
                </c:pt>
                <c:pt idx="425">
                  <c:v>-135.85106508618406</c:v>
                </c:pt>
                <c:pt idx="426">
                  <c:v>-136.09420097830798</c:v>
                </c:pt>
                <c:pt idx="427">
                  <c:v>-136.3370905025923</c:v>
                </c:pt>
                <c:pt idx="428">
                  <c:v>-136.57973267472809</c:v>
                </c:pt>
                <c:pt idx="429">
                  <c:v>-136.82771192674983</c:v>
                </c:pt>
                <c:pt idx="430">
                  <c:v>-137.07543027355786</c:v>
                </c:pt>
                <c:pt idx="431">
                  <c:v>-137.32288672930909</c:v>
                </c:pt>
                <c:pt idx="432">
                  <c:v>-137.57008033043206</c:v>
                </c:pt>
                <c:pt idx="433">
                  <c:v>-137.82257170408926</c:v>
                </c:pt>
                <c:pt idx="434">
                  <c:v>-138.07478627480967</c:v>
                </c:pt>
                <c:pt idx="435">
                  <c:v>-138.32672308247481</c:v>
                </c:pt>
                <c:pt idx="436">
                  <c:v>-138.57838118988212</c:v>
                </c:pt>
                <c:pt idx="437">
                  <c:v>-138.8357579477555</c:v>
                </c:pt>
                <c:pt idx="438">
                  <c:v>-139.09284062222486</c:v>
                </c:pt>
                <c:pt idx="439">
                  <c:v>-139.34962827981937</c:v>
                </c:pt>
                <c:pt idx="440">
                  <c:v>-139.60612001079704</c:v>
                </c:pt>
                <c:pt idx="441">
                  <c:v>-139.86828543240941</c:v>
                </c:pt>
                <c:pt idx="442">
                  <c:v>-140.13013911250209</c:v>
                </c:pt>
                <c:pt idx="443">
                  <c:v>-140.39168015112543</c:v>
                </c:pt>
                <c:pt idx="444">
                  <c:v>-140.65290767286507</c:v>
                </c:pt>
                <c:pt idx="445">
                  <c:v>-140.91976259214226</c:v>
                </c:pt>
                <c:pt idx="446">
                  <c:v>-141.18628776815609</c:v>
                </c:pt>
                <c:pt idx="447">
                  <c:v>-141.45248234163398</c:v>
                </c:pt>
                <c:pt idx="448">
                  <c:v>-141.71834547863492</c:v>
                </c:pt>
                <c:pt idx="449">
                  <c:v>-141.99024320333146</c:v>
                </c:pt>
                <c:pt idx="450">
                  <c:v>-142.26179170632204</c:v>
                </c:pt>
                <c:pt idx="451">
                  <c:v>-142.53299017240727</c:v>
                </c:pt>
                <c:pt idx="452">
                  <c:v>-142.80383781267423</c:v>
                </c:pt>
                <c:pt idx="453">
                  <c:v>-143.08044142293173</c:v>
                </c:pt>
                <c:pt idx="454">
                  <c:v>-143.35667658901508</c:v>
                </c:pt>
                <c:pt idx="455">
                  <c:v>-143.63254255017659</c:v>
                </c:pt>
                <c:pt idx="456">
                  <c:v>-143.90803857280258</c:v>
                </c:pt>
                <c:pt idx="457">
                  <c:v>-144.18968860400463</c:v>
                </c:pt>
                <c:pt idx="458">
                  <c:v>-144.47094945938929</c:v>
                </c:pt>
                <c:pt idx="459">
                  <c:v>-144.75182043772358</c:v>
                </c:pt>
                <c:pt idx="460">
                  <c:v>-145.03230086590614</c:v>
                </c:pt>
                <c:pt idx="461">
                  <c:v>-145.31887833011322</c:v>
                </c:pt>
                <c:pt idx="462">
                  <c:v>-145.60504559003149</c:v>
                </c:pt>
                <c:pt idx="463">
                  <c:v>-145.89080201348989</c:v>
                </c:pt>
                <c:pt idx="464">
                  <c:v>-146.17614699741037</c:v>
                </c:pt>
                <c:pt idx="465">
                  <c:v>-146.46775313794706</c:v>
                </c:pt>
                <c:pt idx="466">
                  <c:v>-146.75892714007495</c:v>
                </c:pt>
                <c:pt idx="467">
                  <c:v>-147.04966844923968</c:v>
                </c:pt>
                <c:pt idx="468">
                  <c:v>-147.33997654098812</c:v>
                </c:pt>
                <c:pt idx="469">
                  <c:v>-147.63648418146553</c:v>
                </c:pt>
                <c:pt idx="470">
                  <c:v>-147.93253751977988</c:v>
                </c:pt>
                <c:pt idx="471">
                  <c:v>-148.22813608952097</c:v>
                </c:pt>
                <c:pt idx="472">
                  <c:v>-148.52327945533369</c:v>
                </c:pt>
                <c:pt idx="473">
                  <c:v>-148.82499895886366</c:v>
                </c:pt>
                <c:pt idx="474">
                  <c:v>-149.12624043186693</c:v>
                </c:pt>
                <c:pt idx="475">
                  <c:v>-149.42700350524217</c:v>
                </c:pt>
                <c:pt idx="476">
                  <c:v>-149.72728784201769</c:v>
                </c:pt>
                <c:pt idx="477">
                  <c:v>-150.034079961125</c:v>
                </c:pt>
                <c:pt idx="478">
                  <c:v>-150.34037013844238</c:v>
                </c:pt>
                <c:pt idx="479">
                  <c:v>-150.64615811420046</c:v>
                </c:pt>
                <c:pt idx="480">
                  <c:v>-150.9514436617558</c:v>
                </c:pt>
                <c:pt idx="481">
                  <c:v>-151.26316734668626</c:v>
                </c:pt>
                <c:pt idx="482">
                  <c:v>-151.57436506399486</c:v>
                </c:pt>
                <c:pt idx="483">
                  <c:v>-151.88503667539987</c:v>
                </c:pt>
                <c:pt idx="484">
                  <c:v>-152.19518207665118</c:v>
                </c:pt>
                <c:pt idx="485">
                  <c:v>-152.51191021319016</c:v>
                </c:pt>
                <c:pt idx="486">
                  <c:v>-152.82808756255784</c:v>
                </c:pt>
                <c:pt idx="487">
                  <c:v>-153.14371412019804</c:v>
                </c:pt>
                <c:pt idx="488">
                  <c:v>-153.45878991648422</c:v>
                </c:pt>
                <c:pt idx="489">
                  <c:v>-153.78080209087807</c:v>
                </c:pt>
                <c:pt idx="490">
                  <c:v>-154.10223712084911</c:v>
                </c:pt>
                <c:pt idx="491">
                  <c:v>-154.42309514907646</c:v>
                </c:pt>
                <c:pt idx="492">
                  <c:v>-154.74337635413809</c:v>
                </c:pt>
                <c:pt idx="493">
                  <c:v>-155.07051402056135</c:v>
                </c:pt>
                <c:pt idx="494">
                  <c:v>-155.39704819545264</c:v>
                </c:pt>
                <c:pt idx="495">
                  <c:v>-155.72297918294683</c:v>
                </c:pt>
                <c:pt idx="496">
                  <c:v>-156.04830732391</c:v>
                </c:pt>
                <c:pt idx="497">
                  <c:v>-156.38062170944082</c:v>
                </c:pt>
                <c:pt idx="498">
                  <c:v>-156.71230555265311</c:v>
                </c:pt>
                <c:pt idx="499">
                  <c:v>-157.04335933422087</c:v>
                </c:pt>
                <c:pt idx="500">
                  <c:v>-157.37378357232686</c:v>
                </c:pt>
                <c:pt idx="501">
                  <c:v>-157.71131883597087</c:v>
                </c:pt>
                <c:pt idx="502">
                  <c:v>-158.04819584598999</c:v>
                </c:pt>
                <c:pt idx="503">
                  <c:v>-158.38441527559675</c:v>
                </c:pt>
                <c:pt idx="504">
                  <c:v>-158.71997783621507</c:v>
                </c:pt>
                <c:pt idx="505">
                  <c:v>-159.06256363866399</c:v>
                </c:pt>
                <c:pt idx="506">
                  <c:v>-159.4044636973677</c:v>
                </c:pt>
                <c:pt idx="507">
                  <c:v>-159.74567889332425</c:v>
                </c:pt>
                <c:pt idx="508">
                  <c:v>-160.08621014626056</c:v>
                </c:pt>
                <c:pt idx="509">
                  <c:v>-160.43388192590083</c:v>
                </c:pt>
                <c:pt idx="510">
                  <c:v>-160.78083994563232</c:v>
                </c:pt>
                <c:pt idx="511">
                  <c:v>-161.12708531115501</c:v>
                </c:pt>
                <c:pt idx="512">
                  <c:v>-161.4726191673069</c:v>
                </c:pt>
                <c:pt idx="513">
                  <c:v>-161.82561010364381</c:v>
                </c:pt>
                <c:pt idx="514">
                  <c:v>-162.17785793999784</c:v>
                </c:pt>
                <c:pt idx="515">
                  <c:v>-162.52936402684068</c:v>
                </c:pt>
                <c:pt idx="516">
                  <c:v>-162.88012975415469</c:v>
                </c:pt>
                <c:pt idx="517">
                  <c:v>-163.23825497042324</c:v>
                </c:pt>
                <c:pt idx="518">
                  <c:v>-163.59560820120674</c:v>
                </c:pt>
                <c:pt idx="519">
                  <c:v>-163.95219105826837</c:v>
                </c:pt>
                <c:pt idx="520">
                  <c:v>-164.3080051930142</c:v>
                </c:pt>
                <c:pt idx="521">
                  <c:v>-164.67128142209771</c:v>
                </c:pt>
                <c:pt idx="522">
                  <c:v>-165.03375646266909</c:v>
                </c:pt>
                <c:pt idx="523">
                  <c:v>-165.39543220688788</c:v>
                </c:pt>
                <c:pt idx="524">
                  <c:v>-165.75631058652206</c:v>
                </c:pt>
                <c:pt idx="525">
                  <c:v>-166.12474889450939</c:v>
                </c:pt>
                <c:pt idx="526">
                  <c:v>-166.49235657703019</c:v>
                </c:pt>
                <c:pt idx="527">
                  <c:v>-166.8591358263624</c:v>
                </c:pt>
                <c:pt idx="528">
                  <c:v>-167.22508887417544</c:v>
                </c:pt>
                <c:pt idx="529">
                  <c:v>-167.59869499587316</c:v>
                </c:pt>
                <c:pt idx="530">
                  <c:v>-167.97144091215733</c:v>
                </c:pt>
                <c:pt idx="531">
                  <c:v>-168.34332913570782</c:v>
                </c:pt>
                <c:pt idx="532">
                  <c:v>-168.71436221817518</c:v>
                </c:pt>
                <c:pt idx="533">
                  <c:v>-169.09333225057148</c:v>
                </c:pt>
                <c:pt idx="534">
                  <c:v>-169.47141153533931</c:v>
                </c:pt>
                <c:pt idx="535">
                  <c:v>-169.84860293079231</c:v>
                </c:pt>
                <c:pt idx="536">
                  <c:v>-170.22490933365452</c:v>
                </c:pt>
                <c:pt idx="537">
                  <c:v>-170.60884702692582</c:v>
                </c:pt>
                <c:pt idx="538">
                  <c:v>-170.99186533272021</c:v>
                </c:pt>
                <c:pt idx="539">
                  <c:v>-171.37396746737113</c:v>
                </c:pt>
                <c:pt idx="540">
                  <c:v>-171.75515668467074</c:v>
                </c:pt>
                <c:pt idx="541">
                  <c:v>-172.1444429909279</c:v>
                </c:pt>
                <c:pt idx="542">
                  <c:v>-172.53277958598204</c:v>
                </c:pt>
                <c:pt idx="543">
                  <c:v>-172.92017007550314</c:v>
                </c:pt>
                <c:pt idx="544">
                  <c:v>-173.30661810157039</c:v>
                </c:pt>
                <c:pt idx="545">
                  <c:v>-173.70104622858403</c:v>
                </c:pt>
                <c:pt idx="546">
                  <c:v>-174.09449554946403</c:v>
                </c:pt>
                <c:pt idx="547">
                  <c:v>-174.48697007629667</c:v>
                </c:pt>
                <c:pt idx="548">
                  <c:v>-174.87847385619389</c:v>
                </c:pt>
                <c:pt idx="549">
                  <c:v>-175.2780293290183</c:v>
                </c:pt>
                <c:pt idx="550">
                  <c:v>-175.67657732398558</c:v>
                </c:pt>
                <c:pt idx="551">
                  <c:v>-176.07412228176386</c:v>
                </c:pt>
                <c:pt idx="552">
                  <c:v>-176.47066867639722</c:v>
                </c:pt>
                <c:pt idx="553">
                  <c:v>-176.87552057090682</c:v>
                </c:pt>
                <c:pt idx="554">
                  <c:v>-177.27933592224056</c:v>
                </c:pt>
                <c:pt idx="555">
                  <c:v>-177.68211962880832</c:v>
                </c:pt>
                <c:pt idx="556">
                  <c:v>-178.08387662053391</c:v>
                </c:pt>
                <c:pt idx="557">
                  <c:v>-178.90305948247891</c:v>
                </c:pt>
                <c:pt idx="558">
                  <c:v>-179.71800426680429</c:v>
                </c:pt>
                <c:pt idx="559">
                  <c:v>-180.54728901136508</c:v>
                </c:pt>
                <c:pt idx="560">
                  <c:v>-181.37223146451853</c:v>
                </c:pt>
                <c:pt idx="561">
                  <c:v>-182.2122977357462</c:v>
                </c:pt>
                <c:pt idx="562">
                  <c:v>-183.04791403441951</c:v>
                </c:pt>
                <c:pt idx="563">
                  <c:v>-183.89692142646135</c:v>
                </c:pt>
                <c:pt idx="564">
                  <c:v>-184.74139500711672</c:v>
                </c:pt>
                <c:pt idx="565">
                  <c:v>-185.60250945239068</c:v>
                </c:pt>
                <c:pt idx="566">
                  <c:v>-186.45897750396327</c:v>
                </c:pt>
                <c:pt idx="567">
                  <c:v>-187.33175047391794</c:v>
                </c:pt>
                <c:pt idx="568">
                  <c:v>-188.1997748838167</c:v>
                </c:pt>
                <c:pt idx="569">
                  <c:v>-189.08033598603166</c:v>
                </c:pt>
                <c:pt idx="570">
                  <c:v>-189.95609504513004</c:v>
                </c:pt>
                <c:pt idx="571">
                  <c:v>-190.85096669595285</c:v>
                </c:pt>
                <c:pt idx="572">
                  <c:v>-191.74091933162796</c:v>
                </c:pt>
                <c:pt idx="573">
                  <c:v>-192.64287412991064</c:v>
                </c:pt>
                <c:pt idx="574">
                  <c:v>-193.53988057272508</c:v>
                </c:pt>
                <c:pt idx="575">
                  <c:v>-194.4553442878599</c:v>
                </c:pt>
                <c:pt idx="576">
                  <c:v>-195.36576955647908</c:v>
                </c:pt>
                <c:pt idx="577">
                  <c:v>-199.16632040847651</c:v>
                </c:pt>
                <c:pt idx="578">
                  <c:v>-202.88475868565527</c:v>
                </c:pt>
                <c:pt idx="579">
                  <c:v>-210.77822064940545</c:v>
                </c:pt>
                <c:pt idx="580">
                  <c:v>-219.10526381647583</c:v>
                </c:pt>
                <c:pt idx="581">
                  <c:v>-227.92937982966595</c:v>
                </c:pt>
                <c:pt idx="582">
                  <c:v>-237.37624618724519</c:v>
                </c:pt>
                <c:pt idx="583">
                  <c:v>-247.62887096748736</c:v>
                </c:pt>
                <c:pt idx="584">
                  <c:v>-258.99563995779141</c:v>
                </c:pt>
                <c:pt idx="585">
                  <c:v>-271.94330124733091</c:v>
                </c:pt>
                <c:pt idx="586">
                  <c:v>-287.19403126953262</c:v>
                </c:pt>
                <c:pt idx="587">
                  <c:v>-305.73066088156384</c:v>
                </c:pt>
                <c:pt idx="588">
                  <c:v>-328.3551793699225</c:v>
                </c:pt>
                <c:pt idx="589">
                  <c:v>-174.46665919202908</c:v>
                </c:pt>
                <c:pt idx="590">
                  <c:v>-201.11486686959242</c:v>
                </c:pt>
                <c:pt idx="591">
                  <c:v>-225.37349460883925</c:v>
                </c:pt>
                <c:pt idx="592">
                  <c:v>-246.86100292913048</c:v>
                </c:pt>
                <c:pt idx="593">
                  <c:v>-267.18419321676527</c:v>
                </c:pt>
                <c:pt idx="594">
                  <c:v>-289.1405186121508</c:v>
                </c:pt>
                <c:pt idx="595">
                  <c:v>-317.57757134953721</c:v>
                </c:pt>
                <c:pt idx="596">
                  <c:v>-359.05530742091446</c:v>
                </c:pt>
                <c:pt idx="597">
                  <c:v>-226.20298424358282</c:v>
                </c:pt>
                <c:pt idx="598">
                  <c:v>-262.79800790619174</c:v>
                </c:pt>
                <c:pt idx="599">
                  <c:v>-294.65503927821862</c:v>
                </c:pt>
                <c:pt idx="600">
                  <c:v>-338.31290071982346</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7.9783783783783785E-3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0.20197758734344101</c:v>
                </c:pt>
                <c:pt idx="13">
                  <c:v>0.22365363508492725</c:v>
                </c:pt>
                <c:pt idx="14">
                  <c:v>0.24683369465849817</c:v>
                </c:pt>
                <c:pt idx="15">
                  <c:v>0.25549714735358459</c:v>
                </c:pt>
                <c:pt idx="16">
                  <c:v>0.26387631912104953</c:v>
                </c:pt>
                <c:pt idx="17">
                  <c:v>0.27199748395882006</c:v>
                </c:pt>
                <c:pt idx="18">
                  <c:v>0.27988310196755928</c:v>
                </c:pt>
                <c:pt idx="19">
                  <c:v>0.2875525521605361</c:v>
                </c:pt>
                <c:pt idx="20">
                  <c:v>0.2950226936035471</c:v>
                </c:pt>
                <c:pt idx="21">
                  <c:v>0.30230830161963307</c:v>
                </c:pt>
                <c:pt idx="22">
                  <c:v>0.30942241146239186</c:v>
                </c:pt>
                <c:pt idx="23">
                  <c:v>0.31637659237411409</c:v>
                </c:pt>
                <c:pt idx="24">
                  <c:v>0.32318116852519568</c:v>
                </c:pt>
                <c:pt idx="25">
                  <c:v>0.32984539890131187</c:v>
                </c:pt>
                <c:pt idx="26">
                  <c:v>0.33637762509331709</c:v>
                </c:pt>
                <c:pt idx="27">
                  <c:v>0.3427853937239374</c:v>
                </c:pt>
                <c:pt idx="28">
                  <c:v>0.34907555863670753</c:v>
                </c:pt>
                <c:pt idx="29">
                  <c:v>0.35525436679171735</c:v>
                </c:pt>
                <c:pt idx="30">
                  <c:v>0.36132753093507641</c:v>
                </c:pt>
                <c:pt idx="31">
                  <c:v>0.36730029144923548</c:v>
                </c:pt>
                <c:pt idx="32">
                  <c:v>0.37317746929007911</c:v>
                </c:pt>
                <c:pt idx="33">
                  <c:v>0.37896351153218238</c:v>
                </c:pt>
                <c:pt idx="34">
                  <c:v>0.38466253074592166</c:v>
                </c:pt>
                <c:pt idx="35">
                  <c:v>0.39027833919769589</c:v>
                </c:pt>
                <c:pt idx="36">
                  <c:v>0.39581447868157427</c:v>
                </c:pt>
                <c:pt idx="37">
                  <c:v>0.40127424664563388</c:v>
                </c:pt>
                <c:pt idx="38">
                  <c:v>0.40666071916042701</c:v>
                </c:pt>
                <c:pt idx="39">
                  <c:v>0.4119767711839229</c:v>
                </c:pt>
                <c:pt idx="40">
                  <c:v>0.40812101278595947</c:v>
                </c:pt>
                <c:pt idx="41">
                  <c:v>0.40311320334329775</c:v>
                </c:pt>
                <c:pt idx="42">
                  <c:v>0.39828532614964723</c:v>
                </c:pt>
                <c:pt idx="43">
                  <c:v>0.40831556503198291</c:v>
                </c:pt>
                <c:pt idx="44">
                  <c:v>0.40831556503198291</c:v>
                </c:pt>
                <c:pt idx="45">
                  <c:v>0.40831556503198291</c:v>
                </c:pt>
                <c:pt idx="46">
                  <c:v>0.40831556503198296</c:v>
                </c:pt>
                <c:pt idx="47">
                  <c:v>0.40831556503198307</c:v>
                </c:pt>
                <c:pt idx="48">
                  <c:v>0.40831556503198296</c:v>
                </c:pt>
                <c:pt idx="49">
                  <c:v>0.40831556503198291</c:v>
                </c:pt>
                <c:pt idx="50">
                  <c:v>0.40831556503198285</c:v>
                </c:pt>
                <c:pt idx="51">
                  <c:v>0.40831556503198296</c:v>
                </c:pt>
                <c:pt idx="52">
                  <c:v>0.40831556503198291</c:v>
                </c:pt>
                <c:pt idx="53">
                  <c:v>0.40831556503198291</c:v>
                </c:pt>
                <c:pt idx="54">
                  <c:v>0.40831556503198296</c:v>
                </c:pt>
                <c:pt idx="55">
                  <c:v>0.40831556503198302</c:v>
                </c:pt>
                <c:pt idx="56">
                  <c:v>0.40831556503198296</c:v>
                </c:pt>
                <c:pt idx="57">
                  <c:v>0.40831556503198296</c:v>
                </c:pt>
                <c:pt idx="58">
                  <c:v>0.4083155650319828</c:v>
                </c:pt>
                <c:pt idx="59">
                  <c:v>0.40831556503198285</c:v>
                </c:pt>
                <c:pt idx="60">
                  <c:v>0.40831556503198291</c:v>
                </c:pt>
                <c:pt idx="61">
                  <c:v>0.40831556503198302</c:v>
                </c:pt>
                <c:pt idx="62">
                  <c:v>0.40831556503198307</c:v>
                </c:pt>
                <c:pt idx="63">
                  <c:v>0.40831556503198291</c:v>
                </c:pt>
                <c:pt idx="64">
                  <c:v>0.40831556503198296</c:v>
                </c:pt>
                <c:pt idx="65">
                  <c:v>0.40831556503198302</c:v>
                </c:pt>
                <c:pt idx="66">
                  <c:v>0.40831556503198302</c:v>
                </c:pt>
                <c:pt idx="67">
                  <c:v>0.40831556503198296</c:v>
                </c:pt>
                <c:pt idx="68">
                  <c:v>0.40831556503198296</c:v>
                </c:pt>
                <c:pt idx="69">
                  <c:v>0.40831556503198296</c:v>
                </c:pt>
                <c:pt idx="70">
                  <c:v>0.40831556503198296</c:v>
                </c:pt>
                <c:pt idx="71">
                  <c:v>0.40831556503198285</c:v>
                </c:pt>
                <c:pt idx="72">
                  <c:v>0.40831556503198291</c:v>
                </c:pt>
                <c:pt idx="73">
                  <c:v>0.40831556503198291</c:v>
                </c:pt>
                <c:pt idx="74">
                  <c:v>0.40831556503198285</c:v>
                </c:pt>
                <c:pt idx="75">
                  <c:v>0.40831556503198296</c:v>
                </c:pt>
                <c:pt idx="76">
                  <c:v>0.40831556503198291</c:v>
                </c:pt>
                <c:pt idx="77">
                  <c:v>0.40831556503198296</c:v>
                </c:pt>
                <c:pt idx="78">
                  <c:v>0.40831556503198296</c:v>
                </c:pt>
                <c:pt idx="79">
                  <c:v>0.40831556503198296</c:v>
                </c:pt>
                <c:pt idx="80">
                  <c:v>0.40831556503198291</c:v>
                </c:pt>
                <c:pt idx="81">
                  <c:v>0.40831556503198296</c:v>
                </c:pt>
                <c:pt idx="82">
                  <c:v>0.40831556503198296</c:v>
                </c:pt>
                <c:pt idx="83">
                  <c:v>0.40831556503198296</c:v>
                </c:pt>
                <c:pt idx="84">
                  <c:v>0.40831556503198296</c:v>
                </c:pt>
                <c:pt idx="85">
                  <c:v>0.40831556503198302</c:v>
                </c:pt>
                <c:pt idx="86">
                  <c:v>0.40831556503198291</c:v>
                </c:pt>
                <c:pt idx="87">
                  <c:v>0.40831556503198296</c:v>
                </c:pt>
                <c:pt idx="88">
                  <c:v>0.40831556503198291</c:v>
                </c:pt>
                <c:pt idx="89">
                  <c:v>0.40831556503198296</c:v>
                </c:pt>
                <c:pt idx="90">
                  <c:v>0.40831556503198291</c:v>
                </c:pt>
                <c:pt idx="91">
                  <c:v>0.40831556503198291</c:v>
                </c:pt>
                <c:pt idx="92">
                  <c:v>0.40831556503198296</c:v>
                </c:pt>
                <c:pt idx="93">
                  <c:v>0.40831556503198291</c:v>
                </c:pt>
                <c:pt idx="94">
                  <c:v>0.40831556503198307</c:v>
                </c:pt>
                <c:pt idx="95">
                  <c:v>0.40831556503198302</c:v>
                </c:pt>
                <c:pt idx="96">
                  <c:v>0.40831556503198296</c:v>
                </c:pt>
                <c:pt idx="97">
                  <c:v>0.40831556503198296</c:v>
                </c:pt>
                <c:pt idx="98">
                  <c:v>0.40831556503198291</c:v>
                </c:pt>
                <c:pt idx="99">
                  <c:v>0.40831556503198296</c:v>
                </c:pt>
                <c:pt idx="100">
                  <c:v>0.40831556503198285</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9.8399999999999998E-3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0.24910569105691058</c:v>
                </c:pt>
                <c:pt idx="13">
                  <c:v>0.26986449864498646</c:v>
                </c:pt>
                <c:pt idx="14">
                  <c:v>0.28880597100629501</c:v>
                </c:pt>
                <c:pt idx="15">
                  <c:v>0.298942580885806</c:v>
                </c:pt>
                <c:pt idx="16">
                  <c:v>0.30874656993146404</c:v>
                </c:pt>
                <c:pt idx="17">
                  <c:v>0.31824867984364402</c:v>
                </c:pt>
                <c:pt idx="18">
                  <c:v>0.32747518989993729</c:v>
                </c:pt>
                <c:pt idx="19">
                  <c:v>0.33644877437401632</c:v>
                </c:pt>
                <c:pt idx="20">
                  <c:v>0.34518915909332315</c:v>
                </c:pt>
                <c:pt idx="21">
                  <c:v>0.35371363181722765</c:v>
                </c:pt>
                <c:pt idx="22">
                  <c:v>0.36203744434949148</c:v>
                </c:pt>
                <c:pt idx="23">
                  <c:v>0.37017413319799769</c:v>
                </c:pt>
                <c:pt idx="24">
                  <c:v>0.37813577808330529</c:v>
                </c:pt>
                <c:pt idx="25">
                  <c:v>0.3859332124143301</c:v>
                </c:pt>
                <c:pt idx="26">
                  <c:v>0.39357619620884371</c:v>
                </c:pt>
                <c:pt idx="27">
                  <c:v>0.40107355933793493</c:v>
                </c:pt>
                <c:pt idx="28">
                  <c:v>0.40843332109143321</c:v>
                </c:pt>
                <c:pt idx="29">
                  <c:v>0.4156627906796031</c:v>
                </c:pt>
                <c:pt idx="30">
                  <c:v>0.42276865225952281</c:v>
                </c:pt>
                <c:pt idx="31">
                  <c:v>0.42975703730260323</c:v>
                </c:pt>
                <c:pt idx="32">
                  <c:v>0.43663358653324968</c:v>
                </c:pt>
                <c:pt idx="33">
                  <c:v>0.43824648427743162</c:v>
                </c:pt>
                <c:pt idx="34">
                  <c:v>0.43175358482760062</c:v>
                </c:pt>
                <c:pt idx="35">
                  <c:v>0.42554097913766409</c:v>
                </c:pt>
                <c:pt idx="36">
                  <c:v>0.45978391356542625</c:v>
                </c:pt>
                <c:pt idx="37">
                  <c:v>0.45978391356542625</c:v>
                </c:pt>
                <c:pt idx="38">
                  <c:v>0.45978391356542619</c:v>
                </c:pt>
                <c:pt idx="39">
                  <c:v>0.45978391356542619</c:v>
                </c:pt>
                <c:pt idx="40">
                  <c:v>0.45978391356542608</c:v>
                </c:pt>
                <c:pt idx="41">
                  <c:v>0.45978391356542625</c:v>
                </c:pt>
                <c:pt idx="42">
                  <c:v>0.45978391356542625</c:v>
                </c:pt>
                <c:pt idx="43">
                  <c:v>0.45978391356542631</c:v>
                </c:pt>
                <c:pt idx="44">
                  <c:v>0.45978391356542614</c:v>
                </c:pt>
                <c:pt idx="45">
                  <c:v>0.45978391356542614</c:v>
                </c:pt>
                <c:pt idx="46">
                  <c:v>0.45978391356542631</c:v>
                </c:pt>
                <c:pt idx="47">
                  <c:v>0.45978391356542619</c:v>
                </c:pt>
                <c:pt idx="48">
                  <c:v>0.45978391356542619</c:v>
                </c:pt>
                <c:pt idx="49">
                  <c:v>0.45978391356542625</c:v>
                </c:pt>
                <c:pt idx="50">
                  <c:v>0.45978391356542619</c:v>
                </c:pt>
                <c:pt idx="51">
                  <c:v>0.45978391356542619</c:v>
                </c:pt>
                <c:pt idx="52">
                  <c:v>0.45978391356542614</c:v>
                </c:pt>
                <c:pt idx="53">
                  <c:v>0.45978391356542608</c:v>
                </c:pt>
                <c:pt idx="54">
                  <c:v>0.45978391356542614</c:v>
                </c:pt>
                <c:pt idx="55">
                  <c:v>0.45978391356542608</c:v>
                </c:pt>
                <c:pt idx="56">
                  <c:v>0.45978391356542619</c:v>
                </c:pt>
                <c:pt idx="57">
                  <c:v>0.45978391356542625</c:v>
                </c:pt>
                <c:pt idx="58">
                  <c:v>0.45978391356542619</c:v>
                </c:pt>
                <c:pt idx="59">
                  <c:v>0.45978391356542625</c:v>
                </c:pt>
                <c:pt idx="60">
                  <c:v>0.45978391356542619</c:v>
                </c:pt>
                <c:pt idx="61">
                  <c:v>0.45978391356542614</c:v>
                </c:pt>
                <c:pt idx="62">
                  <c:v>0.45978391356542625</c:v>
                </c:pt>
                <c:pt idx="63">
                  <c:v>0.45978391356542614</c:v>
                </c:pt>
                <c:pt idx="64">
                  <c:v>0.45978391356542625</c:v>
                </c:pt>
                <c:pt idx="65">
                  <c:v>0.45978391356542614</c:v>
                </c:pt>
                <c:pt idx="66">
                  <c:v>0.45978391356542625</c:v>
                </c:pt>
                <c:pt idx="67">
                  <c:v>0.45978391356542625</c:v>
                </c:pt>
                <c:pt idx="68">
                  <c:v>0.45978391356542619</c:v>
                </c:pt>
                <c:pt idx="69">
                  <c:v>0.45978391356542619</c:v>
                </c:pt>
                <c:pt idx="70">
                  <c:v>0.45978391356542619</c:v>
                </c:pt>
                <c:pt idx="71">
                  <c:v>0.45978391356542614</c:v>
                </c:pt>
                <c:pt idx="72">
                  <c:v>0.45978391356542625</c:v>
                </c:pt>
                <c:pt idx="73">
                  <c:v>0.45978391356542614</c:v>
                </c:pt>
                <c:pt idx="74">
                  <c:v>0.45978391356542625</c:v>
                </c:pt>
                <c:pt idx="75">
                  <c:v>0.45978391356542619</c:v>
                </c:pt>
                <c:pt idx="76">
                  <c:v>0.45978391356542619</c:v>
                </c:pt>
                <c:pt idx="77">
                  <c:v>0.45978391356542619</c:v>
                </c:pt>
                <c:pt idx="78">
                  <c:v>0.45978391356542619</c:v>
                </c:pt>
                <c:pt idx="79">
                  <c:v>0.45978391356542614</c:v>
                </c:pt>
                <c:pt idx="80">
                  <c:v>0.45978391356542608</c:v>
                </c:pt>
                <c:pt idx="81">
                  <c:v>0.45978391356542614</c:v>
                </c:pt>
                <c:pt idx="82">
                  <c:v>0.45978391356542625</c:v>
                </c:pt>
                <c:pt idx="83">
                  <c:v>0.45978391356542614</c:v>
                </c:pt>
                <c:pt idx="84">
                  <c:v>0.45978391356542625</c:v>
                </c:pt>
                <c:pt idx="85">
                  <c:v>0.45978391356542619</c:v>
                </c:pt>
                <c:pt idx="86">
                  <c:v>0.45978391356542631</c:v>
                </c:pt>
                <c:pt idx="87">
                  <c:v>0.45978391356542625</c:v>
                </c:pt>
                <c:pt idx="88">
                  <c:v>0.45978391356542614</c:v>
                </c:pt>
                <c:pt idx="89">
                  <c:v>0.45978391356542608</c:v>
                </c:pt>
                <c:pt idx="90">
                  <c:v>0.45978391356542614</c:v>
                </c:pt>
                <c:pt idx="91">
                  <c:v>0.45978391356542614</c:v>
                </c:pt>
                <c:pt idx="92">
                  <c:v>0.45978391356542631</c:v>
                </c:pt>
                <c:pt idx="93">
                  <c:v>0.45978391356542619</c:v>
                </c:pt>
                <c:pt idx="94">
                  <c:v>0.45978391356542619</c:v>
                </c:pt>
                <c:pt idx="95">
                  <c:v>0.45978391356542619</c:v>
                </c:pt>
                <c:pt idx="96">
                  <c:v>0.45978391356542619</c:v>
                </c:pt>
                <c:pt idx="97">
                  <c:v>0.45978391356542614</c:v>
                </c:pt>
                <c:pt idx="98">
                  <c:v>0.45978391356542625</c:v>
                </c:pt>
                <c:pt idx="99">
                  <c:v>0.45978391356542614</c:v>
                </c:pt>
                <c:pt idx="100">
                  <c:v>0.45978391356542619</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6.812307692307693E-3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0.17245778611632273</c:v>
                </c:pt>
                <c:pt idx="13">
                  <c:v>0.18682926829268295</c:v>
                </c:pt>
                <c:pt idx="14">
                  <c:v>0.19994259531205039</c:v>
                </c:pt>
                <c:pt idx="15">
                  <c:v>0.20696024830555801</c:v>
                </c:pt>
                <c:pt idx="16">
                  <c:v>0.2137476253371674</c:v>
                </c:pt>
                <c:pt idx="17">
                  <c:v>0.22032600912252276</c:v>
                </c:pt>
                <c:pt idx="18">
                  <c:v>0.2267135930076489</c:v>
                </c:pt>
                <c:pt idx="19">
                  <c:v>0.2329260745666267</c:v>
                </c:pt>
                <c:pt idx="20">
                  <c:v>0.23897711014153142</c:v>
                </c:pt>
                <c:pt idx="21">
                  <c:v>0.24487866818115767</c:v>
                </c:pt>
                <c:pt idx="22">
                  <c:v>0.250641307626571</c:v>
                </c:pt>
                <c:pt idx="23">
                  <c:v>0.25627439990630607</c:v>
                </c:pt>
                <c:pt idx="24">
                  <c:v>0.26178630790382673</c:v>
                </c:pt>
                <c:pt idx="25">
                  <c:v>0.26718453167145934</c:v>
                </c:pt>
                <c:pt idx="26">
                  <c:v>0.2724758281445841</c:v>
                </c:pt>
                <c:pt idx="27">
                  <c:v>0.27766631031087807</c:v>
                </c:pt>
                <c:pt idx="28">
                  <c:v>0.28276152998637688</c:v>
                </c:pt>
                <c:pt idx="29">
                  <c:v>0.28776654739357138</c:v>
                </c:pt>
                <c:pt idx="30">
                  <c:v>0.29268599002582346</c:v>
                </c:pt>
                <c:pt idx="31">
                  <c:v>0.2975241027479561</c:v>
                </c:pt>
                <c:pt idx="32">
                  <c:v>0.3022847906768652</c:v>
                </c:pt>
                <c:pt idx="33">
                  <c:v>0.30697165607452437</c:v>
                </c:pt>
                <c:pt idx="34">
                  <c:v>0.31158803024460996</c:v>
                </c:pt>
                <c:pt idx="35">
                  <c:v>0.31613700123569194</c:v>
                </c:pt>
                <c:pt idx="36">
                  <c:v>0.32062143800575116</c:v>
                </c:pt>
                <c:pt idx="37">
                  <c:v>0.32504401158528612</c:v>
                </c:pt>
                <c:pt idx="38">
                  <c:v>0.32940721368245035</c:v>
                </c:pt>
                <c:pt idx="39">
                  <c:v>0.33371337309825538</c:v>
                </c:pt>
                <c:pt idx="40">
                  <c:v>0.3379646702588826</c:v>
                </c:pt>
                <c:pt idx="41">
                  <c:v>0.34216315012253307</c:v>
                </c:pt>
                <c:pt idx="42">
                  <c:v>0.34631073367765397</c:v>
                </c:pt>
                <c:pt idx="43">
                  <c:v>0.35040922821600312</c:v>
                </c:pt>
                <c:pt idx="44">
                  <c:v>0.35446033653642373</c:v>
                </c:pt>
                <c:pt idx="45">
                  <c:v>0.3525001908434342</c:v>
                </c:pt>
                <c:pt idx="46">
                  <c:v>0.34864761406567329</c:v>
                </c:pt>
                <c:pt idx="47">
                  <c:v>0.34491865536580196</c:v>
                </c:pt>
                <c:pt idx="48">
                  <c:v>0.34130684216788915</c:v>
                </c:pt>
                <c:pt idx="49">
                  <c:v>0.37076476282671833</c:v>
                </c:pt>
                <c:pt idx="50">
                  <c:v>0.37076476282671822</c:v>
                </c:pt>
                <c:pt idx="51">
                  <c:v>0.37076476282671833</c:v>
                </c:pt>
                <c:pt idx="52">
                  <c:v>0.37076476282671822</c:v>
                </c:pt>
                <c:pt idx="53">
                  <c:v>0.37076476282671827</c:v>
                </c:pt>
                <c:pt idx="54">
                  <c:v>0.37076476282671833</c:v>
                </c:pt>
                <c:pt idx="55">
                  <c:v>0.37076476282671822</c:v>
                </c:pt>
                <c:pt idx="56">
                  <c:v>0.37076476282671844</c:v>
                </c:pt>
                <c:pt idx="57">
                  <c:v>0.37076476282671827</c:v>
                </c:pt>
                <c:pt idx="58">
                  <c:v>0.37076476282671827</c:v>
                </c:pt>
                <c:pt idx="59">
                  <c:v>0.37076476282671839</c:v>
                </c:pt>
                <c:pt idx="60">
                  <c:v>0.37076476282671827</c:v>
                </c:pt>
                <c:pt idx="61">
                  <c:v>0.37076476282671827</c:v>
                </c:pt>
                <c:pt idx="62">
                  <c:v>0.37076476282671822</c:v>
                </c:pt>
                <c:pt idx="63">
                  <c:v>0.37076476282671822</c:v>
                </c:pt>
                <c:pt idx="64">
                  <c:v>0.37076476282671833</c:v>
                </c:pt>
                <c:pt idx="65">
                  <c:v>0.37076476282671827</c:v>
                </c:pt>
                <c:pt idx="66">
                  <c:v>0.37076476282671833</c:v>
                </c:pt>
                <c:pt idx="67">
                  <c:v>0.37076476282671833</c:v>
                </c:pt>
                <c:pt idx="68">
                  <c:v>0.37076476282671827</c:v>
                </c:pt>
                <c:pt idx="69">
                  <c:v>0.37076476282671833</c:v>
                </c:pt>
                <c:pt idx="70">
                  <c:v>0.37076476282671833</c:v>
                </c:pt>
                <c:pt idx="71">
                  <c:v>0.37076476282671833</c:v>
                </c:pt>
                <c:pt idx="72">
                  <c:v>0.37076476282671827</c:v>
                </c:pt>
                <c:pt idx="73">
                  <c:v>0.37076476282671833</c:v>
                </c:pt>
                <c:pt idx="74">
                  <c:v>0.37076476282671827</c:v>
                </c:pt>
                <c:pt idx="75">
                  <c:v>0.37076476282671822</c:v>
                </c:pt>
                <c:pt idx="76">
                  <c:v>0.37076476282671822</c:v>
                </c:pt>
                <c:pt idx="77">
                  <c:v>0.37076476282671833</c:v>
                </c:pt>
                <c:pt idx="78">
                  <c:v>0.37076476282671833</c:v>
                </c:pt>
                <c:pt idx="79">
                  <c:v>0.37076476282671833</c:v>
                </c:pt>
                <c:pt idx="80">
                  <c:v>0.37076476282671833</c:v>
                </c:pt>
                <c:pt idx="81">
                  <c:v>0.37076476282671827</c:v>
                </c:pt>
                <c:pt idx="82">
                  <c:v>0.37076476282671822</c:v>
                </c:pt>
                <c:pt idx="83">
                  <c:v>0.37076476282671833</c:v>
                </c:pt>
                <c:pt idx="84">
                  <c:v>0.37076476282671833</c:v>
                </c:pt>
                <c:pt idx="85">
                  <c:v>0.37076476282671827</c:v>
                </c:pt>
                <c:pt idx="86">
                  <c:v>0.37076476282671833</c:v>
                </c:pt>
                <c:pt idx="87">
                  <c:v>0.37076476282671833</c:v>
                </c:pt>
                <c:pt idx="88">
                  <c:v>0.37076476282671822</c:v>
                </c:pt>
                <c:pt idx="89">
                  <c:v>0.37076476282671839</c:v>
                </c:pt>
                <c:pt idx="90">
                  <c:v>0.37076476282671827</c:v>
                </c:pt>
                <c:pt idx="91">
                  <c:v>0.37076476282671839</c:v>
                </c:pt>
                <c:pt idx="92">
                  <c:v>0.37076476282671833</c:v>
                </c:pt>
                <c:pt idx="93">
                  <c:v>0.37076476282671833</c:v>
                </c:pt>
                <c:pt idx="94">
                  <c:v>0.37076476282671822</c:v>
                </c:pt>
                <c:pt idx="95">
                  <c:v>0.37076476282671827</c:v>
                </c:pt>
                <c:pt idx="96">
                  <c:v>0.37076476282671827</c:v>
                </c:pt>
                <c:pt idx="97">
                  <c:v>0.37076476282671833</c:v>
                </c:pt>
                <c:pt idx="98">
                  <c:v>0.37076476282671833</c:v>
                </c:pt>
                <c:pt idx="99">
                  <c:v>0.37076476282671822</c:v>
                </c:pt>
                <c:pt idx="100">
                  <c:v>0.37076476282671822</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1.4499564838990424</c:v>
                </c:pt>
                <c:pt idx="37">
                  <c:v>1.4902330528962382</c:v>
                </c:pt>
                <c:pt idx="38">
                  <c:v>1.530509621893434</c:v>
                </c:pt>
                <c:pt idx="39">
                  <c:v>1.5707861908906295</c:v>
                </c:pt>
                <c:pt idx="40">
                  <c:v>1.6110627598878251</c:v>
                </c:pt>
                <c:pt idx="41">
                  <c:v>1.6513393288850207</c:v>
                </c:pt>
                <c:pt idx="42">
                  <c:v>1.6916158978822162</c:v>
                </c:pt>
                <c:pt idx="43">
                  <c:v>1.731892466879412</c:v>
                </c:pt>
                <c:pt idx="44">
                  <c:v>1.7721690358766076</c:v>
                </c:pt>
                <c:pt idx="45">
                  <c:v>1.8124456048738031</c:v>
                </c:pt>
                <c:pt idx="46">
                  <c:v>1.8527221738709989</c:v>
                </c:pt>
                <c:pt idx="47">
                  <c:v>1.8929987428681945</c:v>
                </c:pt>
                <c:pt idx="48">
                  <c:v>1.93327531186539</c:v>
                </c:pt>
                <c:pt idx="49">
                  <c:v>1.9735518808625856</c:v>
                </c:pt>
                <c:pt idx="50">
                  <c:v>2.0138284498597812</c:v>
                </c:pt>
                <c:pt idx="51">
                  <c:v>2.0541050188569772</c:v>
                </c:pt>
                <c:pt idx="52">
                  <c:v>2.0943815878541727</c:v>
                </c:pt>
                <c:pt idx="53">
                  <c:v>2.1346581568513683</c:v>
                </c:pt>
                <c:pt idx="54">
                  <c:v>2.1749347258485643</c:v>
                </c:pt>
                <c:pt idx="55">
                  <c:v>2.2152112948457594</c:v>
                </c:pt>
                <c:pt idx="56">
                  <c:v>2.2554878638429554</c:v>
                </c:pt>
                <c:pt idx="57">
                  <c:v>2.2957644328401505</c:v>
                </c:pt>
                <c:pt idx="58">
                  <c:v>2.3360410018373461</c:v>
                </c:pt>
                <c:pt idx="59">
                  <c:v>2.3763175708345421</c:v>
                </c:pt>
                <c:pt idx="60">
                  <c:v>2.4165941398317377</c:v>
                </c:pt>
                <c:pt idx="61">
                  <c:v>2.4568707088289332</c:v>
                </c:pt>
                <c:pt idx="62">
                  <c:v>2.4971472778261292</c:v>
                </c:pt>
                <c:pt idx="63">
                  <c:v>2.5374238468233243</c:v>
                </c:pt>
                <c:pt idx="64">
                  <c:v>2.5777004158205199</c:v>
                </c:pt>
                <c:pt idx="65">
                  <c:v>2.6179769848177159</c:v>
                </c:pt>
                <c:pt idx="66">
                  <c:v>2.6582535538149115</c:v>
                </c:pt>
                <c:pt idx="67">
                  <c:v>2.698530122812107</c:v>
                </c:pt>
                <c:pt idx="68">
                  <c:v>2.738806691809303</c:v>
                </c:pt>
                <c:pt idx="69">
                  <c:v>2.7790832608064981</c:v>
                </c:pt>
                <c:pt idx="70">
                  <c:v>2.8193598298036937</c:v>
                </c:pt>
                <c:pt idx="71">
                  <c:v>2.8596363988008893</c:v>
                </c:pt>
                <c:pt idx="72">
                  <c:v>2.8999129677980848</c:v>
                </c:pt>
                <c:pt idx="73">
                  <c:v>2.9401895367952804</c:v>
                </c:pt>
                <c:pt idx="74">
                  <c:v>2.9804661057924764</c:v>
                </c:pt>
                <c:pt idx="75">
                  <c:v>3.020742674789672</c:v>
                </c:pt>
                <c:pt idx="76">
                  <c:v>3.061019243786868</c:v>
                </c:pt>
                <c:pt idx="77">
                  <c:v>3.1012958127840635</c:v>
                </c:pt>
                <c:pt idx="78">
                  <c:v>3.1415723817812591</c:v>
                </c:pt>
                <c:pt idx="79">
                  <c:v>3.1818489507784551</c:v>
                </c:pt>
                <c:pt idx="80">
                  <c:v>3.2221255197756502</c:v>
                </c:pt>
                <c:pt idx="81">
                  <c:v>3.2624020887728458</c:v>
                </c:pt>
                <c:pt idx="82">
                  <c:v>3.3026786577700413</c:v>
                </c:pt>
                <c:pt idx="83">
                  <c:v>3.3429552267672369</c:v>
                </c:pt>
                <c:pt idx="84">
                  <c:v>3.3832317957644324</c:v>
                </c:pt>
                <c:pt idx="85">
                  <c:v>3.4235083647616285</c:v>
                </c:pt>
                <c:pt idx="86">
                  <c:v>3.463784933758824</c:v>
                </c:pt>
                <c:pt idx="87">
                  <c:v>3.5040615027560196</c:v>
                </c:pt>
                <c:pt idx="88">
                  <c:v>3.5443380717532151</c:v>
                </c:pt>
                <c:pt idx="89">
                  <c:v>3.5846146407504107</c:v>
                </c:pt>
                <c:pt idx="90">
                  <c:v>3.6248912097476063</c:v>
                </c:pt>
                <c:pt idx="91">
                  <c:v>3.6651677787448023</c:v>
                </c:pt>
                <c:pt idx="92">
                  <c:v>3.7054443477419978</c:v>
                </c:pt>
                <c:pt idx="93">
                  <c:v>3.7457209167391938</c:v>
                </c:pt>
                <c:pt idx="94">
                  <c:v>3.7859974857363889</c:v>
                </c:pt>
                <c:pt idx="95">
                  <c:v>3.8262740547335845</c:v>
                </c:pt>
                <c:pt idx="96">
                  <c:v>3.8665506237307801</c:v>
                </c:pt>
                <c:pt idx="97">
                  <c:v>3.9068271927279756</c:v>
                </c:pt>
                <c:pt idx="98">
                  <c:v>3.9471037617251712</c:v>
                </c:pt>
                <c:pt idx="99">
                  <c:v>3.9873803307223672</c:v>
                </c:pt>
                <c:pt idx="100">
                  <c:v>4.0276568997195623</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0.83815536099882815</c:v>
                </c:pt>
                <c:pt idx="14">
                  <c:v>0.86979492403470782</c:v>
                </c:pt>
                <c:pt idx="15">
                  <c:v>0.90032328115072668</c:v>
                </c:pt>
                <c:pt idx="16">
                  <c:v>0.92984988642655542</c:v>
                </c:pt>
                <c:pt idx="17">
                  <c:v>0.95846732442631832</c:v>
                </c:pt>
                <c:pt idx="18">
                  <c:v>0.98625474026663751</c:v>
                </c:pt>
                <c:pt idx="19">
                  <c:v>1.0132804218990319</c:v>
                </c:pt>
                <c:pt idx="20">
                  <c:v>1.0396037774601183</c:v>
                </c:pt>
                <c:pt idx="21">
                  <c:v>1.0652768723739452</c:v>
                </c:pt>
                <c:pt idx="22">
                  <c:v>1.0903456403912855</c:v>
                </c:pt>
                <c:pt idx="23">
                  <c:v>1.1148508493183067</c:v>
                </c:pt>
                <c:pt idx="24">
                  <c:v>1.1388288795649752</c:v>
                </c:pt>
                <c:pt idx="25">
                  <c:v>1.1623123580331942</c:v>
                </c:pt>
                <c:pt idx="26">
                  <c:v>1.1853306789002602</c:v>
                </c:pt>
                <c:pt idx="27">
                  <c:v>1.2079104350272081</c:v>
                </c:pt>
                <c:pt idx="28">
                  <c:v>1.2300757780531597</c:v>
                </c:pt>
                <c:pt idx="29">
                  <c:v>1.2518487210755753</c:v>
                </c:pt>
                <c:pt idx="30">
                  <c:v>1.2732493947236028</c:v>
                </c:pt>
                <c:pt idx="31">
                  <c:v>1.2942962651068297</c:v>
                </c:pt>
                <c:pt idx="32">
                  <c:v>1.3150063203555169</c:v>
                </c:pt>
                <c:pt idx="33">
                  <c:v>1.3353952311134045</c:v>
                </c:pt>
                <c:pt idx="34">
                  <c:v>1.3554774892951527</c:v>
                </c:pt>
                <c:pt idx="35">
                  <c:v>1.3752665286014045</c:v>
                </c:pt>
                <c:pt idx="36">
                  <c:v>1.394774829639833</c:v>
                </c:pt>
                <c:pt idx="37">
                  <c:v>1.4140140119893765</c:v>
                </c:pt>
                <c:pt idx="38">
                  <c:v>1.4329949151367427</c:v>
                </c:pt>
                <c:pt idx="39">
                  <c:v>1.4517276698862043</c:v>
                </c:pt>
                <c:pt idx="40">
                  <c:v>1.4702217615784003</c:v>
                </c:pt>
                <c:pt idx="41">
                  <c:v>1.4884860862380145</c:v>
                </c:pt>
                <c:pt idx="42">
                  <c:v>1.506529000593626</c:v>
                </c:pt>
                <c:pt idx="43">
                  <c:v>1.5812418162287609</c:v>
                </c:pt>
                <c:pt idx="44">
                  <c:v>1.6180148817224529</c:v>
                </c:pt>
                <c:pt idx="45">
                  <c:v>1.6547879472161451</c:v>
                </c:pt>
                <c:pt idx="46">
                  <c:v>1.6915610127098375</c:v>
                </c:pt>
                <c:pt idx="47">
                  <c:v>1.7283340782035295</c:v>
                </c:pt>
                <c:pt idx="48">
                  <c:v>1.7651071436972214</c:v>
                </c:pt>
                <c:pt idx="49">
                  <c:v>1.8018802091909136</c:v>
                </c:pt>
                <c:pt idx="50">
                  <c:v>1.8386532746846058</c:v>
                </c:pt>
                <c:pt idx="51">
                  <c:v>1.875426340178298</c:v>
                </c:pt>
                <c:pt idx="52">
                  <c:v>1.9121994056719902</c:v>
                </c:pt>
                <c:pt idx="53">
                  <c:v>1.9489724711656822</c:v>
                </c:pt>
                <c:pt idx="54">
                  <c:v>1.9857455366593746</c:v>
                </c:pt>
                <c:pt idx="55">
                  <c:v>2.0225186021530663</c:v>
                </c:pt>
                <c:pt idx="56">
                  <c:v>2.0592916676467588</c:v>
                </c:pt>
                <c:pt idx="57">
                  <c:v>2.0960647331404503</c:v>
                </c:pt>
                <c:pt idx="58">
                  <c:v>2.1328377986341427</c:v>
                </c:pt>
                <c:pt idx="59">
                  <c:v>2.1696108641278347</c:v>
                </c:pt>
                <c:pt idx="60">
                  <c:v>2.2063839296215271</c:v>
                </c:pt>
                <c:pt idx="61">
                  <c:v>2.243156995115219</c:v>
                </c:pt>
                <c:pt idx="62">
                  <c:v>2.2799300606089115</c:v>
                </c:pt>
                <c:pt idx="63">
                  <c:v>2.316703126102603</c:v>
                </c:pt>
                <c:pt idx="64">
                  <c:v>2.3534761915962954</c:v>
                </c:pt>
                <c:pt idx="65">
                  <c:v>2.3902492570899874</c:v>
                </c:pt>
                <c:pt idx="66">
                  <c:v>2.4270223225836798</c:v>
                </c:pt>
                <c:pt idx="67">
                  <c:v>2.4637953880773718</c:v>
                </c:pt>
                <c:pt idx="68">
                  <c:v>2.5005684535710642</c:v>
                </c:pt>
                <c:pt idx="69">
                  <c:v>2.5373415190647557</c:v>
                </c:pt>
                <c:pt idx="70">
                  <c:v>2.5741145845584481</c:v>
                </c:pt>
                <c:pt idx="71">
                  <c:v>2.6108876500521396</c:v>
                </c:pt>
                <c:pt idx="72">
                  <c:v>2.647660715545832</c:v>
                </c:pt>
                <c:pt idx="73">
                  <c:v>2.6844337810395245</c:v>
                </c:pt>
                <c:pt idx="74">
                  <c:v>2.7212068465332164</c:v>
                </c:pt>
                <c:pt idx="75">
                  <c:v>2.7579799120269088</c:v>
                </c:pt>
                <c:pt idx="76">
                  <c:v>2.7947529775206008</c:v>
                </c:pt>
                <c:pt idx="77">
                  <c:v>2.8315260430142932</c:v>
                </c:pt>
                <c:pt idx="78">
                  <c:v>2.8682991085079852</c:v>
                </c:pt>
                <c:pt idx="79">
                  <c:v>2.9050721740016776</c:v>
                </c:pt>
                <c:pt idx="80">
                  <c:v>2.9418452394953691</c:v>
                </c:pt>
                <c:pt idx="81">
                  <c:v>2.9786183049890615</c:v>
                </c:pt>
                <c:pt idx="82">
                  <c:v>3.0153913704827531</c:v>
                </c:pt>
                <c:pt idx="83">
                  <c:v>3.0521644359764455</c:v>
                </c:pt>
                <c:pt idx="84">
                  <c:v>3.0889375014701375</c:v>
                </c:pt>
                <c:pt idx="85">
                  <c:v>3.1257105669638299</c:v>
                </c:pt>
                <c:pt idx="86">
                  <c:v>3.1624836324575218</c:v>
                </c:pt>
                <c:pt idx="87">
                  <c:v>3.1992566979512143</c:v>
                </c:pt>
                <c:pt idx="88">
                  <c:v>3.2360297634449058</c:v>
                </c:pt>
                <c:pt idx="89">
                  <c:v>3.2728028289385982</c:v>
                </c:pt>
                <c:pt idx="90">
                  <c:v>3.3095758944322902</c:v>
                </c:pt>
                <c:pt idx="91">
                  <c:v>3.3463489599259826</c:v>
                </c:pt>
                <c:pt idx="92">
                  <c:v>3.383122025419675</c:v>
                </c:pt>
                <c:pt idx="93">
                  <c:v>3.419895090913367</c:v>
                </c:pt>
                <c:pt idx="94">
                  <c:v>3.4566681564070589</c:v>
                </c:pt>
                <c:pt idx="95">
                  <c:v>3.4934412219007509</c:v>
                </c:pt>
                <c:pt idx="96">
                  <c:v>3.5302142873944429</c:v>
                </c:pt>
                <c:pt idx="97">
                  <c:v>3.5669873528881348</c:v>
                </c:pt>
                <c:pt idx="98">
                  <c:v>3.6037604183818273</c:v>
                </c:pt>
                <c:pt idx="99">
                  <c:v>3.6405334838755192</c:v>
                </c:pt>
                <c:pt idx="100">
                  <c:v>3.6773065493692116</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1.3231995854205605</c:v>
                </c:pt>
                <c:pt idx="37">
                  <c:v>1.3414514763837204</c:v>
                </c:pt>
                <c:pt idx="38">
                  <c:v>1.3594583421815412</c:v>
                </c:pt>
                <c:pt idx="39">
                  <c:v>1.3772297937388316</c:v>
                </c:pt>
                <c:pt idx="40">
                  <c:v>1.394774829639833</c:v>
                </c:pt>
                <c:pt idx="41">
                  <c:v>1.4121018893945811</c:v>
                </c:pt>
                <c:pt idx="42">
                  <c:v>1.4292189008919054</c:v>
                </c:pt>
                <c:pt idx="43">
                  <c:v>1.4461333227962032</c:v>
                </c:pt>
                <c:pt idx="44">
                  <c:v>1.4628521825312728</c:v>
                </c:pt>
                <c:pt idx="45">
                  <c:v>1.4793821103999563</c:v>
                </c:pt>
                <c:pt idx="46">
                  <c:v>1.4957293703094652</c:v>
                </c:pt>
                <c:pt idx="47">
                  <c:v>1.5118998875062031</c:v>
                </c:pt>
                <c:pt idx="48">
                  <c:v>1.5278992736683235</c:v>
                </c:pt>
                <c:pt idx="49">
                  <c:v>1.6943496016603063</c:v>
                </c:pt>
                <c:pt idx="50">
                  <c:v>1.7289281649594965</c:v>
                </c:pt>
                <c:pt idx="51">
                  <c:v>1.7635067282586865</c:v>
                </c:pt>
                <c:pt idx="52">
                  <c:v>1.7980852915578764</c:v>
                </c:pt>
                <c:pt idx="53">
                  <c:v>1.8326638548570662</c:v>
                </c:pt>
                <c:pt idx="54">
                  <c:v>1.8672424181562564</c:v>
                </c:pt>
                <c:pt idx="55">
                  <c:v>1.9018209814554461</c:v>
                </c:pt>
                <c:pt idx="56">
                  <c:v>1.936399544754636</c:v>
                </c:pt>
                <c:pt idx="57">
                  <c:v>1.9709781080538256</c:v>
                </c:pt>
                <c:pt idx="58">
                  <c:v>2.0055566713530157</c:v>
                </c:pt>
                <c:pt idx="59">
                  <c:v>2.0401352346522055</c:v>
                </c:pt>
                <c:pt idx="60">
                  <c:v>2.0747137979513957</c:v>
                </c:pt>
                <c:pt idx="61">
                  <c:v>2.1092923612505858</c:v>
                </c:pt>
                <c:pt idx="62">
                  <c:v>2.1438709245497756</c:v>
                </c:pt>
                <c:pt idx="63">
                  <c:v>2.1784494878489653</c:v>
                </c:pt>
                <c:pt idx="64">
                  <c:v>2.2130280511481555</c:v>
                </c:pt>
                <c:pt idx="65">
                  <c:v>2.2476066144473452</c:v>
                </c:pt>
                <c:pt idx="66">
                  <c:v>2.2821851777465354</c:v>
                </c:pt>
                <c:pt idx="67">
                  <c:v>2.3167637410457256</c:v>
                </c:pt>
                <c:pt idx="68">
                  <c:v>2.3513423043449153</c:v>
                </c:pt>
                <c:pt idx="69">
                  <c:v>2.385920867644105</c:v>
                </c:pt>
                <c:pt idx="70">
                  <c:v>2.4204994309432948</c:v>
                </c:pt>
                <c:pt idx="71">
                  <c:v>2.4550779942424845</c:v>
                </c:pt>
                <c:pt idx="72">
                  <c:v>2.4896565575416747</c:v>
                </c:pt>
                <c:pt idx="73">
                  <c:v>2.5242351208408644</c:v>
                </c:pt>
                <c:pt idx="74">
                  <c:v>2.5588136841400546</c:v>
                </c:pt>
                <c:pt idx="75">
                  <c:v>2.5933922474392448</c:v>
                </c:pt>
                <c:pt idx="76">
                  <c:v>2.6279708107384345</c:v>
                </c:pt>
                <c:pt idx="77">
                  <c:v>2.6625493740376247</c:v>
                </c:pt>
                <c:pt idx="78">
                  <c:v>2.6971279373368144</c:v>
                </c:pt>
                <c:pt idx="79">
                  <c:v>2.7317065006360046</c:v>
                </c:pt>
                <c:pt idx="80">
                  <c:v>2.7662850639351944</c:v>
                </c:pt>
                <c:pt idx="81">
                  <c:v>2.8008636272343841</c:v>
                </c:pt>
                <c:pt idx="82">
                  <c:v>2.8354421905335738</c:v>
                </c:pt>
                <c:pt idx="83">
                  <c:v>2.870020753832764</c:v>
                </c:pt>
                <c:pt idx="84">
                  <c:v>2.9045993171319537</c:v>
                </c:pt>
                <c:pt idx="85">
                  <c:v>2.9391778804311439</c:v>
                </c:pt>
                <c:pt idx="86">
                  <c:v>2.9737564437303341</c:v>
                </c:pt>
                <c:pt idx="87">
                  <c:v>3.0083350070295238</c:v>
                </c:pt>
                <c:pt idx="88">
                  <c:v>3.0429135703287136</c:v>
                </c:pt>
                <c:pt idx="89">
                  <c:v>3.0774921336279037</c:v>
                </c:pt>
                <c:pt idx="90">
                  <c:v>3.1120706969270935</c:v>
                </c:pt>
                <c:pt idx="91">
                  <c:v>3.1466492602262837</c:v>
                </c:pt>
                <c:pt idx="92">
                  <c:v>3.1812278235254734</c:v>
                </c:pt>
                <c:pt idx="93">
                  <c:v>3.2158063868246636</c:v>
                </c:pt>
                <c:pt idx="94">
                  <c:v>3.2503849501238533</c:v>
                </c:pt>
                <c:pt idx="95">
                  <c:v>3.284963513423043</c:v>
                </c:pt>
                <c:pt idx="96">
                  <c:v>3.3195420767222328</c:v>
                </c:pt>
                <c:pt idx="97">
                  <c:v>3.354120640021423</c:v>
                </c:pt>
                <c:pt idx="98">
                  <c:v>3.3886992033206127</c:v>
                </c:pt>
                <c:pt idx="99">
                  <c:v>3.4232777666198029</c:v>
                </c:pt>
                <c:pt idx="100">
                  <c:v>3.4578563299189931</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1.2034399447738953</c:v>
                </c:pt>
                <c:pt idx="15">
                  <c:v>1.2227477731158209</c:v>
                </c:pt>
                <c:pt idx="16">
                  <c:v>1.2414220379646934</c:v>
                </c:pt>
                <c:pt idx="17">
                  <c:v>1.2595212949402743</c:v>
                </c:pt>
                <c:pt idx="18">
                  <c:v>1.2770955998094045</c:v>
                </c:pt>
                <c:pt idx="19">
                  <c:v>1.2941881416647931</c:v>
                </c:pt>
                <c:pt idx="20">
                  <c:v>1.3108364935110917</c:v>
                </c:pt>
                <c:pt idx="21">
                  <c:v>1.3270735844137671</c:v>
                </c:pt>
                <c:pt idx="22">
                  <c:v>1.3429284654276028</c:v>
                </c:pt>
                <c:pt idx="23">
                  <c:v>1.3584269203771384</c:v>
                </c:pt>
                <c:pt idx="24">
                  <c:v>1.3735919582539147</c:v>
                </c:pt>
                <c:pt idx="25">
                  <c:v>1.3884442141225337</c:v>
                </c:pt>
                <c:pt idx="26">
                  <c:v>1.4030022784930356</c:v>
                </c:pt>
                <c:pt idx="27">
                  <c:v>1.4172829701674952</c:v>
                </c:pt>
                <c:pt idx="28">
                  <c:v>1.4313015639836824</c:v>
                </c:pt>
                <c:pt idx="29">
                  <c:v>1.4450719822468632</c:v>
                </c:pt>
                <c:pt idx="30">
                  <c:v>1.4586069566848054</c:v>
                </c:pt>
                <c:pt idx="31">
                  <c:v>1.4719181662906728</c:v>
                </c:pt>
                <c:pt idx="32">
                  <c:v>1.4850163553014282</c:v>
                </c:pt>
                <c:pt idx="33">
                  <c:v>1.4979114347023952</c:v>
                </c:pt>
                <c:pt idx="34">
                  <c:v>1.5106125699851702</c:v>
                </c:pt>
                <c:pt idx="35">
                  <c:v>1.5231282573680414</c:v>
                </c:pt>
                <c:pt idx="36">
                  <c:v>1.6199709892660283</c:v>
                </c:pt>
                <c:pt idx="37">
                  <c:v>1.6468220352641589</c:v>
                </c:pt>
                <c:pt idx="38">
                  <c:v>1.6736730812622893</c:v>
                </c:pt>
                <c:pt idx="39">
                  <c:v>1.7005241272604197</c:v>
                </c:pt>
                <c:pt idx="40">
                  <c:v>1.7273751732585501</c:v>
                </c:pt>
                <c:pt idx="41">
                  <c:v>1.7542262192566804</c:v>
                </c:pt>
                <c:pt idx="42">
                  <c:v>1.7810772652548108</c:v>
                </c:pt>
                <c:pt idx="43">
                  <c:v>1.8079283112529414</c:v>
                </c:pt>
                <c:pt idx="44">
                  <c:v>1.8347793572510718</c:v>
                </c:pt>
                <c:pt idx="45">
                  <c:v>1.8616304032492021</c:v>
                </c:pt>
                <c:pt idx="46">
                  <c:v>1.8884814492473327</c:v>
                </c:pt>
                <c:pt idx="47">
                  <c:v>1.9153324952454631</c:v>
                </c:pt>
                <c:pt idx="48">
                  <c:v>1.9421835412435935</c:v>
                </c:pt>
                <c:pt idx="49">
                  <c:v>1.9690345872417239</c:v>
                </c:pt>
                <c:pt idx="50">
                  <c:v>1.9958856332398542</c:v>
                </c:pt>
                <c:pt idx="51">
                  <c:v>2.0227366792379851</c:v>
                </c:pt>
                <c:pt idx="52">
                  <c:v>2.0495877252361154</c:v>
                </c:pt>
                <c:pt idx="53">
                  <c:v>2.0764387712342458</c:v>
                </c:pt>
                <c:pt idx="54">
                  <c:v>2.1032898172323762</c:v>
                </c:pt>
                <c:pt idx="55">
                  <c:v>2.1301408632305066</c:v>
                </c:pt>
                <c:pt idx="56">
                  <c:v>2.1569919092286369</c:v>
                </c:pt>
                <c:pt idx="57">
                  <c:v>2.1838429552267673</c:v>
                </c:pt>
                <c:pt idx="58">
                  <c:v>2.2106940012248977</c:v>
                </c:pt>
                <c:pt idx="59">
                  <c:v>2.237545047223028</c:v>
                </c:pt>
                <c:pt idx="60">
                  <c:v>2.2643960932211584</c:v>
                </c:pt>
                <c:pt idx="61">
                  <c:v>2.2912471392192888</c:v>
                </c:pt>
                <c:pt idx="62">
                  <c:v>2.3180981852174196</c:v>
                </c:pt>
                <c:pt idx="63">
                  <c:v>2.3449492312155495</c:v>
                </c:pt>
                <c:pt idx="64">
                  <c:v>2.3718002772136799</c:v>
                </c:pt>
                <c:pt idx="65">
                  <c:v>2.3986513232118107</c:v>
                </c:pt>
                <c:pt idx="66">
                  <c:v>2.4255023692099416</c:v>
                </c:pt>
                <c:pt idx="67">
                  <c:v>2.4523534152080719</c:v>
                </c:pt>
                <c:pt idx="68">
                  <c:v>2.4792044612062023</c:v>
                </c:pt>
                <c:pt idx="69">
                  <c:v>2.5060555072043327</c:v>
                </c:pt>
                <c:pt idx="70">
                  <c:v>2.5329065532024631</c:v>
                </c:pt>
                <c:pt idx="71">
                  <c:v>2.5597575992005934</c:v>
                </c:pt>
                <c:pt idx="72">
                  <c:v>2.5866086451987238</c:v>
                </c:pt>
                <c:pt idx="73">
                  <c:v>2.6134596911968542</c:v>
                </c:pt>
                <c:pt idx="74">
                  <c:v>2.6403107371949845</c:v>
                </c:pt>
                <c:pt idx="75">
                  <c:v>2.6671617831931149</c:v>
                </c:pt>
                <c:pt idx="76">
                  <c:v>2.6940128291912453</c:v>
                </c:pt>
                <c:pt idx="77">
                  <c:v>2.7208638751893757</c:v>
                </c:pt>
                <c:pt idx="78">
                  <c:v>2.747714921187506</c:v>
                </c:pt>
                <c:pt idx="79">
                  <c:v>2.7745659671856373</c:v>
                </c:pt>
                <c:pt idx="80">
                  <c:v>2.8014170131837668</c:v>
                </c:pt>
                <c:pt idx="81">
                  <c:v>2.8282680591818972</c:v>
                </c:pt>
                <c:pt idx="82">
                  <c:v>2.8551191051800275</c:v>
                </c:pt>
                <c:pt idx="83">
                  <c:v>2.8819701511781579</c:v>
                </c:pt>
                <c:pt idx="84">
                  <c:v>2.9088211971762883</c:v>
                </c:pt>
                <c:pt idx="85">
                  <c:v>2.9356722431744195</c:v>
                </c:pt>
                <c:pt idx="86">
                  <c:v>2.9625232891725499</c:v>
                </c:pt>
                <c:pt idx="87">
                  <c:v>2.9893743351706803</c:v>
                </c:pt>
                <c:pt idx="88">
                  <c:v>3.0162253811688107</c:v>
                </c:pt>
                <c:pt idx="89">
                  <c:v>3.043076427166941</c:v>
                </c:pt>
                <c:pt idx="90">
                  <c:v>3.0699274731650714</c:v>
                </c:pt>
                <c:pt idx="91">
                  <c:v>3.0967785191632018</c:v>
                </c:pt>
                <c:pt idx="92">
                  <c:v>3.1236295651613322</c:v>
                </c:pt>
                <c:pt idx="93">
                  <c:v>3.150480611159463</c:v>
                </c:pt>
                <c:pt idx="94">
                  <c:v>3.1773316571575929</c:v>
                </c:pt>
                <c:pt idx="95">
                  <c:v>3.2041827031557233</c:v>
                </c:pt>
                <c:pt idx="96">
                  <c:v>3.2310337491538537</c:v>
                </c:pt>
                <c:pt idx="97">
                  <c:v>3.257884795151984</c:v>
                </c:pt>
                <c:pt idx="98">
                  <c:v>3.2847358411501144</c:v>
                </c:pt>
                <c:pt idx="99">
                  <c:v>3.3115868871482448</c:v>
                </c:pt>
                <c:pt idx="100">
                  <c:v>3.3384379331463752</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Single'!$AK$5:$AK$105</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1.2331966160231385</c:v>
                </c:pt>
                <c:pt idx="15">
                  <c:v>1.2535488541004844</c:v>
                </c:pt>
                <c:pt idx="16">
                  <c:v>1.2732332576177037</c:v>
                </c:pt>
                <c:pt idx="17">
                  <c:v>1.2923115496175455</c:v>
                </c:pt>
                <c:pt idx="18">
                  <c:v>1.3108364935110917</c:v>
                </c:pt>
                <c:pt idx="19">
                  <c:v>1.3288536145993546</c:v>
                </c:pt>
                <c:pt idx="20">
                  <c:v>1.3464025183067456</c:v>
                </c:pt>
                <c:pt idx="21">
                  <c:v>1.3635179149159635</c:v>
                </c:pt>
                <c:pt idx="22">
                  <c:v>1.3802304269275236</c:v>
                </c:pt>
                <c:pt idx="23">
                  <c:v>1.3965672328788712</c:v>
                </c:pt>
                <c:pt idx="24">
                  <c:v>1.4125525863766502</c:v>
                </c:pt>
                <c:pt idx="25">
                  <c:v>1.4282082386887962</c:v>
                </c:pt>
                <c:pt idx="26">
                  <c:v>1.4435537859335068</c:v>
                </c:pt>
                <c:pt idx="27">
                  <c:v>1.4586069566848054</c:v>
                </c:pt>
                <c:pt idx="28">
                  <c:v>1.4733838520354399</c:v>
                </c:pt>
                <c:pt idx="29">
                  <c:v>1.4878991473837169</c:v>
                </c:pt>
                <c:pt idx="30">
                  <c:v>1.5021662631490686</c:v>
                </c:pt>
                <c:pt idx="31">
                  <c:v>1.5161975100712199</c:v>
                </c:pt>
                <c:pt idx="32">
                  <c:v>1.5300042135703447</c:v>
                </c:pt>
                <c:pt idx="33">
                  <c:v>1.5435968207422697</c:v>
                </c:pt>
                <c:pt idx="34">
                  <c:v>1.5569849928634352</c:v>
                </c:pt>
                <c:pt idx="35">
                  <c:v>1.5701776857342697</c:v>
                </c:pt>
                <c:pt idx="36">
                  <c:v>1.5831832197598887</c:v>
                </c:pt>
                <c:pt idx="37">
                  <c:v>1.5960093413262511</c:v>
                </c:pt>
                <c:pt idx="38">
                  <c:v>1.6086632767578286</c:v>
                </c:pt>
                <c:pt idx="39">
                  <c:v>1.6211517799241362</c:v>
                </c:pt>
                <c:pt idx="40">
                  <c:v>1.6334811743856004</c:v>
                </c:pt>
                <c:pt idx="41">
                  <c:v>1.6456573908253431</c:v>
                </c:pt>
                <c:pt idx="42">
                  <c:v>1.6576860003957508</c:v>
                </c:pt>
                <c:pt idx="43">
                  <c:v>1.7074945441525071</c:v>
                </c:pt>
                <c:pt idx="44">
                  <c:v>1.7320099211483018</c:v>
                </c:pt>
                <c:pt idx="45">
                  <c:v>1.7565252981440969</c:v>
                </c:pt>
                <c:pt idx="46">
                  <c:v>1.7810406751398915</c:v>
                </c:pt>
                <c:pt idx="47">
                  <c:v>1.8055560521356864</c:v>
                </c:pt>
                <c:pt idx="48">
                  <c:v>1.830071429131481</c:v>
                </c:pt>
                <c:pt idx="49">
                  <c:v>1.8545868061272759</c:v>
                </c:pt>
                <c:pt idx="50">
                  <c:v>1.8791021831230705</c:v>
                </c:pt>
                <c:pt idx="51">
                  <c:v>1.9036175601188654</c:v>
                </c:pt>
                <c:pt idx="52">
                  <c:v>1.9281329371146601</c:v>
                </c:pt>
                <c:pt idx="53">
                  <c:v>1.9526483141104547</c:v>
                </c:pt>
                <c:pt idx="54">
                  <c:v>1.9771636911062498</c:v>
                </c:pt>
                <c:pt idx="55">
                  <c:v>2.0016790681020442</c:v>
                </c:pt>
                <c:pt idx="56">
                  <c:v>2.0261944450978393</c:v>
                </c:pt>
                <c:pt idx="57">
                  <c:v>2.0507098220936335</c:v>
                </c:pt>
                <c:pt idx="58">
                  <c:v>2.0752251990894286</c:v>
                </c:pt>
                <c:pt idx="59">
                  <c:v>2.0997405760852232</c:v>
                </c:pt>
                <c:pt idx="60">
                  <c:v>2.1242559530810183</c:v>
                </c:pt>
                <c:pt idx="61">
                  <c:v>2.148771330076813</c:v>
                </c:pt>
                <c:pt idx="62">
                  <c:v>2.1732867070726076</c:v>
                </c:pt>
                <c:pt idx="63">
                  <c:v>2.1978020840684023</c:v>
                </c:pt>
                <c:pt idx="64">
                  <c:v>2.2223174610641969</c:v>
                </c:pt>
                <c:pt idx="65">
                  <c:v>2.2468328380599916</c:v>
                </c:pt>
                <c:pt idx="66">
                  <c:v>2.2713482150557867</c:v>
                </c:pt>
                <c:pt idx="67">
                  <c:v>2.2958635920515813</c:v>
                </c:pt>
                <c:pt idx="68">
                  <c:v>2.3203789690473764</c:v>
                </c:pt>
                <c:pt idx="69">
                  <c:v>2.3448943460431706</c:v>
                </c:pt>
                <c:pt idx="70">
                  <c:v>2.3694097230389657</c:v>
                </c:pt>
                <c:pt idx="71">
                  <c:v>2.3939251000347599</c:v>
                </c:pt>
                <c:pt idx="72">
                  <c:v>2.418440477030555</c:v>
                </c:pt>
                <c:pt idx="73">
                  <c:v>2.4429558540263496</c:v>
                </c:pt>
                <c:pt idx="74">
                  <c:v>2.4674712310221443</c:v>
                </c:pt>
                <c:pt idx="75">
                  <c:v>2.4919866080179398</c:v>
                </c:pt>
                <c:pt idx="76">
                  <c:v>2.5165019850137345</c:v>
                </c:pt>
                <c:pt idx="77">
                  <c:v>2.5410173620095291</c:v>
                </c:pt>
                <c:pt idx="78">
                  <c:v>2.5655327390053237</c:v>
                </c:pt>
                <c:pt idx="79">
                  <c:v>2.5900481160011184</c:v>
                </c:pt>
                <c:pt idx="80">
                  <c:v>2.614563492996913</c:v>
                </c:pt>
                <c:pt idx="81">
                  <c:v>2.6390788699927077</c:v>
                </c:pt>
                <c:pt idx="82">
                  <c:v>2.6635942469885023</c:v>
                </c:pt>
                <c:pt idx="83">
                  <c:v>2.688109623984297</c:v>
                </c:pt>
                <c:pt idx="84">
                  <c:v>2.7126250009800916</c:v>
                </c:pt>
                <c:pt idx="85">
                  <c:v>2.7371403779758872</c:v>
                </c:pt>
                <c:pt idx="86">
                  <c:v>2.7616557549716818</c:v>
                </c:pt>
                <c:pt idx="87">
                  <c:v>2.7861711319674765</c:v>
                </c:pt>
                <c:pt idx="88">
                  <c:v>2.8106865089632707</c:v>
                </c:pt>
                <c:pt idx="89">
                  <c:v>2.8352018859590657</c:v>
                </c:pt>
                <c:pt idx="90">
                  <c:v>2.8597172629548604</c:v>
                </c:pt>
                <c:pt idx="91">
                  <c:v>2.8842326399506555</c:v>
                </c:pt>
                <c:pt idx="92">
                  <c:v>2.9087480169464506</c:v>
                </c:pt>
                <c:pt idx="93">
                  <c:v>2.9332633939422448</c:v>
                </c:pt>
                <c:pt idx="94">
                  <c:v>2.9577787709380399</c:v>
                </c:pt>
                <c:pt idx="95">
                  <c:v>2.9822941479338341</c:v>
                </c:pt>
                <c:pt idx="96">
                  <c:v>3.0068095249296292</c:v>
                </c:pt>
                <c:pt idx="97">
                  <c:v>3.0313249019254234</c:v>
                </c:pt>
                <c:pt idx="98">
                  <c:v>3.0558402789212185</c:v>
                </c:pt>
                <c:pt idx="99">
                  <c:v>3.0803556559170131</c:v>
                </c:pt>
                <c:pt idx="100">
                  <c:v>3.1048710329128082</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1.2034399447738953</c:v>
                </c:pt>
                <c:pt idx="15">
                  <c:v>1.2227477731158209</c:v>
                </c:pt>
                <c:pt idx="16">
                  <c:v>1.2414220379646934</c:v>
                </c:pt>
                <c:pt idx="17">
                  <c:v>1.2595212949402743</c:v>
                </c:pt>
                <c:pt idx="18">
                  <c:v>1.2770955998094045</c:v>
                </c:pt>
                <c:pt idx="19">
                  <c:v>1.2941881416647931</c:v>
                </c:pt>
                <c:pt idx="20">
                  <c:v>1.3108364935110917</c:v>
                </c:pt>
                <c:pt idx="21">
                  <c:v>1.3270735844137671</c:v>
                </c:pt>
                <c:pt idx="22">
                  <c:v>1.3429284654276028</c:v>
                </c:pt>
                <c:pt idx="23">
                  <c:v>1.3584269203771384</c:v>
                </c:pt>
                <c:pt idx="24">
                  <c:v>1.3735919582539147</c:v>
                </c:pt>
                <c:pt idx="25">
                  <c:v>1.3884442141225337</c:v>
                </c:pt>
                <c:pt idx="26">
                  <c:v>1.4030022784930356</c:v>
                </c:pt>
                <c:pt idx="27">
                  <c:v>1.4172829701674952</c:v>
                </c:pt>
                <c:pt idx="28">
                  <c:v>1.4313015639836824</c:v>
                </c:pt>
                <c:pt idx="29">
                  <c:v>1.4450719822468632</c:v>
                </c:pt>
                <c:pt idx="30">
                  <c:v>1.4586069566848054</c:v>
                </c:pt>
                <c:pt idx="31">
                  <c:v>1.4719181662906728</c:v>
                </c:pt>
                <c:pt idx="32">
                  <c:v>1.4850163553014282</c:v>
                </c:pt>
                <c:pt idx="33">
                  <c:v>1.4979114347023952</c:v>
                </c:pt>
                <c:pt idx="34">
                  <c:v>1.5106125699851702</c:v>
                </c:pt>
                <c:pt idx="35">
                  <c:v>1.5231282573680414</c:v>
                </c:pt>
                <c:pt idx="36">
                  <c:v>1.5354663902803738</c:v>
                </c:pt>
                <c:pt idx="37">
                  <c:v>1.5476343175891469</c:v>
                </c:pt>
                <c:pt idx="38">
                  <c:v>1.5596388947876942</c:v>
                </c:pt>
                <c:pt idx="39">
                  <c:v>1.571486529159221</c:v>
                </c:pt>
                <c:pt idx="40">
                  <c:v>1.5831832197598887</c:v>
                </c:pt>
                <c:pt idx="41">
                  <c:v>1.5947345929297208</c:v>
                </c:pt>
                <c:pt idx="42">
                  <c:v>1.6061459339279369</c:v>
                </c:pt>
                <c:pt idx="43">
                  <c:v>1.6174222151974689</c:v>
                </c:pt>
                <c:pt idx="44">
                  <c:v>1.6285681216875152</c:v>
                </c:pt>
                <c:pt idx="45">
                  <c:v>1.6395880735999708</c:v>
                </c:pt>
                <c:pt idx="46">
                  <c:v>1.6504862468729768</c:v>
                </c:pt>
                <c:pt idx="47">
                  <c:v>1.661266591670802</c:v>
                </c:pt>
                <c:pt idx="48">
                  <c:v>1.6719328491122156</c:v>
                </c:pt>
                <c:pt idx="49">
                  <c:v>1.7828997344402042</c:v>
                </c:pt>
                <c:pt idx="50">
                  <c:v>1.8059521099729978</c:v>
                </c:pt>
                <c:pt idx="51">
                  <c:v>1.829004485505791</c:v>
                </c:pt>
                <c:pt idx="52">
                  <c:v>1.8520568610385844</c:v>
                </c:pt>
                <c:pt idx="53">
                  <c:v>1.8751092365713775</c:v>
                </c:pt>
                <c:pt idx="54">
                  <c:v>1.8981616121041711</c:v>
                </c:pt>
                <c:pt idx="55">
                  <c:v>1.9212139876369643</c:v>
                </c:pt>
                <c:pt idx="56">
                  <c:v>1.9442663631697574</c:v>
                </c:pt>
                <c:pt idx="57">
                  <c:v>1.9673187387025506</c:v>
                </c:pt>
                <c:pt idx="58">
                  <c:v>1.990371114235344</c:v>
                </c:pt>
                <c:pt idx="59">
                  <c:v>2.0134234897681371</c:v>
                </c:pt>
                <c:pt idx="60">
                  <c:v>2.0364758653009307</c:v>
                </c:pt>
                <c:pt idx="61">
                  <c:v>2.0595282408337239</c:v>
                </c:pt>
                <c:pt idx="62">
                  <c:v>2.082580616366517</c:v>
                </c:pt>
                <c:pt idx="63">
                  <c:v>2.1056329918993102</c:v>
                </c:pt>
                <c:pt idx="64">
                  <c:v>2.1286853674321038</c:v>
                </c:pt>
                <c:pt idx="65">
                  <c:v>2.1517377429648969</c:v>
                </c:pt>
                <c:pt idx="66">
                  <c:v>2.1747901184976905</c:v>
                </c:pt>
                <c:pt idx="67">
                  <c:v>2.1978424940304837</c:v>
                </c:pt>
                <c:pt idx="68">
                  <c:v>2.2208948695632769</c:v>
                </c:pt>
                <c:pt idx="69">
                  <c:v>2.24394724509607</c:v>
                </c:pt>
                <c:pt idx="70">
                  <c:v>2.2669996206288632</c:v>
                </c:pt>
                <c:pt idx="71">
                  <c:v>2.2900519961616563</c:v>
                </c:pt>
                <c:pt idx="72">
                  <c:v>2.3131043716944499</c:v>
                </c:pt>
                <c:pt idx="73">
                  <c:v>2.3361567472272431</c:v>
                </c:pt>
                <c:pt idx="74">
                  <c:v>2.3592091227600367</c:v>
                </c:pt>
                <c:pt idx="75">
                  <c:v>2.3822614982928298</c:v>
                </c:pt>
                <c:pt idx="76">
                  <c:v>2.405313873825623</c:v>
                </c:pt>
                <c:pt idx="77">
                  <c:v>2.4283662493584171</c:v>
                </c:pt>
                <c:pt idx="78">
                  <c:v>2.4514186248912102</c:v>
                </c:pt>
                <c:pt idx="79">
                  <c:v>2.4744710004240034</c:v>
                </c:pt>
                <c:pt idx="80">
                  <c:v>2.4975233759567965</c:v>
                </c:pt>
                <c:pt idx="81">
                  <c:v>2.5205757514895897</c:v>
                </c:pt>
                <c:pt idx="82">
                  <c:v>2.5436281270223828</c:v>
                </c:pt>
                <c:pt idx="83">
                  <c:v>2.566680502555176</c:v>
                </c:pt>
                <c:pt idx="84">
                  <c:v>2.5897328780879691</c:v>
                </c:pt>
                <c:pt idx="85">
                  <c:v>2.6127852536207632</c:v>
                </c:pt>
                <c:pt idx="86">
                  <c:v>2.6358376291535563</c:v>
                </c:pt>
                <c:pt idx="87">
                  <c:v>2.6588900046863495</c:v>
                </c:pt>
                <c:pt idx="88">
                  <c:v>2.6819423802191427</c:v>
                </c:pt>
                <c:pt idx="89">
                  <c:v>2.7049947557519358</c:v>
                </c:pt>
                <c:pt idx="90">
                  <c:v>2.728047131284729</c:v>
                </c:pt>
                <c:pt idx="91">
                  <c:v>2.751099506817523</c:v>
                </c:pt>
                <c:pt idx="92">
                  <c:v>2.7741518823503162</c:v>
                </c:pt>
                <c:pt idx="93">
                  <c:v>2.7972042578831093</c:v>
                </c:pt>
                <c:pt idx="94">
                  <c:v>2.8202566334159025</c:v>
                </c:pt>
                <c:pt idx="95">
                  <c:v>2.8433090089486956</c:v>
                </c:pt>
                <c:pt idx="96">
                  <c:v>2.8663613844814888</c:v>
                </c:pt>
                <c:pt idx="97">
                  <c:v>2.8894137600142824</c:v>
                </c:pt>
                <c:pt idx="98">
                  <c:v>2.9124661355470751</c:v>
                </c:pt>
                <c:pt idx="99">
                  <c:v>2.9355185110798687</c:v>
                </c:pt>
                <c:pt idx="100">
                  <c:v>2.9585708866126623</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Single'!$CD$5:$CD$105</c:f>
              <c:numCache>
                <c:formatCode>0.00</c:formatCode>
                <c:ptCount val="101"/>
                <c:pt idx="0">
                  <c:v>4.9255066894924497E-5</c:v>
                </c:pt>
                <c:pt idx="1">
                  <c:v>65.307407398648593</c:v>
                </c:pt>
                <c:pt idx="2">
                  <c:v>72.826526911097218</c:v>
                </c:pt>
                <c:pt idx="3">
                  <c:v>75.732791791281812</c:v>
                </c:pt>
                <c:pt idx="4">
                  <c:v>77.274505464177878</c:v>
                </c:pt>
                <c:pt idx="5">
                  <c:v>78.229893008207142</c:v>
                </c:pt>
                <c:pt idx="6">
                  <c:v>78.879930427220771</c:v>
                </c:pt>
                <c:pt idx="7">
                  <c:v>79.350791202658911</c:v>
                </c:pt>
                <c:pt idx="8">
                  <c:v>79.707549657986604</c:v>
                </c:pt>
                <c:pt idx="9">
                  <c:v>79.987170997033388</c:v>
                </c:pt>
                <c:pt idx="10">
                  <c:v>80.21220938020754</c:v>
                </c:pt>
                <c:pt idx="11">
                  <c:v>80.397207006075661</c:v>
                </c:pt>
                <c:pt idx="12">
                  <c:v>80.551961567594788</c:v>
                </c:pt>
                <c:pt idx="13">
                  <c:v>80.227387386703342</c:v>
                </c:pt>
                <c:pt idx="14">
                  <c:v>79.706747129393179</c:v>
                </c:pt>
                <c:pt idx="15">
                  <c:v>79.944019824166602</c:v>
                </c:pt>
                <c:pt idx="16">
                  <c:v>80.152907985930426</c:v>
                </c:pt>
                <c:pt idx="17">
                  <c:v>80.338129091679022</c:v>
                </c:pt>
                <c:pt idx="18">
                  <c:v>80.503405066624396</c:v>
                </c:pt>
                <c:pt idx="19">
                  <c:v>80.651712642023128</c:v>
                </c:pt>
                <c:pt idx="20">
                  <c:v>80.7854616062709</c:v>
                </c:pt>
                <c:pt idx="21">
                  <c:v>80.90662410716719</c:v>
                </c:pt>
                <c:pt idx="22">
                  <c:v>81.016830026450648</c:v>
                </c:pt>
                <c:pt idx="23">
                  <c:v>81.11743839467367</c:v>
                </c:pt>
                <c:pt idx="24">
                  <c:v>81.209591598261625</c:v>
                </c:pt>
                <c:pt idx="25">
                  <c:v>81.29425703760856</c:v>
                </c:pt>
                <c:pt idx="26">
                  <c:v>81.372259505414902</c:v>
                </c:pt>
                <c:pt idx="27">
                  <c:v>81.444306614818913</c:v>
                </c:pt>
                <c:pt idx="28">
                  <c:v>81.511008960812632</c:v>
                </c:pt>
                <c:pt idx="29">
                  <c:v>81.57289624738425</c:v>
                </c:pt>
                <c:pt idx="30">
                  <c:v>81.630430293460037</c:v>
                </c:pt>
                <c:pt idx="31">
                  <c:v>81.68401560162792</c:v>
                </c:pt>
                <c:pt idx="32">
                  <c:v>81.734008007294292</c:v>
                </c:pt>
                <c:pt idx="33">
                  <c:v>81.780721803805378</c:v>
                </c:pt>
                <c:pt idx="34">
                  <c:v>81.82443564845839</c:v>
                </c:pt>
                <c:pt idx="35">
                  <c:v>81.865397486446739</c:v>
                </c:pt>
                <c:pt idx="36">
                  <c:v>81.90382867845986</c:v>
                </c:pt>
                <c:pt idx="37">
                  <c:v>81.939927478519934</c:v>
                </c:pt>
                <c:pt idx="38">
                  <c:v>81.973871978549525</c:v>
                </c:pt>
                <c:pt idx="39">
                  <c:v>82.005822612858594</c:v>
                </c:pt>
                <c:pt idx="40">
                  <c:v>82.287394016407546</c:v>
                </c:pt>
                <c:pt idx="41">
                  <c:v>82.591633621255184</c:v>
                </c:pt>
                <c:pt idx="42">
                  <c:v>82.882028031698979</c:v>
                </c:pt>
                <c:pt idx="43">
                  <c:v>82.311724590555826</c:v>
                </c:pt>
                <c:pt idx="44">
                  <c:v>82.315076284094928</c:v>
                </c:pt>
                <c:pt idx="45">
                  <c:v>82.314756753212478</c:v>
                </c:pt>
                <c:pt idx="46">
                  <c:v>82.31105531894886</c:v>
                </c:pt>
                <c:pt idx="47">
                  <c:v>82.304232954791061</c:v>
                </c:pt>
                <c:pt idx="48">
                  <c:v>82.294525578102153</c:v>
                </c:pt>
                <c:pt idx="49">
                  <c:v>82.282146902114178</c:v>
                </c:pt>
                <c:pt idx="50">
                  <c:v>82.267290914407937</c:v>
                </c:pt>
                <c:pt idx="51">
                  <c:v>82.250134036877114</c:v>
                </c:pt>
                <c:pt idx="52">
                  <c:v>82.230837013223407</c:v>
                </c:pt>
                <c:pt idx="53">
                  <c:v>82.209546562668521</c:v>
                </c:pt>
                <c:pt idx="54">
                  <c:v>82.1863968324909</c:v>
                </c:pt>
                <c:pt idx="55">
                  <c:v>82.16151067696083</c:v>
                </c:pt>
                <c:pt idx="56">
                  <c:v>82.135000786061937</c:v>
                </c:pt>
                <c:pt idx="57">
                  <c:v>82.106970683896222</c:v>
                </c:pt>
                <c:pt idx="58">
                  <c:v>82.077515613747963</c:v>
                </c:pt>
                <c:pt idx="59">
                  <c:v>82.046723324330358</c:v>
                </c:pt>
                <c:pt idx="60">
                  <c:v>82.014674769673363</c:v>
                </c:pt>
                <c:pt idx="61">
                  <c:v>81.981444733368662</c:v>
                </c:pt>
                <c:pt idx="62">
                  <c:v>81.947102386411117</c:v>
                </c:pt>
                <c:pt idx="63">
                  <c:v>81.911711786622604</c:v>
                </c:pt>
                <c:pt idx="64">
                  <c:v>81.875332326577237</c:v>
                </c:pt>
                <c:pt idx="65">
                  <c:v>81.838019136036223</c:v>
                </c:pt>
                <c:pt idx="66">
                  <c:v>81.799823444121103</c:v>
                </c:pt>
                <c:pt idx="67">
                  <c:v>81.760792905785777</c:v>
                </c:pt>
                <c:pt idx="68">
                  <c:v>81.720971896573062</c:v>
                </c:pt>
                <c:pt idx="69">
                  <c:v>81.680401779146436</c:v>
                </c:pt>
                <c:pt idx="70">
                  <c:v>81.639121144659669</c:v>
                </c:pt>
                <c:pt idx="71">
                  <c:v>81.597166031657224</c:v>
                </c:pt>
                <c:pt idx="72">
                  <c:v>81.554570124877259</c:v>
                </c:pt>
                <c:pt idx="73">
                  <c:v>81.511364936050015</c:v>
                </c:pt>
                <c:pt idx="74">
                  <c:v>81.4675799685416</c:v>
                </c:pt>
                <c:pt idx="75">
                  <c:v>81.423242867481179</c:v>
                </c:pt>
                <c:pt idx="76">
                  <c:v>81.378379556824498</c:v>
                </c:pt>
                <c:pt idx="77">
                  <c:v>81.333014364644526</c:v>
                </c:pt>
                <c:pt idx="78">
                  <c:v>81.28717013779719</c:v>
                </c:pt>
                <c:pt idx="79">
                  <c:v>81.240868346986332</c:v>
                </c:pt>
                <c:pt idx="80">
                  <c:v>81.194129183140561</c:v>
                </c:pt>
                <c:pt idx="81">
                  <c:v>81.146971645918825</c:v>
                </c:pt>
                <c:pt idx="82">
                  <c:v>81.099413625075357</c:v>
                </c:pt>
                <c:pt idx="83">
                  <c:v>81.051471975338572</c:v>
                </c:pt>
                <c:pt idx="84">
                  <c:v>81.003162585392445</c:v>
                </c:pt>
                <c:pt idx="85">
                  <c:v>80.954500441487966</c:v>
                </c:pt>
                <c:pt idx="86">
                  <c:v>80.905499686160454</c:v>
                </c:pt>
                <c:pt idx="87">
                  <c:v>80.856173672481134</c:v>
                </c:pt>
                <c:pt idx="88">
                  <c:v>80.80653501422924</c:v>
                </c:pt>
                <c:pt idx="89">
                  <c:v>80.756595632333671</c:v>
                </c:pt>
                <c:pt idx="90">
                  <c:v>80.706366797900117</c:v>
                </c:pt>
                <c:pt idx="91">
                  <c:v>80.655859172109061</c:v>
                </c:pt>
                <c:pt idx="92">
                  <c:v>80.605082843243821</c:v>
                </c:pt>
                <c:pt idx="93">
                  <c:v>80.554047361083789</c:v>
                </c:pt>
                <c:pt idx="94">
                  <c:v>80.50276176887597</c:v>
                </c:pt>
                <c:pt idx="95">
                  <c:v>80.451234633079309</c:v>
                </c:pt>
                <c:pt idx="96">
                  <c:v>80.399474071058123</c:v>
                </c:pt>
                <c:pt idx="97">
                  <c:v>80.347487776885998</c:v>
                </c:pt>
                <c:pt idx="98">
                  <c:v>80.295283045406606</c:v>
                </c:pt>
                <c:pt idx="99">
                  <c:v>80.242866794685824</c:v>
                </c:pt>
                <c:pt idx="100">
                  <c:v>80.190245586977298</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8.493583690684682</c:v>
                </c:pt>
                <c:pt idx="1">
                  <c:v>10.327784120120123</c:v>
                </c:pt>
                <c:pt idx="2">
                  <c:v>12.093674906906907</c:v>
                </c:pt>
                <c:pt idx="3">
                  <c:v>13.859565693693694</c:v>
                </c:pt>
                <c:pt idx="4">
                  <c:v>15.625456480480478</c:v>
                </c:pt>
                <c:pt idx="5">
                  <c:v>17.391347267267264</c:v>
                </c:pt>
                <c:pt idx="6">
                  <c:v>19.157238054054051</c:v>
                </c:pt>
                <c:pt idx="7">
                  <c:v>20.923128840840842</c:v>
                </c:pt>
                <c:pt idx="8">
                  <c:v>22.68901962762763</c:v>
                </c:pt>
                <c:pt idx="9">
                  <c:v>24.454910414414414</c:v>
                </c:pt>
                <c:pt idx="10">
                  <c:v>26.220801201201208</c:v>
                </c:pt>
                <c:pt idx="11">
                  <c:v>27.986691987987992</c:v>
                </c:pt>
                <c:pt idx="12">
                  <c:v>29.752582774774776</c:v>
                </c:pt>
                <c:pt idx="13">
                  <c:v>31.774591211985616</c:v>
                </c:pt>
                <c:pt idx="14">
                  <c:v>33.995489676990545</c:v>
                </c:pt>
                <c:pt idx="15">
                  <c:v>36.334319884253013</c:v>
                </c:pt>
                <c:pt idx="16">
                  <c:v>38.664357343091403</c:v>
                </c:pt>
                <c:pt idx="17">
                  <c:v>40.985881546867283</c:v>
                </c:pt>
                <c:pt idx="18">
                  <c:v>43.299146910775384</c:v>
                </c:pt>
                <c:pt idx="19">
                  <c:v>45.604386312843801</c:v>
                </c:pt>
                <c:pt idx="20">
                  <c:v>47.901813971982548</c:v>
                </c:pt>
                <c:pt idx="21">
                  <c:v>50.191627814640796</c:v>
                </c:pt>
                <c:pt idx="22">
                  <c:v>52.474011441311383</c:v>
                </c:pt>
                <c:pt idx="23">
                  <c:v>54.74913577589934</c:v>
                </c:pt>
                <c:pt idx="24">
                  <c:v>57.017160460839818</c:v>
                </c:pt>
                <c:pt idx="25">
                  <c:v>59.278235046248632</c:v>
                </c:pt>
                <c:pt idx="26">
                  <c:v>61.532500010631523</c:v>
                </c:pt>
                <c:pt idx="27">
                  <c:v>63.780087642644531</c:v>
                </c:pt>
                <c:pt idx="28">
                  <c:v>66.021122807321532</c:v>
                </c:pt>
                <c:pt idx="29">
                  <c:v>68.255723615534194</c:v>
                </c:pt>
                <c:pt idx="30">
                  <c:v>70.484002011853633</c:v>
                </c:pt>
                <c:pt idx="31">
                  <c:v>72.706064293173768</c:v>
                </c:pt>
                <c:pt idx="32">
                  <c:v>74.922011568242027</c:v>
                </c:pt>
                <c:pt idx="33">
                  <c:v>77.131940166483218</c:v>
                </c:pt>
                <c:pt idx="34">
                  <c:v>79.335942003091674</c:v>
                </c:pt>
                <c:pt idx="35">
                  <c:v>81.534104906229118</c:v>
                </c:pt>
                <c:pt idx="36">
                  <c:v>83.726512911240391</c:v>
                </c:pt>
                <c:pt idx="37">
                  <c:v>85.913246526042371</c:v>
                </c:pt>
                <c:pt idx="38">
                  <c:v>88.094382971219545</c:v>
                </c:pt>
                <c:pt idx="39">
                  <c:v>90.269996397843329</c:v>
                </c:pt>
                <c:pt idx="40">
                  <c:v>92.690736668470322</c:v>
                </c:pt>
                <c:pt idx="41">
                  <c:v>95.149284686833028</c:v>
                </c:pt>
                <c:pt idx="42">
                  <c:v>97.609524359970322</c:v>
                </c:pt>
                <c:pt idx="43">
                  <c:v>100.96774156757587</c:v>
                </c:pt>
                <c:pt idx="44">
                  <c:v>103.76410366404916</c:v>
                </c:pt>
                <c:pt idx="45">
                  <c:v>106.58084190067127</c:v>
                </c:pt>
                <c:pt idx="46">
                  <c:v>109.41795627744217</c:v>
                </c:pt>
                <c:pt idx="47">
                  <c:v>112.27544679436187</c:v>
                </c:pt>
                <c:pt idx="48">
                  <c:v>115.15331345143041</c:v>
                </c:pt>
                <c:pt idx="49">
                  <c:v>118.05155624864774</c:v>
                </c:pt>
                <c:pt idx="50">
                  <c:v>120.97017518601392</c:v>
                </c:pt>
                <c:pt idx="51">
                  <c:v>123.90917026352888</c:v>
                </c:pt>
                <c:pt idx="52">
                  <c:v>126.86854148119264</c:v>
                </c:pt>
                <c:pt idx="53">
                  <c:v>129.84828883900522</c:v>
                </c:pt>
                <c:pt idx="54">
                  <c:v>132.84841233696662</c:v>
                </c:pt>
                <c:pt idx="55">
                  <c:v>135.86891197507683</c:v>
                </c:pt>
                <c:pt idx="56">
                  <c:v>138.90978775333588</c:v>
                </c:pt>
                <c:pt idx="57">
                  <c:v>141.97103967174363</c:v>
                </c:pt>
                <c:pt idx="58">
                  <c:v>145.05266773030033</c:v>
                </c:pt>
                <c:pt idx="59">
                  <c:v>148.15467192900576</c:v>
                </c:pt>
                <c:pt idx="60">
                  <c:v>151.27705226786003</c:v>
                </c:pt>
                <c:pt idx="61">
                  <c:v>154.41980874686308</c:v>
                </c:pt>
                <c:pt idx="62">
                  <c:v>157.58294136601498</c:v>
                </c:pt>
                <c:pt idx="63">
                  <c:v>160.76645012531566</c:v>
                </c:pt>
                <c:pt idx="64">
                  <c:v>163.97033502476515</c:v>
                </c:pt>
                <c:pt idx="65">
                  <c:v>167.19459606436348</c:v>
                </c:pt>
                <c:pt idx="66">
                  <c:v>170.43923324411062</c:v>
                </c:pt>
                <c:pt idx="67">
                  <c:v>173.70424656400658</c:v>
                </c:pt>
                <c:pt idx="68">
                  <c:v>176.98963602405132</c:v>
                </c:pt>
                <c:pt idx="69">
                  <c:v>180.29540162424482</c:v>
                </c:pt>
                <c:pt idx="70">
                  <c:v>183.62154336458721</c:v>
                </c:pt>
                <c:pt idx="71">
                  <c:v>186.96806124507839</c:v>
                </c:pt>
                <c:pt idx="72">
                  <c:v>190.33495526571838</c:v>
                </c:pt>
                <c:pt idx="73">
                  <c:v>193.72222542650721</c:v>
                </c:pt>
                <c:pt idx="74">
                  <c:v>197.12987172744485</c:v>
                </c:pt>
                <c:pt idx="75">
                  <c:v>200.55789416853131</c:v>
                </c:pt>
                <c:pt idx="76">
                  <c:v>204.00629274976654</c:v>
                </c:pt>
                <c:pt idx="77">
                  <c:v>207.4750674711506</c:v>
                </c:pt>
                <c:pt idx="78">
                  <c:v>210.96421833268346</c:v>
                </c:pt>
                <c:pt idx="79">
                  <c:v>214.47374533436513</c:v>
                </c:pt>
                <c:pt idx="80">
                  <c:v>218.00364847619556</c:v>
                </c:pt>
                <c:pt idx="81">
                  <c:v>221.55392775817492</c:v>
                </c:pt>
                <c:pt idx="82">
                  <c:v>225.12458318030295</c:v>
                </c:pt>
                <c:pt idx="83">
                  <c:v>228.7156147425799</c:v>
                </c:pt>
                <c:pt idx="84">
                  <c:v>232.32702244500564</c:v>
                </c:pt>
                <c:pt idx="85">
                  <c:v>235.95880628758016</c:v>
                </c:pt>
                <c:pt idx="86">
                  <c:v>239.61096627030355</c:v>
                </c:pt>
                <c:pt idx="87">
                  <c:v>243.28350239317567</c:v>
                </c:pt>
                <c:pt idx="88">
                  <c:v>246.97641465619662</c:v>
                </c:pt>
                <c:pt idx="89">
                  <c:v>250.68970305936645</c:v>
                </c:pt>
                <c:pt idx="90">
                  <c:v>254.42336760268503</c:v>
                </c:pt>
                <c:pt idx="91">
                  <c:v>258.17740828615251</c:v>
                </c:pt>
                <c:pt idx="92">
                  <c:v>261.95182510976872</c:v>
                </c:pt>
                <c:pt idx="93">
                  <c:v>265.74661807353374</c:v>
                </c:pt>
                <c:pt idx="94">
                  <c:v>269.56178717744751</c:v>
                </c:pt>
                <c:pt idx="95">
                  <c:v>273.39733242151016</c:v>
                </c:pt>
                <c:pt idx="96">
                  <c:v>277.25325380572156</c:v>
                </c:pt>
                <c:pt idx="97">
                  <c:v>281.12955133008188</c:v>
                </c:pt>
                <c:pt idx="98">
                  <c:v>285.02622499459096</c:v>
                </c:pt>
                <c:pt idx="99">
                  <c:v>288.94327479924885</c:v>
                </c:pt>
                <c:pt idx="100">
                  <c:v>292.88070074405562</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71.566415490049039</c:v>
                </c:pt>
                <c:pt idx="13">
                  <c:v>78.250197594695919</c:v>
                </c:pt>
                <c:pt idx="14">
                  <c:v>84.889555339325838</c:v>
                </c:pt>
                <c:pt idx="15">
                  <c:v>86.753464044723742</c:v>
                </c:pt>
                <c:pt idx="16">
                  <c:v>88.614145260631915</c:v>
                </c:pt>
                <c:pt idx="17">
                  <c:v>90.473739945428548</c:v>
                </c:pt>
                <c:pt idx="18">
                  <c:v>92.334030477850163</c:v>
                </c:pt>
                <c:pt idx="19">
                  <c:v>94.196513769480291</c:v>
                </c:pt>
                <c:pt idx="20">
                  <c:v>96.062456701122642</c:v>
                </c:pt>
                <c:pt idx="21">
                  <c:v>97.932938790396236</c:v>
                </c:pt>
                <c:pt idx="22">
                  <c:v>99.80888547281036</c:v>
                </c:pt>
                <c:pt idx="23">
                  <c:v>101.6910943739598</c:v>
                </c:pt>
                <c:pt idx="24">
                  <c:v>103.58025627410878</c:v>
                </c:pt>
                <c:pt idx="25">
                  <c:v>105.47697200204863</c:v>
                </c:pt>
                <c:pt idx="26">
                  <c:v>107.38176617058394</c:v>
                </c:pt>
                <c:pt idx="27">
                  <c:v>109.29509843553929</c:v>
                </c:pt>
                <c:pt idx="28">
                  <c:v>111.21737279409913</c:v>
                </c:pt>
                <c:pt idx="29">
                  <c:v>113.14894531699998</c:v>
                </c:pt>
                <c:pt idx="30">
                  <c:v>115.09013061940671</c:v>
                </c:pt>
                <c:pt idx="31">
                  <c:v>117.041207308232</c:v>
                </c:pt>
                <c:pt idx="32">
                  <c:v>119.00242259296763</c:v>
                </c:pt>
                <c:pt idx="33">
                  <c:v>120.97399620840908</c:v>
                </c:pt>
                <c:pt idx="34">
                  <c:v>122.9561237678612</c:v>
                </c:pt>
                <c:pt idx="35">
                  <c:v>124.9489796422715</c:v>
                </c:pt>
                <c:pt idx="36">
                  <c:v>126.95271944262181</c:v>
                </c:pt>
                <c:pt idx="37">
                  <c:v>128.96748216862031</c:v>
                </c:pt>
                <c:pt idx="38">
                  <c:v>130.99339207538713</c:v>
                </c:pt>
                <c:pt idx="39">
                  <c:v>133.03056030075533</c:v>
                </c:pt>
                <c:pt idx="40">
                  <c:v>132.18455214103952</c:v>
                </c:pt>
                <c:pt idx="41">
                  <c:v>130.98459438610888</c:v>
                </c:pt>
                <c:pt idx="42">
                  <c:v>129.85143038576135</c:v>
                </c:pt>
                <c:pt idx="43">
                  <c:v>135.03786467004335</c:v>
                </c:pt>
                <c:pt idx="44">
                  <c:v>136.15344605479825</c:v>
                </c:pt>
                <c:pt idx="45">
                  <c:v>137.35899357256997</c:v>
                </c:pt>
                <c:pt idx="46">
                  <c:v>138.65189168736703</c:v>
                </c:pt>
                <c:pt idx="47">
                  <c:v>140.02975795979592</c:v>
                </c:pt>
                <c:pt idx="48">
                  <c:v>141.49041901938986</c:v>
                </c:pt>
                <c:pt idx="49">
                  <c:v>143.03188948078395</c:v>
                </c:pt>
                <c:pt idx="50">
                  <c:v>144.65235339164116</c:v>
                </c:pt>
                <c:pt idx="51">
                  <c:v>146.35014786487667</c:v>
                </c:pt>
                <c:pt idx="52">
                  <c:v>148.12374860118163</c:v>
                </c:pt>
                <c:pt idx="53">
                  <c:v>149.97175705222708</c:v>
                </c:pt>
                <c:pt idx="54">
                  <c:v>151.89288901190801</c:v>
                </c:pt>
                <c:pt idx="55">
                  <c:v>153.88596445391789</c:v>
                </c:pt>
                <c:pt idx="56">
                  <c:v>155.94989845990466</c:v>
                </c:pt>
                <c:pt idx="57">
                  <c:v>158.08369310431613</c:v>
                </c:pt>
                <c:pt idx="58">
                  <c:v>160.28643018051451</c:v>
                </c:pt>
                <c:pt idx="59">
                  <c:v>162.55726466838743</c:v>
                </c:pt>
                <c:pt idx="60">
                  <c:v>164.8954188569883</c:v>
                </c:pt>
                <c:pt idx="61">
                  <c:v>167.30017704707905</c:v>
                </c:pt>
                <c:pt idx="62">
                  <c:v>169.77088076814198</c:v>
                </c:pt>
                <c:pt idx="63">
                  <c:v>172.30692445273664</c:v>
                </c:pt>
                <c:pt idx="64">
                  <c:v>174.90775151822123</c:v>
                </c:pt>
                <c:pt idx="65">
                  <c:v>177.57285081200527</c:v>
                </c:pt>
                <c:pt idx="66">
                  <c:v>180.30175338181937</c:v>
                </c:pt>
                <c:pt idx="67">
                  <c:v>183.09402953708317</c:v>
                </c:pt>
                <c:pt idx="68">
                  <c:v>185.94928617144552</c:v>
                </c:pt>
                <c:pt idx="69">
                  <c:v>188.86716432003979</c:v>
                </c:pt>
                <c:pt idx="70">
                  <c:v>191.84733692802314</c:v>
                </c:pt>
                <c:pt idx="71">
                  <c:v>194.88950680960772</c:v>
                </c:pt>
                <c:pt idx="72">
                  <c:v>197.99340477910417</c:v>
                </c:pt>
                <c:pt idx="73">
                  <c:v>201.15878793752051</c:v>
                </c:pt>
                <c:pt idx="74">
                  <c:v>204.38543810004393</c:v>
                </c:pt>
                <c:pt idx="75">
                  <c:v>207.67316035129372</c:v>
                </c:pt>
                <c:pt idx="76">
                  <c:v>211.02178171661782</c:v>
                </c:pt>
                <c:pt idx="77">
                  <c:v>214.43114993892303</c:v>
                </c:pt>
                <c:pt idx="78">
                  <c:v>217.90113235160717</c:v>
                </c:pt>
                <c:pt idx="79">
                  <c:v>221.43161483911882</c:v>
                </c:pt>
                <c:pt idx="80">
                  <c:v>225.02250087751565</c:v>
                </c:pt>
                <c:pt idx="81">
                  <c:v>228.67371064815075</c:v>
                </c:pt>
                <c:pt idx="82">
                  <c:v>232.38518021828034</c:v>
                </c:pt>
                <c:pt idx="83">
                  <c:v>236.15686078299404</c:v>
                </c:pt>
                <c:pt idx="84">
                  <c:v>239.98871796339486</c:v>
                </c:pt>
                <c:pt idx="85">
                  <c:v>243.88073115643826</c:v>
                </c:pt>
                <c:pt idx="86">
                  <c:v>247.83289293226633</c:v>
                </c:pt>
                <c:pt idx="87">
                  <c:v>251.84520847525826</c:v>
                </c:pt>
                <c:pt idx="88">
                  <c:v>255.91769506535738</c:v>
                </c:pt>
                <c:pt idx="89">
                  <c:v>260.05038159655294</c:v>
                </c:pt>
                <c:pt idx="90">
                  <c:v>264.24330812966485</c:v>
                </c:pt>
                <c:pt idx="91">
                  <c:v>268.49652547683689</c:v>
                </c:pt>
                <c:pt idx="92">
                  <c:v>272.81009481536751</c:v>
                </c:pt>
                <c:pt idx="93">
                  <c:v>277.18408732871166</c:v>
                </c:pt>
                <c:pt idx="94">
                  <c:v>281.61858387267461</c:v>
                </c:pt>
                <c:pt idx="95">
                  <c:v>286.11367466498268</c:v>
                </c:pt>
                <c:pt idx="96">
                  <c:v>290.66945899657134</c:v>
                </c:pt>
                <c:pt idx="97">
                  <c:v>295.28604496306622</c:v>
                </c:pt>
                <c:pt idx="98">
                  <c:v>299.96354921505861</c:v>
                </c:pt>
                <c:pt idx="99">
                  <c:v>304.70209672589004</c:v>
                </c:pt>
                <c:pt idx="100">
                  <c:v>309.50182057576768</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20.60388548538382</c:v>
                </c:pt>
                <c:pt idx="2">
                  <c:v>29.273716916663354</c:v>
                </c:pt>
                <c:pt idx="3">
                  <c:v>37.943551943754848</c:v>
                </c:pt>
                <c:pt idx="4">
                  <c:v>46.613390566780502</c:v>
                </c:pt>
                <c:pt idx="5">
                  <c:v>55.283232785862531</c:v>
                </c:pt>
                <c:pt idx="6">
                  <c:v>63.953078601123103</c:v>
                </c:pt>
                <c:pt idx="7">
                  <c:v>72.622928012684469</c:v>
                </c:pt>
                <c:pt idx="8">
                  <c:v>81.292781020668826</c:v>
                </c:pt>
                <c:pt idx="9">
                  <c:v>89.962637625198397</c:v>
                </c:pt>
                <c:pt idx="10">
                  <c:v>98.632497826395451</c:v>
                </c:pt>
                <c:pt idx="11">
                  <c:v>107.30236162438213</c:v>
                </c:pt>
                <c:pt idx="12">
                  <c:v>115.97222901928077</c:v>
                </c:pt>
                <c:pt idx="13">
                  <c:v>130.27092473863308</c:v>
                </c:pt>
                <c:pt idx="14">
                  <c:v>148.4438359320761</c:v>
                </c:pt>
                <c:pt idx="15">
                  <c:v>159.1469316562397</c:v>
                </c:pt>
                <c:pt idx="16">
                  <c:v>169.85994209330624</c:v>
                </c:pt>
                <c:pt idx="17">
                  <c:v>180.58256434827229</c:v>
                </c:pt>
                <c:pt idx="18">
                  <c:v>191.31452300087182</c:v>
                </c:pt>
                <c:pt idx="19">
                  <c:v>202.05556622104848</c:v>
                </c:pt>
                <c:pt idx="20">
                  <c:v>212.80546261212717</c:v>
                </c:pt>
                <c:pt idx="21">
                  <c:v>223.56399861526995</c:v>
                </c:pt>
                <c:pt idx="22">
                  <c:v>234.33097635307777</c:v>
                </c:pt>
                <c:pt idx="23">
                  <c:v>245.10621182120158</c:v>
                </c:pt>
                <c:pt idx="24">
                  <c:v>255.88953335892549</c:v>
                </c:pt>
                <c:pt idx="25">
                  <c:v>266.68078034572341</c:v>
                </c:pt>
                <c:pt idx="26">
                  <c:v>277.47980208259838</c:v>
                </c:pt>
                <c:pt idx="27">
                  <c:v>288.28645682583789</c:v>
                </c:pt>
                <c:pt idx="28">
                  <c:v>299.10061094748653</c:v>
                </c:pt>
                <c:pt idx="29">
                  <c:v>309.92213820194297</c:v>
                </c:pt>
                <c:pt idx="30">
                  <c:v>320.75091908203763</c:v>
                </c:pt>
                <c:pt idx="31">
                  <c:v>331.58684025102878</c:v>
                </c:pt>
                <c:pt idx="32">
                  <c:v>342.42979403938671</c:v>
                </c:pt>
                <c:pt idx="33">
                  <c:v>353.27967799716663</c:v>
                </c:pt>
                <c:pt idx="34">
                  <c:v>364.13639449431872</c:v>
                </c:pt>
                <c:pt idx="35">
                  <c:v>374.99985036253179</c:v>
                </c:pt>
                <c:pt idx="36">
                  <c:v>385.86995657322501</c:v>
                </c:pt>
                <c:pt idx="37">
                  <c:v>396.74662794712799</c:v>
                </c:pt>
                <c:pt idx="38">
                  <c:v>407.62978289157689</c:v>
                </c:pt>
                <c:pt idx="39">
                  <c:v>418.51934316221616</c:v>
                </c:pt>
                <c:pt idx="40">
                  <c:v>420.88362221132081</c:v>
                </c:pt>
                <c:pt idx="41">
                  <c:v>422.00352017162288</c:v>
                </c:pt>
                <c:pt idx="42">
                  <c:v>423.12172259326144</c:v>
                </c:pt>
                <c:pt idx="43">
                  <c:v>457.02674704152184</c:v>
                </c:pt>
                <c:pt idx="44">
                  <c:v>469.06859105890459</c:v>
                </c:pt>
                <c:pt idx="45">
                  <c:v>481.17554252462236</c:v>
                </c:pt>
                <c:pt idx="46">
                  <c:v>493.3476798891615</c:v>
                </c:pt>
                <c:pt idx="47">
                  <c:v>505.58508344796735</c:v>
                </c:pt>
                <c:pt idx="48">
                  <c:v>517.88783534701258</c:v>
                </c:pt>
                <c:pt idx="49">
                  <c:v>530.25601958849859</c:v>
                </c:pt>
                <c:pt idx="50">
                  <c:v>542.6897220366908</c:v>
                </c:pt>
                <c:pt idx="51">
                  <c:v>555.18903042388843</c:v>
                </c:pt>
                <c:pt idx="52">
                  <c:v>567.75403435653129</c:v>
                </c:pt>
                <c:pt idx="53">
                  <c:v>580.38482532144224</c:v>
                </c:pt>
                <c:pt idx="54">
                  <c:v>593.081496692207</c:v>
                </c:pt>
                <c:pt idx="55">
                  <c:v>605.84414373569234</c:v>
                </c:pt>
                <c:pt idx="56">
                  <c:v>618.6728636187031</c:v>
                </c:pt>
                <c:pt idx="57">
                  <c:v>631.56775541477884</c:v>
                </c:pt>
                <c:pt idx="58">
                  <c:v>644.52892011113374</c:v>
                </c:pt>
                <c:pt idx="59">
                  <c:v>657.55646061573248</c:v>
                </c:pt>
                <c:pt idx="60">
                  <c:v>670.65048176451569</c:v>
                </c:pt>
                <c:pt idx="61">
                  <c:v>683.81109032876429</c:v>
                </c:pt>
                <c:pt idx="62">
                  <c:v>697.03839502260985</c:v>
                </c:pt>
                <c:pt idx="63">
                  <c:v>710.33250651069079</c:v>
                </c:pt>
                <c:pt idx="64">
                  <c:v>723.69353741595592</c:v>
                </c:pt>
                <c:pt idx="65">
                  <c:v>737.12160232761198</c:v>
                </c:pt>
                <c:pt idx="66">
                  <c:v>750.61681780922515</c:v>
                </c:pt>
                <c:pt idx="67">
                  <c:v>764.17930240696808</c:v>
                </c:pt>
                <c:pt idx="68">
                  <c:v>777.80917665802042</c:v>
                </c:pt>
                <c:pt idx="69">
                  <c:v>791.50656309911915</c:v>
                </c:pt>
                <c:pt idx="70">
                  <c:v>805.27158627526489</c:v>
                </c:pt>
                <c:pt idx="71">
                  <c:v>819.10437274857838</c:v>
                </c:pt>
                <c:pt idx="72">
                  <c:v>833.00505110731785</c:v>
                </c:pt>
                <c:pt idx="73">
                  <c:v>846.97375197504778</c:v>
                </c:pt>
                <c:pt idx="74">
                  <c:v>861.01060801996857</c:v>
                </c:pt>
                <c:pt idx="75">
                  <c:v>875.11575396440662</c:v>
                </c:pt>
                <c:pt idx="76">
                  <c:v>889.28932659446036</c:v>
                </c:pt>
                <c:pt idx="77">
                  <c:v>903.53146476981362</c:v>
                </c:pt>
                <c:pt idx="78">
                  <c:v>917.84230943370687</c:v>
                </c:pt>
                <c:pt idx="79">
                  <c:v>932.22200362307831</c:v>
                </c:pt>
                <c:pt idx="80">
                  <c:v>946.67069247886468</c:v>
                </c:pt>
                <c:pt idx="81">
                  <c:v>961.18852325647742</c:v>
                </c:pt>
                <c:pt idx="82">
                  <c:v>975.77564533643681</c:v>
                </c:pt>
                <c:pt idx="83">
                  <c:v>990.43221023518879</c:v>
                </c:pt>
                <c:pt idx="84">
                  <c:v>1005.1583716160826</c:v>
                </c:pt>
                <c:pt idx="85">
                  <c:v>1019.9542853005272</c:v>
                </c:pt>
                <c:pt idx="86">
                  <c:v>1034.8201092793224</c:v>
                </c:pt>
                <c:pt idx="87">
                  <c:v>1049.7560037241644</c:v>
                </c:pt>
                <c:pt idx="88">
                  <c:v>1064.7621309993292</c:v>
                </c:pt>
                <c:pt idx="89">
                  <c:v>1079.8386556735388</c:v>
                </c:pt>
                <c:pt idx="90">
                  <c:v>1094.9857445320031</c:v>
                </c:pt>
                <c:pt idx="91">
                  <c:v>1110.2035665886494</c:v>
                </c:pt>
                <c:pt idx="92">
                  <c:v>1125.4922930985354</c:v>
                </c:pt>
                <c:pt idx="93">
                  <c:v>1140.8520975704455</c:v>
                </c:pt>
                <c:pt idx="94">
                  <c:v>1156.2831557796801</c:v>
                </c:pt>
                <c:pt idx="95">
                  <c:v>1171.7856457810294</c:v>
                </c:pt>
                <c:pt idx="96">
                  <c:v>1187.3597479219452</c:v>
                </c:pt>
                <c:pt idx="97">
                  <c:v>1203.0056448558992</c:v>
                </c:pt>
                <c:pt idx="98">
                  <c:v>1218.7235215559426</c:v>
                </c:pt>
                <c:pt idx="99">
                  <c:v>1234.5135653284603</c:v>
                </c:pt>
                <c:pt idx="100">
                  <c:v>1250.3759658271226</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1.4499564838990424</c:v>
                </c:pt>
                <c:pt idx="37">
                  <c:v>1.4902330528962382</c:v>
                </c:pt>
                <c:pt idx="38">
                  <c:v>1.530509621893434</c:v>
                </c:pt>
                <c:pt idx="39">
                  <c:v>1.5707861908906295</c:v>
                </c:pt>
                <c:pt idx="40">
                  <c:v>1.6110627598878251</c:v>
                </c:pt>
                <c:pt idx="41">
                  <c:v>1.6513393288850207</c:v>
                </c:pt>
                <c:pt idx="42">
                  <c:v>1.6916158978822162</c:v>
                </c:pt>
                <c:pt idx="43">
                  <c:v>1.731892466879412</c:v>
                </c:pt>
                <c:pt idx="44">
                  <c:v>1.7721690358766076</c:v>
                </c:pt>
                <c:pt idx="45">
                  <c:v>1.8124456048738031</c:v>
                </c:pt>
                <c:pt idx="46">
                  <c:v>1.8527221738709989</c:v>
                </c:pt>
                <c:pt idx="47">
                  <c:v>1.8929987428681945</c:v>
                </c:pt>
                <c:pt idx="48">
                  <c:v>1.93327531186539</c:v>
                </c:pt>
                <c:pt idx="49">
                  <c:v>1.9735518808625856</c:v>
                </c:pt>
                <c:pt idx="50">
                  <c:v>2.0138284498597812</c:v>
                </c:pt>
                <c:pt idx="51">
                  <c:v>2.0541050188569772</c:v>
                </c:pt>
                <c:pt idx="52">
                  <c:v>2.0943815878541727</c:v>
                </c:pt>
                <c:pt idx="53">
                  <c:v>2.1346581568513683</c:v>
                </c:pt>
                <c:pt idx="54">
                  <c:v>2.1749347258485643</c:v>
                </c:pt>
                <c:pt idx="55">
                  <c:v>2.2152112948457594</c:v>
                </c:pt>
                <c:pt idx="56">
                  <c:v>2.2554878638429554</c:v>
                </c:pt>
                <c:pt idx="57">
                  <c:v>2.2957644328401505</c:v>
                </c:pt>
                <c:pt idx="58">
                  <c:v>2.3360410018373461</c:v>
                </c:pt>
                <c:pt idx="59">
                  <c:v>2.3763175708345421</c:v>
                </c:pt>
                <c:pt idx="60">
                  <c:v>2.4165941398317377</c:v>
                </c:pt>
                <c:pt idx="61">
                  <c:v>2.4568707088289332</c:v>
                </c:pt>
                <c:pt idx="62">
                  <c:v>2.4971472778261292</c:v>
                </c:pt>
                <c:pt idx="63">
                  <c:v>2.5374238468233243</c:v>
                </c:pt>
                <c:pt idx="64">
                  <c:v>2.5777004158205199</c:v>
                </c:pt>
                <c:pt idx="65">
                  <c:v>2.6179769848177159</c:v>
                </c:pt>
                <c:pt idx="66">
                  <c:v>2.6582535538149115</c:v>
                </c:pt>
                <c:pt idx="67">
                  <c:v>2.698530122812107</c:v>
                </c:pt>
                <c:pt idx="68">
                  <c:v>2.738806691809303</c:v>
                </c:pt>
                <c:pt idx="69">
                  <c:v>2.7790832608064981</c:v>
                </c:pt>
                <c:pt idx="70">
                  <c:v>2.8193598298036937</c:v>
                </c:pt>
                <c:pt idx="71">
                  <c:v>2.8596363988008893</c:v>
                </c:pt>
                <c:pt idx="72">
                  <c:v>2.8999129677980848</c:v>
                </c:pt>
                <c:pt idx="73">
                  <c:v>2.9401895367952804</c:v>
                </c:pt>
                <c:pt idx="74">
                  <c:v>2.9804661057924764</c:v>
                </c:pt>
                <c:pt idx="75">
                  <c:v>3.020742674789672</c:v>
                </c:pt>
                <c:pt idx="76">
                  <c:v>3.061019243786868</c:v>
                </c:pt>
                <c:pt idx="77">
                  <c:v>3.1012958127840635</c:v>
                </c:pt>
                <c:pt idx="78">
                  <c:v>3.1415723817812591</c:v>
                </c:pt>
                <c:pt idx="79">
                  <c:v>3.1818489507784551</c:v>
                </c:pt>
                <c:pt idx="80">
                  <c:v>3.2221255197756502</c:v>
                </c:pt>
                <c:pt idx="81">
                  <c:v>3.2624020887728458</c:v>
                </c:pt>
                <c:pt idx="82">
                  <c:v>3.3026786577700413</c:v>
                </c:pt>
                <c:pt idx="83">
                  <c:v>3.3429552267672369</c:v>
                </c:pt>
                <c:pt idx="84">
                  <c:v>3.3832317957644324</c:v>
                </c:pt>
                <c:pt idx="85">
                  <c:v>3.4235083647616285</c:v>
                </c:pt>
                <c:pt idx="86">
                  <c:v>3.463784933758824</c:v>
                </c:pt>
                <c:pt idx="87">
                  <c:v>3.5040615027560196</c:v>
                </c:pt>
                <c:pt idx="88">
                  <c:v>3.5443380717532151</c:v>
                </c:pt>
                <c:pt idx="89">
                  <c:v>3.5846146407504107</c:v>
                </c:pt>
                <c:pt idx="90">
                  <c:v>3.6248912097476063</c:v>
                </c:pt>
                <c:pt idx="91">
                  <c:v>3.6651677787448023</c:v>
                </c:pt>
                <c:pt idx="92">
                  <c:v>3.7054443477419978</c:v>
                </c:pt>
                <c:pt idx="93">
                  <c:v>3.7457209167391938</c:v>
                </c:pt>
                <c:pt idx="94">
                  <c:v>3.7859974857363889</c:v>
                </c:pt>
                <c:pt idx="95">
                  <c:v>3.8262740547335845</c:v>
                </c:pt>
                <c:pt idx="96">
                  <c:v>3.8665506237307801</c:v>
                </c:pt>
                <c:pt idx="97">
                  <c:v>3.9068271927279756</c:v>
                </c:pt>
                <c:pt idx="98">
                  <c:v>3.9471037617251712</c:v>
                </c:pt>
                <c:pt idx="99">
                  <c:v>3.9873803307223672</c:v>
                </c:pt>
                <c:pt idx="100">
                  <c:v>4.0276568997195623</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0.83815536099882815</c:v>
                </c:pt>
                <c:pt idx="14">
                  <c:v>0.86979492403470782</c:v>
                </c:pt>
                <c:pt idx="15">
                  <c:v>0.90032328115072668</c:v>
                </c:pt>
                <c:pt idx="16">
                  <c:v>0.92984988642655542</c:v>
                </c:pt>
                <c:pt idx="17">
                  <c:v>0.95846732442631832</c:v>
                </c:pt>
                <c:pt idx="18">
                  <c:v>0.98625474026663751</c:v>
                </c:pt>
                <c:pt idx="19">
                  <c:v>1.0132804218990319</c:v>
                </c:pt>
                <c:pt idx="20">
                  <c:v>1.0396037774601183</c:v>
                </c:pt>
                <c:pt idx="21">
                  <c:v>1.0652768723739452</c:v>
                </c:pt>
                <c:pt idx="22">
                  <c:v>1.0903456403912855</c:v>
                </c:pt>
                <c:pt idx="23">
                  <c:v>1.1148508493183067</c:v>
                </c:pt>
                <c:pt idx="24">
                  <c:v>1.1388288795649752</c:v>
                </c:pt>
                <c:pt idx="25">
                  <c:v>1.1623123580331942</c:v>
                </c:pt>
                <c:pt idx="26">
                  <c:v>1.1853306789002602</c:v>
                </c:pt>
                <c:pt idx="27">
                  <c:v>1.2079104350272081</c:v>
                </c:pt>
                <c:pt idx="28">
                  <c:v>1.2300757780531597</c:v>
                </c:pt>
                <c:pt idx="29">
                  <c:v>1.2518487210755753</c:v>
                </c:pt>
                <c:pt idx="30">
                  <c:v>1.2732493947236028</c:v>
                </c:pt>
                <c:pt idx="31">
                  <c:v>1.2942962651068297</c:v>
                </c:pt>
                <c:pt idx="32">
                  <c:v>1.3150063203555169</c:v>
                </c:pt>
                <c:pt idx="33">
                  <c:v>1.3353952311134045</c:v>
                </c:pt>
                <c:pt idx="34">
                  <c:v>1.3554774892951527</c:v>
                </c:pt>
                <c:pt idx="35">
                  <c:v>1.3752665286014045</c:v>
                </c:pt>
                <c:pt idx="36">
                  <c:v>1.394774829639833</c:v>
                </c:pt>
                <c:pt idx="37">
                  <c:v>1.4140140119893765</c:v>
                </c:pt>
                <c:pt idx="38">
                  <c:v>1.4329949151367427</c:v>
                </c:pt>
                <c:pt idx="39">
                  <c:v>1.4517276698862043</c:v>
                </c:pt>
                <c:pt idx="40">
                  <c:v>1.4702217615784003</c:v>
                </c:pt>
                <c:pt idx="41">
                  <c:v>1.4884860862380145</c:v>
                </c:pt>
                <c:pt idx="42">
                  <c:v>1.506529000593626</c:v>
                </c:pt>
                <c:pt idx="43">
                  <c:v>1.5812418162287609</c:v>
                </c:pt>
                <c:pt idx="44">
                  <c:v>1.6180148817224529</c:v>
                </c:pt>
                <c:pt idx="45">
                  <c:v>1.6547879472161451</c:v>
                </c:pt>
                <c:pt idx="46">
                  <c:v>1.6915610127098375</c:v>
                </c:pt>
                <c:pt idx="47">
                  <c:v>1.7283340782035295</c:v>
                </c:pt>
                <c:pt idx="48">
                  <c:v>1.7651071436972214</c:v>
                </c:pt>
                <c:pt idx="49">
                  <c:v>1.8018802091909136</c:v>
                </c:pt>
                <c:pt idx="50">
                  <c:v>1.8386532746846058</c:v>
                </c:pt>
                <c:pt idx="51">
                  <c:v>1.875426340178298</c:v>
                </c:pt>
                <c:pt idx="52">
                  <c:v>1.9121994056719902</c:v>
                </c:pt>
                <c:pt idx="53">
                  <c:v>1.9489724711656822</c:v>
                </c:pt>
                <c:pt idx="54">
                  <c:v>1.9857455366593746</c:v>
                </c:pt>
                <c:pt idx="55">
                  <c:v>2.0225186021530663</c:v>
                </c:pt>
                <c:pt idx="56">
                  <c:v>2.0592916676467588</c:v>
                </c:pt>
                <c:pt idx="57">
                  <c:v>2.0960647331404503</c:v>
                </c:pt>
                <c:pt idx="58">
                  <c:v>2.1328377986341427</c:v>
                </c:pt>
                <c:pt idx="59">
                  <c:v>2.1696108641278347</c:v>
                </c:pt>
                <c:pt idx="60">
                  <c:v>2.2063839296215271</c:v>
                </c:pt>
                <c:pt idx="61">
                  <c:v>2.243156995115219</c:v>
                </c:pt>
                <c:pt idx="62">
                  <c:v>2.2799300606089115</c:v>
                </c:pt>
                <c:pt idx="63">
                  <c:v>2.316703126102603</c:v>
                </c:pt>
                <c:pt idx="64">
                  <c:v>2.3534761915962954</c:v>
                </c:pt>
                <c:pt idx="65">
                  <c:v>2.3902492570899874</c:v>
                </c:pt>
                <c:pt idx="66">
                  <c:v>2.4270223225836798</c:v>
                </c:pt>
                <c:pt idx="67">
                  <c:v>2.4637953880773718</c:v>
                </c:pt>
                <c:pt idx="68">
                  <c:v>2.5005684535710642</c:v>
                </c:pt>
                <c:pt idx="69">
                  <c:v>2.5373415190647557</c:v>
                </c:pt>
                <c:pt idx="70">
                  <c:v>2.5741145845584481</c:v>
                </c:pt>
                <c:pt idx="71">
                  <c:v>2.6108876500521396</c:v>
                </c:pt>
                <c:pt idx="72">
                  <c:v>2.647660715545832</c:v>
                </c:pt>
                <c:pt idx="73">
                  <c:v>2.6844337810395245</c:v>
                </c:pt>
                <c:pt idx="74">
                  <c:v>2.7212068465332164</c:v>
                </c:pt>
                <c:pt idx="75">
                  <c:v>2.7579799120269088</c:v>
                </c:pt>
                <c:pt idx="76">
                  <c:v>2.7947529775206008</c:v>
                </c:pt>
                <c:pt idx="77">
                  <c:v>2.8315260430142932</c:v>
                </c:pt>
                <c:pt idx="78">
                  <c:v>2.8682991085079852</c:v>
                </c:pt>
                <c:pt idx="79">
                  <c:v>2.9050721740016776</c:v>
                </c:pt>
                <c:pt idx="80">
                  <c:v>2.9418452394953691</c:v>
                </c:pt>
                <c:pt idx="81">
                  <c:v>2.9786183049890615</c:v>
                </c:pt>
                <c:pt idx="82">
                  <c:v>3.0153913704827531</c:v>
                </c:pt>
                <c:pt idx="83">
                  <c:v>3.0521644359764455</c:v>
                </c:pt>
                <c:pt idx="84">
                  <c:v>3.0889375014701375</c:v>
                </c:pt>
                <c:pt idx="85">
                  <c:v>3.1257105669638299</c:v>
                </c:pt>
                <c:pt idx="86">
                  <c:v>3.1624836324575218</c:v>
                </c:pt>
                <c:pt idx="87">
                  <c:v>3.1992566979512143</c:v>
                </c:pt>
                <c:pt idx="88">
                  <c:v>3.2360297634449058</c:v>
                </c:pt>
                <c:pt idx="89">
                  <c:v>3.2728028289385982</c:v>
                </c:pt>
                <c:pt idx="90">
                  <c:v>3.3095758944322902</c:v>
                </c:pt>
                <c:pt idx="91">
                  <c:v>3.3463489599259826</c:v>
                </c:pt>
                <c:pt idx="92">
                  <c:v>3.383122025419675</c:v>
                </c:pt>
                <c:pt idx="93">
                  <c:v>3.419895090913367</c:v>
                </c:pt>
                <c:pt idx="94">
                  <c:v>3.4566681564070589</c:v>
                </c:pt>
                <c:pt idx="95">
                  <c:v>3.4934412219007509</c:v>
                </c:pt>
                <c:pt idx="96">
                  <c:v>3.5302142873944429</c:v>
                </c:pt>
                <c:pt idx="97">
                  <c:v>3.5669873528881348</c:v>
                </c:pt>
                <c:pt idx="98">
                  <c:v>3.6037604183818273</c:v>
                </c:pt>
                <c:pt idx="99">
                  <c:v>3.6405334838755192</c:v>
                </c:pt>
                <c:pt idx="100">
                  <c:v>3.6773065493692116</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1.3231995854205605</c:v>
                </c:pt>
                <c:pt idx="37">
                  <c:v>1.3414514763837204</c:v>
                </c:pt>
                <c:pt idx="38">
                  <c:v>1.3594583421815412</c:v>
                </c:pt>
                <c:pt idx="39">
                  <c:v>1.3772297937388316</c:v>
                </c:pt>
                <c:pt idx="40">
                  <c:v>1.394774829639833</c:v>
                </c:pt>
                <c:pt idx="41">
                  <c:v>1.4121018893945811</c:v>
                </c:pt>
                <c:pt idx="42">
                  <c:v>1.4292189008919054</c:v>
                </c:pt>
                <c:pt idx="43">
                  <c:v>1.4461333227962032</c:v>
                </c:pt>
                <c:pt idx="44">
                  <c:v>1.4628521825312728</c:v>
                </c:pt>
                <c:pt idx="45">
                  <c:v>1.4793821103999563</c:v>
                </c:pt>
                <c:pt idx="46">
                  <c:v>1.4957293703094652</c:v>
                </c:pt>
                <c:pt idx="47">
                  <c:v>1.5118998875062031</c:v>
                </c:pt>
                <c:pt idx="48">
                  <c:v>1.5278992736683235</c:v>
                </c:pt>
                <c:pt idx="49">
                  <c:v>1.6943496016603063</c:v>
                </c:pt>
                <c:pt idx="50">
                  <c:v>1.7289281649594965</c:v>
                </c:pt>
                <c:pt idx="51">
                  <c:v>1.7635067282586865</c:v>
                </c:pt>
                <c:pt idx="52">
                  <c:v>1.7980852915578764</c:v>
                </c:pt>
                <c:pt idx="53">
                  <c:v>1.8326638548570662</c:v>
                </c:pt>
                <c:pt idx="54">
                  <c:v>1.8672424181562564</c:v>
                </c:pt>
                <c:pt idx="55">
                  <c:v>1.9018209814554461</c:v>
                </c:pt>
                <c:pt idx="56">
                  <c:v>1.936399544754636</c:v>
                </c:pt>
                <c:pt idx="57">
                  <c:v>1.9709781080538256</c:v>
                </c:pt>
                <c:pt idx="58">
                  <c:v>2.0055566713530157</c:v>
                </c:pt>
                <c:pt idx="59">
                  <c:v>2.0401352346522055</c:v>
                </c:pt>
                <c:pt idx="60">
                  <c:v>2.0747137979513957</c:v>
                </c:pt>
                <c:pt idx="61">
                  <c:v>2.1092923612505858</c:v>
                </c:pt>
                <c:pt idx="62">
                  <c:v>2.1438709245497756</c:v>
                </c:pt>
                <c:pt idx="63">
                  <c:v>2.1784494878489653</c:v>
                </c:pt>
                <c:pt idx="64">
                  <c:v>2.2130280511481555</c:v>
                </c:pt>
                <c:pt idx="65">
                  <c:v>2.2476066144473452</c:v>
                </c:pt>
                <c:pt idx="66">
                  <c:v>2.2821851777465354</c:v>
                </c:pt>
                <c:pt idx="67">
                  <c:v>2.3167637410457256</c:v>
                </c:pt>
                <c:pt idx="68">
                  <c:v>2.3513423043449153</c:v>
                </c:pt>
                <c:pt idx="69">
                  <c:v>2.385920867644105</c:v>
                </c:pt>
                <c:pt idx="70">
                  <c:v>2.4204994309432948</c:v>
                </c:pt>
                <c:pt idx="71">
                  <c:v>2.4550779942424845</c:v>
                </c:pt>
                <c:pt idx="72">
                  <c:v>2.4896565575416747</c:v>
                </c:pt>
                <c:pt idx="73">
                  <c:v>2.5242351208408644</c:v>
                </c:pt>
                <c:pt idx="74">
                  <c:v>2.5588136841400546</c:v>
                </c:pt>
                <c:pt idx="75">
                  <c:v>2.5933922474392448</c:v>
                </c:pt>
                <c:pt idx="76">
                  <c:v>2.6279708107384345</c:v>
                </c:pt>
                <c:pt idx="77">
                  <c:v>2.6625493740376247</c:v>
                </c:pt>
                <c:pt idx="78">
                  <c:v>2.6971279373368144</c:v>
                </c:pt>
                <c:pt idx="79">
                  <c:v>2.7317065006360046</c:v>
                </c:pt>
                <c:pt idx="80">
                  <c:v>2.7662850639351944</c:v>
                </c:pt>
                <c:pt idx="81">
                  <c:v>2.8008636272343841</c:v>
                </c:pt>
                <c:pt idx="82">
                  <c:v>2.8354421905335738</c:v>
                </c:pt>
                <c:pt idx="83">
                  <c:v>2.870020753832764</c:v>
                </c:pt>
                <c:pt idx="84">
                  <c:v>2.9045993171319537</c:v>
                </c:pt>
                <c:pt idx="85">
                  <c:v>2.9391778804311439</c:v>
                </c:pt>
                <c:pt idx="86">
                  <c:v>2.9737564437303341</c:v>
                </c:pt>
                <c:pt idx="87">
                  <c:v>3.0083350070295238</c:v>
                </c:pt>
                <c:pt idx="88">
                  <c:v>3.0429135703287136</c:v>
                </c:pt>
                <c:pt idx="89">
                  <c:v>3.0774921336279037</c:v>
                </c:pt>
                <c:pt idx="90">
                  <c:v>3.1120706969270935</c:v>
                </c:pt>
                <c:pt idx="91">
                  <c:v>3.1466492602262837</c:v>
                </c:pt>
                <c:pt idx="92">
                  <c:v>3.1812278235254734</c:v>
                </c:pt>
                <c:pt idx="93">
                  <c:v>3.2158063868246636</c:v>
                </c:pt>
                <c:pt idx="94">
                  <c:v>3.2503849501238533</c:v>
                </c:pt>
                <c:pt idx="95">
                  <c:v>3.284963513423043</c:v>
                </c:pt>
                <c:pt idx="96">
                  <c:v>3.3195420767222328</c:v>
                </c:pt>
                <c:pt idx="97">
                  <c:v>3.354120640021423</c:v>
                </c:pt>
                <c:pt idx="98">
                  <c:v>3.3886992033206127</c:v>
                </c:pt>
                <c:pt idx="99">
                  <c:v>3.4232777666198029</c:v>
                </c:pt>
                <c:pt idx="100">
                  <c:v>3.4578563299189931</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0.20509750059855716</c:v>
                </c:pt>
                <c:pt idx="13">
                  <c:v>0.23126160068456322</c:v>
                </c:pt>
                <c:pt idx="14">
                  <c:v>0.25523017011520077</c:v>
                </c:pt>
                <c:pt idx="15">
                  <c:v>0.26418832515238538</c:v>
                </c:pt>
                <c:pt idx="16">
                  <c:v>0.27285252895403161</c:v>
                </c:pt>
                <c:pt idx="17">
                  <c:v>0.28124994927359342</c:v>
                </c:pt>
                <c:pt idx="18">
                  <c:v>0.28940381023094186</c:v>
                </c:pt>
                <c:pt idx="19">
                  <c:v>0.29733415005003239</c:v>
                </c:pt>
                <c:pt idx="20">
                  <c:v>0.3050584012869722</c:v>
                </c:pt>
                <c:pt idx="21">
                  <c:v>0.31259184187299499</c:v>
                </c:pt>
                <c:pt idx="22">
                  <c:v>0.31994795047841712</c:v>
                </c:pt>
                <c:pt idx="23">
                  <c:v>0.32713868989333539</c:v>
                </c:pt>
                <c:pt idx="24">
                  <c:v>0.33417473548267523</c:v>
                </c:pt>
                <c:pt idx="25">
                  <c:v>0.34106566119253956</c:v>
                </c:pt>
                <c:pt idx="26">
                  <c:v>0.34782009236743694</c:v>
                </c:pt>
                <c:pt idx="27">
                  <c:v>0.35444583234153071</c:v>
                </c:pt>
                <c:pt idx="28">
                  <c:v>0.36094996810370911</c:v>
                </c:pt>
                <c:pt idx="29">
                  <c:v>0.36733895911522485</c:v>
                </c:pt>
                <c:pt idx="30">
                  <c:v>0.37361871245113648</c:v>
                </c:pt>
                <c:pt idx="31">
                  <c:v>0.37979464675457603</c:v>
                </c:pt>
                <c:pt idx="32">
                  <c:v>0.38587174697458915</c:v>
                </c:pt>
                <c:pt idx="33">
                  <c:v>0.38292120647328626</c:v>
                </c:pt>
                <c:pt idx="34">
                  <c:v>0.37724798608239518</c:v>
                </c:pt>
                <c:pt idx="35">
                  <c:v>0.37181967450094411</c:v>
                </c:pt>
                <c:pt idx="36">
                  <c:v>0.36661914321228606</c:v>
                </c:pt>
                <c:pt idx="37">
                  <c:v>0.36163089522514541</c:v>
                </c:pt>
                <c:pt idx="38">
                  <c:v>0.35684087055383767</c:v>
                </c:pt>
                <c:pt idx="39">
                  <c:v>0.35223627931311713</c:v>
                </c:pt>
                <c:pt idx="40">
                  <c:v>0.34780545791108519</c:v>
                </c:pt>
                <c:pt idx="41">
                  <c:v>0.34353774465504194</c:v>
                </c:pt>
                <c:pt idx="42">
                  <c:v>0.33942337174732595</c:v>
                </c:pt>
                <c:pt idx="43">
                  <c:v>0.40831556503198291</c:v>
                </c:pt>
                <c:pt idx="44">
                  <c:v>0.40831556503198296</c:v>
                </c:pt>
                <c:pt idx="45">
                  <c:v>0.40831556503198291</c:v>
                </c:pt>
                <c:pt idx="46">
                  <c:v>0.40831556503198296</c:v>
                </c:pt>
                <c:pt idx="47">
                  <c:v>0.40831556503198291</c:v>
                </c:pt>
                <c:pt idx="48">
                  <c:v>0.40831556503198296</c:v>
                </c:pt>
                <c:pt idx="49">
                  <c:v>0.40831556503198296</c:v>
                </c:pt>
                <c:pt idx="50">
                  <c:v>0.40831556503198302</c:v>
                </c:pt>
                <c:pt idx="51">
                  <c:v>0.40831556503198296</c:v>
                </c:pt>
                <c:pt idx="52">
                  <c:v>0.40831556503198296</c:v>
                </c:pt>
                <c:pt idx="53">
                  <c:v>0.40831556503198302</c:v>
                </c:pt>
                <c:pt idx="54">
                  <c:v>0.40831556503198291</c:v>
                </c:pt>
                <c:pt idx="55">
                  <c:v>0.40831556503198296</c:v>
                </c:pt>
                <c:pt idx="56">
                  <c:v>0.40831556503198296</c:v>
                </c:pt>
                <c:pt idx="57">
                  <c:v>0.40831556503198296</c:v>
                </c:pt>
                <c:pt idx="58">
                  <c:v>0.40831556503198302</c:v>
                </c:pt>
                <c:pt idx="59">
                  <c:v>0.40831556503198302</c:v>
                </c:pt>
                <c:pt idx="60">
                  <c:v>0.40831556503198291</c:v>
                </c:pt>
                <c:pt idx="61">
                  <c:v>0.40831556503198291</c:v>
                </c:pt>
                <c:pt idx="62">
                  <c:v>0.40831556503198296</c:v>
                </c:pt>
                <c:pt idx="63">
                  <c:v>0.40831556503198296</c:v>
                </c:pt>
                <c:pt idx="64">
                  <c:v>0.40831556503198296</c:v>
                </c:pt>
                <c:pt idx="65">
                  <c:v>0.40831556503198291</c:v>
                </c:pt>
                <c:pt idx="66">
                  <c:v>0.40831556503198291</c:v>
                </c:pt>
                <c:pt idx="67">
                  <c:v>0.40831556503198302</c:v>
                </c:pt>
                <c:pt idx="68">
                  <c:v>0.40831556503198296</c:v>
                </c:pt>
                <c:pt idx="69">
                  <c:v>0.40831556503198296</c:v>
                </c:pt>
                <c:pt idx="70">
                  <c:v>0.40831556503198296</c:v>
                </c:pt>
                <c:pt idx="71">
                  <c:v>0.40831556503198291</c:v>
                </c:pt>
                <c:pt idx="72">
                  <c:v>0.40831556503198296</c:v>
                </c:pt>
                <c:pt idx="73">
                  <c:v>0.40831556503198296</c:v>
                </c:pt>
                <c:pt idx="74">
                  <c:v>0.40831556503198302</c:v>
                </c:pt>
                <c:pt idx="75">
                  <c:v>0.40831556503198291</c:v>
                </c:pt>
                <c:pt idx="76">
                  <c:v>0.40831556503198302</c:v>
                </c:pt>
                <c:pt idx="77">
                  <c:v>0.40831556503198296</c:v>
                </c:pt>
                <c:pt idx="78">
                  <c:v>0.40831556503198291</c:v>
                </c:pt>
                <c:pt idx="79">
                  <c:v>0.4083155650319828</c:v>
                </c:pt>
                <c:pt idx="80">
                  <c:v>0.40831556503198302</c:v>
                </c:pt>
                <c:pt idx="81">
                  <c:v>0.40831556503198291</c:v>
                </c:pt>
                <c:pt idx="82">
                  <c:v>0.40831556503198296</c:v>
                </c:pt>
                <c:pt idx="83">
                  <c:v>0.40831556503198291</c:v>
                </c:pt>
                <c:pt idx="84">
                  <c:v>0.40831556503198291</c:v>
                </c:pt>
                <c:pt idx="85">
                  <c:v>0.40831556503198302</c:v>
                </c:pt>
                <c:pt idx="86">
                  <c:v>0.40831556503198291</c:v>
                </c:pt>
                <c:pt idx="87">
                  <c:v>0.40831556503198302</c:v>
                </c:pt>
                <c:pt idx="88">
                  <c:v>0.40831556503198296</c:v>
                </c:pt>
                <c:pt idx="89">
                  <c:v>0.40831556503198291</c:v>
                </c:pt>
                <c:pt idx="90">
                  <c:v>0.40831556503198291</c:v>
                </c:pt>
                <c:pt idx="91">
                  <c:v>0.40831556503198302</c:v>
                </c:pt>
                <c:pt idx="92">
                  <c:v>0.4080356728716712</c:v>
                </c:pt>
                <c:pt idx="93">
                  <c:v>0.40548178336471064</c:v>
                </c:pt>
                <c:pt idx="94">
                  <c:v>0.40296080345002266</c:v>
                </c:pt>
                <c:pt idx="95">
                  <c:v>0.4004721010870308</c:v>
                </c:pt>
                <c:pt idx="96">
                  <c:v>0.39801506031696227</c:v>
                </c:pt>
                <c:pt idx="97">
                  <c:v>0.39558908075459387</c:v>
                </c:pt>
                <c:pt idx="98">
                  <c:v>0.39319357709915292</c:v>
                </c:pt>
                <c:pt idx="99">
                  <c:v>0.39082797866353536</c:v>
                </c:pt>
                <c:pt idx="100">
                  <c:v>0.38849172892104605</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8.199999999999999E-3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0.25295358407155383</c:v>
                </c:pt>
                <c:pt idx="13">
                  <c:v>0.28522264084429466</c:v>
                </c:pt>
                <c:pt idx="14">
                  <c:v>0.31478387647541434</c:v>
                </c:pt>
                <c:pt idx="15">
                  <c:v>0.32583226768794193</c:v>
                </c:pt>
                <c:pt idx="16">
                  <c:v>0.33651811904330564</c:v>
                </c:pt>
                <c:pt idx="17">
                  <c:v>0.34687493743743186</c:v>
                </c:pt>
                <c:pt idx="18">
                  <c:v>0.35693136595149494</c:v>
                </c:pt>
                <c:pt idx="19">
                  <c:v>0.36671211839503998</c:v>
                </c:pt>
                <c:pt idx="20">
                  <c:v>0.37623869492059903</c:v>
                </c:pt>
                <c:pt idx="21">
                  <c:v>0.38552993831002719</c:v>
                </c:pt>
                <c:pt idx="22">
                  <c:v>0.39460247225671452</c:v>
                </c:pt>
                <c:pt idx="23">
                  <c:v>0.40347105086844692</c:v>
                </c:pt>
                <c:pt idx="24">
                  <c:v>0.41214884042863281</c:v>
                </c:pt>
                <c:pt idx="25">
                  <c:v>0.42064764880413208</c:v>
                </c:pt>
                <c:pt idx="26">
                  <c:v>0.42897811391983892</c:v>
                </c:pt>
                <c:pt idx="27">
                  <c:v>0.43523088971132234</c:v>
                </c:pt>
                <c:pt idx="28">
                  <c:v>0.42738824933252384</c:v>
                </c:pt>
                <c:pt idx="29">
                  <c:v>0.41995484316730319</c:v>
                </c:pt>
                <c:pt idx="30">
                  <c:v>0.45978391356542614</c:v>
                </c:pt>
                <c:pt idx="31">
                  <c:v>0.45978391356542619</c:v>
                </c:pt>
                <c:pt idx="32">
                  <c:v>0.45978391356542614</c:v>
                </c:pt>
                <c:pt idx="33">
                  <c:v>0.45978391356542614</c:v>
                </c:pt>
                <c:pt idx="34">
                  <c:v>0.45978391356542614</c:v>
                </c:pt>
                <c:pt idx="35">
                  <c:v>0.45978391356542625</c:v>
                </c:pt>
                <c:pt idx="36">
                  <c:v>0.45978391356542625</c:v>
                </c:pt>
                <c:pt idx="37">
                  <c:v>0.45978391356542614</c:v>
                </c:pt>
                <c:pt idx="38">
                  <c:v>0.45978391356542619</c:v>
                </c:pt>
                <c:pt idx="39">
                  <c:v>0.45978391356542603</c:v>
                </c:pt>
                <c:pt idx="40">
                  <c:v>0.45978391356542619</c:v>
                </c:pt>
                <c:pt idx="41">
                  <c:v>0.45978391356542625</c:v>
                </c:pt>
                <c:pt idx="42">
                  <c:v>0.45978391356542619</c:v>
                </c:pt>
                <c:pt idx="43">
                  <c:v>0.45978391356542614</c:v>
                </c:pt>
                <c:pt idx="44">
                  <c:v>0.45978391356542625</c:v>
                </c:pt>
                <c:pt idx="45">
                  <c:v>0.45978391356542597</c:v>
                </c:pt>
                <c:pt idx="46">
                  <c:v>0.45978391356542625</c:v>
                </c:pt>
                <c:pt idx="47">
                  <c:v>0.45978391356542625</c:v>
                </c:pt>
                <c:pt idx="48">
                  <c:v>0.45978391356542614</c:v>
                </c:pt>
                <c:pt idx="49">
                  <c:v>0.45978391356542619</c:v>
                </c:pt>
                <c:pt idx="50">
                  <c:v>0.45978391356542614</c:v>
                </c:pt>
                <c:pt idx="51">
                  <c:v>0.45978391356542625</c:v>
                </c:pt>
                <c:pt idx="52">
                  <c:v>0.45978391356542625</c:v>
                </c:pt>
                <c:pt idx="53">
                  <c:v>0.45978391356542619</c:v>
                </c:pt>
                <c:pt idx="54">
                  <c:v>0.45978391356542614</c:v>
                </c:pt>
                <c:pt idx="55">
                  <c:v>0.45978391356542625</c:v>
                </c:pt>
                <c:pt idx="56">
                  <c:v>0.45978391356542619</c:v>
                </c:pt>
                <c:pt idx="57">
                  <c:v>0.45978391356542608</c:v>
                </c:pt>
                <c:pt idx="58">
                  <c:v>0.45978391356542619</c:v>
                </c:pt>
                <c:pt idx="59">
                  <c:v>0.45978391356542619</c:v>
                </c:pt>
                <c:pt idx="60">
                  <c:v>0.45978391356542614</c:v>
                </c:pt>
                <c:pt idx="61">
                  <c:v>0.45978391356542619</c:v>
                </c:pt>
                <c:pt idx="62">
                  <c:v>0.45978391356542619</c:v>
                </c:pt>
                <c:pt idx="63">
                  <c:v>0.45978391356542608</c:v>
                </c:pt>
                <c:pt idx="64">
                  <c:v>0.45978391356542614</c:v>
                </c:pt>
                <c:pt idx="65">
                  <c:v>0.45978391356542625</c:v>
                </c:pt>
                <c:pt idx="66">
                  <c:v>0.45978391356542614</c:v>
                </c:pt>
                <c:pt idx="67">
                  <c:v>0.45978391356542619</c:v>
                </c:pt>
                <c:pt idx="68">
                  <c:v>0.45978391356542614</c:v>
                </c:pt>
                <c:pt idx="69">
                  <c:v>0.45978391356542614</c:v>
                </c:pt>
                <c:pt idx="70">
                  <c:v>0.45978391356542625</c:v>
                </c:pt>
                <c:pt idx="71">
                  <c:v>0.45978391356542619</c:v>
                </c:pt>
                <c:pt idx="72">
                  <c:v>0.45978391356542625</c:v>
                </c:pt>
                <c:pt idx="73">
                  <c:v>0.45978391356542603</c:v>
                </c:pt>
                <c:pt idx="74">
                  <c:v>0.45978391356542614</c:v>
                </c:pt>
                <c:pt idx="75">
                  <c:v>0.45978391356542614</c:v>
                </c:pt>
                <c:pt idx="76">
                  <c:v>0.45978391356542619</c:v>
                </c:pt>
                <c:pt idx="77">
                  <c:v>0.45978391356542619</c:v>
                </c:pt>
                <c:pt idx="78">
                  <c:v>0.45978391356542603</c:v>
                </c:pt>
                <c:pt idx="79">
                  <c:v>0.45978391356542619</c:v>
                </c:pt>
                <c:pt idx="80">
                  <c:v>0.45978391356542619</c:v>
                </c:pt>
                <c:pt idx="81">
                  <c:v>0.45978391356542619</c:v>
                </c:pt>
                <c:pt idx="82">
                  <c:v>0.45978391356542625</c:v>
                </c:pt>
                <c:pt idx="83">
                  <c:v>0.45978391356542608</c:v>
                </c:pt>
                <c:pt idx="84">
                  <c:v>0.45948824965057955</c:v>
                </c:pt>
                <c:pt idx="85">
                  <c:v>0.456612263603701</c:v>
                </c:pt>
                <c:pt idx="86">
                  <c:v>0.45377346052720635</c:v>
                </c:pt>
                <c:pt idx="87">
                  <c:v>0.4509711239573263</c:v>
                </c:pt>
                <c:pt idx="88">
                  <c:v>0.44820455571982437</c:v>
                </c:pt>
                <c:pt idx="89">
                  <c:v>0.44547307535009129</c:v>
                </c:pt>
                <c:pt idx="90">
                  <c:v>0.44277601953516316</c:v>
                </c:pt>
                <c:pt idx="91">
                  <c:v>0.44011274157670394</c:v>
                </c:pt>
                <c:pt idx="92">
                  <c:v>0.43748261087404078</c:v>
                </c:pt>
                <c:pt idx="93">
                  <c:v>0.43488501242638106</c:v>
                </c:pt>
                <c:pt idx="94">
                  <c:v>0.43231934635338709</c:v>
                </c:pt>
                <c:pt idx="95">
                  <c:v>0.42978502743332486</c:v>
                </c:pt>
                <c:pt idx="96">
                  <c:v>0.42728148465803767</c:v>
                </c:pt>
                <c:pt idx="97">
                  <c:v>0.42480816080403472</c:v>
                </c:pt>
                <c:pt idx="98">
                  <c:v>0.42236451201901842</c:v>
                </c:pt>
                <c:pt idx="99">
                  <c:v>0.41995000742320526</c:v>
                </c:pt>
                <c:pt idx="100">
                  <c:v>0.41756412872482701</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5.6769230769230768E-3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0.1751217120495373</c:v>
                </c:pt>
                <c:pt idx="13">
                  <c:v>0.19746182827681938</c:v>
                </c:pt>
                <c:pt idx="14">
                  <c:v>0.21792729909836375</c:v>
                </c:pt>
                <c:pt idx="15">
                  <c:v>0.22557618532242138</c:v>
                </c:pt>
                <c:pt idx="16">
                  <c:v>0.23297408241459619</c:v>
                </c:pt>
                <c:pt idx="17">
                  <c:v>0.24014418745668353</c:v>
                </c:pt>
                <c:pt idx="18">
                  <c:v>0.24710633027411189</c:v>
                </c:pt>
                <c:pt idx="19">
                  <c:v>0.25387762042733536</c:v>
                </c:pt>
                <c:pt idx="20">
                  <c:v>0.26047294263733778</c:v>
                </c:pt>
                <c:pt idx="21">
                  <c:v>0.26690534190694187</c:v>
                </c:pt>
                <c:pt idx="22">
                  <c:v>0.27318632694695616</c:v>
                </c:pt>
                <c:pt idx="23">
                  <c:v>0.27932611213969405</c:v>
                </c:pt>
                <c:pt idx="24">
                  <c:v>0.28533381260443813</c:v>
                </c:pt>
                <c:pt idx="25">
                  <c:v>0.29121760301824529</c:v>
                </c:pt>
                <c:pt idx="26">
                  <c:v>0.29698484809835002</c:v>
                </c:pt>
                <c:pt idx="27">
                  <c:v>0.30264221069161468</c:v>
                </c:pt>
                <c:pt idx="28">
                  <c:v>0.308195741996244</c:v>
                </c:pt>
                <c:pt idx="29">
                  <c:v>0.31365095739838428</c:v>
                </c:pt>
                <c:pt idx="30">
                  <c:v>0.31901290063135501</c:v>
                </c:pt>
                <c:pt idx="31">
                  <c:v>0.32428619838275341</c:v>
                </c:pt>
                <c:pt idx="32">
                  <c:v>0.32947510703214911</c:v>
                </c:pt>
                <c:pt idx="33">
                  <c:v>0.33458355286259045</c:v>
                </c:pt>
                <c:pt idx="34">
                  <c:v>0.33961516682630877</c:v>
                </c:pt>
                <c:pt idx="35">
                  <c:v>0.34457331473979408</c:v>
                </c:pt>
                <c:pt idx="36">
                  <c:v>0.34946112362189441</c:v>
                </c:pt>
                <c:pt idx="37">
                  <c:v>0.34921342705198216</c:v>
                </c:pt>
                <c:pt idx="38">
                  <c:v>0.34458787941980445</c:v>
                </c:pt>
                <c:pt idx="39">
                  <c:v>0.34014139791455489</c:v>
                </c:pt>
                <c:pt idx="40">
                  <c:v>0.37076476282671833</c:v>
                </c:pt>
                <c:pt idx="41">
                  <c:v>0.37076476282671839</c:v>
                </c:pt>
                <c:pt idx="42">
                  <c:v>0.37076476282671833</c:v>
                </c:pt>
                <c:pt idx="43">
                  <c:v>0.37076476282671833</c:v>
                </c:pt>
                <c:pt idx="44">
                  <c:v>0.37076476282671827</c:v>
                </c:pt>
                <c:pt idx="45">
                  <c:v>0.37076476282671833</c:v>
                </c:pt>
                <c:pt idx="46">
                  <c:v>0.37076476282671822</c:v>
                </c:pt>
                <c:pt idx="47">
                  <c:v>0.37076476282671833</c:v>
                </c:pt>
                <c:pt idx="48">
                  <c:v>0.37076476282671827</c:v>
                </c:pt>
                <c:pt idx="49">
                  <c:v>0.37076476282671827</c:v>
                </c:pt>
                <c:pt idx="50">
                  <c:v>0.37076476282671827</c:v>
                </c:pt>
                <c:pt idx="51">
                  <c:v>0.37076476282671839</c:v>
                </c:pt>
                <c:pt idx="52">
                  <c:v>0.37076476282671827</c:v>
                </c:pt>
                <c:pt idx="53">
                  <c:v>0.37076476282671827</c:v>
                </c:pt>
                <c:pt idx="54">
                  <c:v>0.37076476282671822</c:v>
                </c:pt>
                <c:pt idx="55">
                  <c:v>0.37076476282671827</c:v>
                </c:pt>
                <c:pt idx="56">
                  <c:v>0.37076476282671839</c:v>
                </c:pt>
                <c:pt idx="57">
                  <c:v>0.37076476282671839</c:v>
                </c:pt>
                <c:pt idx="58">
                  <c:v>0.37076476282671827</c:v>
                </c:pt>
                <c:pt idx="59">
                  <c:v>0.37076476282671827</c:v>
                </c:pt>
                <c:pt idx="60">
                  <c:v>0.37076476282671833</c:v>
                </c:pt>
                <c:pt idx="61">
                  <c:v>0.37076476282671827</c:v>
                </c:pt>
                <c:pt idx="62">
                  <c:v>0.37076476282671833</c:v>
                </c:pt>
                <c:pt idx="63">
                  <c:v>0.37076476282671833</c:v>
                </c:pt>
                <c:pt idx="64">
                  <c:v>0.37076476282671827</c:v>
                </c:pt>
                <c:pt idx="65">
                  <c:v>0.37076476282671827</c:v>
                </c:pt>
                <c:pt idx="66">
                  <c:v>0.37076476282671827</c:v>
                </c:pt>
                <c:pt idx="67">
                  <c:v>0.37076476282671833</c:v>
                </c:pt>
                <c:pt idx="68">
                  <c:v>0.37076476282671827</c:v>
                </c:pt>
                <c:pt idx="69">
                  <c:v>0.37076476282671833</c:v>
                </c:pt>
                <c:pt idx="70">
                  <c:v>0.37076476282671839</c:v>
                </c:pt>
                <c:pt idx="71">
                  <c:v>0.37076476282671833</c:v>
                </c:pt>
                <c:pt idx="72">
                  <c:v>0.37076476282671827</c:v>
                </c:pt>
                <c:pt idx="73">
                  <c:v>0.37076476282671827</c:v>
                </c:pt>
                <c:pt idx="74">
                  <c:v>0.37076476282671833</c:v>
                </c:pt>
                <c:pt idx="75">
                  <c:v>0.37076476282671839</c:v>
                </c:pt>
                <c:pt idx="76">
                  <c:v>0.37076476282671827</c:v>
                </c:pt>
                <c:pt idx="77">
                  <c:v>0.37076476282671833</c:v>
                </c:pt>
                <c:pt idx="78">
                  <c:v>0.37076476282671827</c:v>
                </c:pt>
                <c:pt idx="79">
                  <c:v>0.37076476282671827</c:v>
                </c:pt>
                <c:pt idx="80">
                  <c:v>0.37076476282671833</c:v>
                </c:pt>
                <c:pt idx="81">
                  <c:v>0.37076476282671822</c:v>
                </c:pt>
                <c:pt idx="82">
                  <c:v>0.37076476282671839</c:v>
                </c:pt>
                <c:pt idx="83">
                  <c:v>0.37076476282671833</c:v>
                </c:pt>
                <c:pt idx="84">
                  <c:v>0.37076476282671833</c:v>
                </c:pt>
                <c:pt idx="85">
                  <c:v>0.37076476282671833</c:v>
                </c:pt>
                <c:pt idx="86">
                  <c:v>0.37076476282671833</c:v>
                </c:pt>
                <c:pt idx="87">
                  <c:v>0.37076476282671827</c:v>
                </c:pt>
                <c:pt idx="88">
                  <c:v>0.37076476282671827</c:v>
                </c:pt>
                <c:pt idx="89">
                  <c:v>0.37076476282671827</c:v>
                </c:pt>
                <c:pt idx="90">
                  <c:v>0.37076476282671833</c:v>
                </c:pt>
                <c:pt idx="91">
                  <c:v>0.37076476282671827</c:v>
                </c:pt>
                <c:pt idx="92">
                  <c:v>0.37076476282671822</c:v>
                </c:pt>
                <c:pt idx="93">
                  <c:v>0.37076476282671833</c:v>
                </c:pt>
                <c:pt idx="94">
                  <c:v>0.37076476282671833</c:v>
                </c:pt>
                <c:pt idx="95">
                  <c:v>0.37076476282671839</c:v>
                </c:pt>
                <c:pt idx="96">
                  <c:v>0.37076476282671827</c:v>
                </c:pt>
                <c:pt idx="97">
                  <c:v>0.37076476282671833</c:v>
                </c:pt>
                <c:pt idx="98">
                  <c:v>0.37011844468051508</c:v>
                </c:pt>
                <c:pt idx="99">
                  <c:v>0.3678044425495216</c:v>
                </c:pt>
                <c:pt idx="100">
                  <c:v>0.36552016557235323</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0.20509750059855716</c:v>
                </c:pt>
                <c:pt idx="13">
                  <c:v>0.23126160068456322</c:v>
                </c:pt>
                <c:pt idx="14">
                  <c:v>0.25523017011520077</c:v>
                </c:pt>
                <c:pt idx="15">
                  <c:v>0.26418832515238538</c:v>
                </c:pt>
                <c:pt idx="16">
                  <c:v>0.27285252895403161</c:v>
                </c:pt>
                <c:pt idx="17">
                  <c:v>0.28124994927359342</c:v>
                </c:pt>
                <c:pt idx="18">
                  <c:v>0.28940381023094186</c:v>
                </c:pt>
                <c:pt idx="19">
                  <c:v>0.29733415005003239</c:v>
                </c:pt>
                <c:pt idx="20">
                  <c:v>0.3050584012869722</c:v>
                </c:pt>
                <c:pt idx="21">
                  <c:v>0.31259184187299499</c:v>
                </c:pt>
                <c:pt idx="22">
                  <c:v>0.31994795047841712</c:v>
                </c:pt>
                <c:pt idx="23">
                  <c:v>0.32713868989333539</c:v>
                </c:pt>
                <c:pt idx="24">
                  <c:v>0.33417473548267523</c:v>
                </c:pt>
                <c:pt idx="25">
                  <c:v>0.34106566119253956</c:v>
                </c:pt>
                <c:pt idx="26">
                  <c:v>0.34782009236743694</c:v>
                </c:pt>
                <c:pt idx="27">
                  <c:v>0.35444583234153071</c:v>
                </c:pt>
                <c:pt idx="28">
                  <c:v>0.36094996810370911</c:v>
                </c:pt>
                <c:pt idx="29">
                  <c:v>0.36733895911522485</c:v>
                </c:pt>
                <c:pt idx="30">
                  <c:v>0.37361871245113648</c:v>
                </c:pt>
                <c:pt idx="31">
                  <c:v>0.37979464675457603</c:v>
                </c:pt>
                <c:pt idx="32">
                  <c:v>0.38587174697458915</c:v>
                </c:pt>
                <c:pt idx="33">
                  <c:v>0.38292120647328626</c:v>
                </c:pt>
                <c:pt idx="34">
                  <c:v>0.37724798608239518</c:v>
                </c:pt>
                <c:pt idx="35">
                  <c:v>0.37181967450094411</c:v>
                </c:pt>
                <c:pt idx="36">
                  <c:v>0.36661914321228606</c:v>
                </c:pt>
                <c:pt idx="37">
                  <c:v>0.36163089522514541</c:v>
                </c:pt>
                <c:pt idx="38">
                  <c:v>0.35684087055383767</c:v>
                </c:pt>
                <c:pt idx="39">
                  <c:v>0.35223627931311713</c:v>
                </c:pt>
                <c:pt idx="40">
                  <c:v>0.34780545791108519</c:v>
                </c:pt>
                <c:pt idx="41">
                  <c:v>0.34353774465504194</c:v>
                </c:pt>
                <c:pt idx="42">
                  <c:v>0.33942337174732595</c:v>
                </c:pt>
                <c:pt idx="43">
                  <c:v>0.40831556503198291</c:v>
                </c:pt>
                <c:pt idx="44">
                  <c:v>0.40831556503198296</c:v>
                </c:pt>
                <c:pt idx="45">
                  <c:v>0.40831556503198291</c:v>
                </c:pt>
                <c:pt idx="46">
                  <c:v>0.40831556503198296</c:v>
                </c:pt>
                <c:pt idx="47">
                  <c:v>0.40831556503198291</c:v>
                </c:pt>
                <c:pt idx="48">
                  <c:v>0.40831556503198296</c:v>
                </c:pt>
                <c:pt idx="49">
                  <c:v>0.40831556503198296</c:v>
                </c:pt>
                <c:pt idx="50">
                  <c:v>0.40831556503198302</c:v>
                </c:pt>
                <c:pt idx="51">
                  <c:v>0.40831556503198296</c:v>
                </c:pt>
                <c:pt idx="52">
                  <c:v>0.40831556503198296</c:v>
                </c:pt>
                <c:pt idx="53">
                  <c:v>0.40831556503198302</c:v>
                </c:pt>
                <c:pt idx="54">
                  <c:v>0.40831556503198291</c:v>
                </c:pt>
                <c:pt idx="55">
                  <c:v>0.40831556503198296</c:v>
                </c:pt>
                <c:pt idx="56">
                  <c:v>0.40831556503198296</c:v>
                </c:pt>
                <c:pt idx="57">
                  <c:v>0.40831556503198296</c:v>
                </c:pt>
                <c:pt idx="58">
                  <c:v>0.40831556503198302</c:v>
                </c:pt>
                <c:pt idx="59">
                  <c:v>0.40831556503198302</c:v>
                </c:pt>
                <c:pt idx="60">
                  <c:v>0.40831556503198291</c:v>
                </c:pt>
                <c:pt idx="61">
                  <c:v>0.40831556503198291</c:v>
                </c:pt>
                <c:pt idx="62">
                  <c:v>0.40831556503198296</c:v>
                </c:pt>
                <c:pt idx="63">
                  <c:v>0.40831556503198296</c:v>
                </c:pt>
                <c:pt idx="64">
                  <c:v>0.40831556503198296</c:v>
                </c:pt>
                <c:pt idx="65">
                  <c:v>0.40831556503198291</c:v>
                </c:pt>
                <c:pt idx="66">
                  <c:v>0.40831556503198291</c:v>
                </c:pt>
                <c:pt idx="67">
                  <c:v>0.40831556503198302</c:v>
                </c:pt>
                <c:pt idx="68">
                  <c:v>0.40831556503198296</c:v>
                </c:pt>
                <c:pt idx="69">
                  <c:v>0.40831556503198296</c:v>
                </c:pt>
                <c:pt idx="70">
                  <c:v>0.40831556503198296</c:v>
                </c:pt>
                <c:pt idx="71">
                  <c:v>0.40831556503198291</c:v>
                </c:pt>
                <c:pt idx="72">
                  <c:v>0.40831556503198296</c:v>
                </c:pt>
                <c:pt idx="73">
                  <c:v>0.40831556503198296</c:v>
                </c:pt>
                <c:pt idx="74">
                  <c:v>0.40831556503198302</c:v>
                </c:pt>
                <c:pt idx="75">
                  <c:v>0.40831556503198291</c:v>
                </c:pt>
                <c:pt idx="76">
                  <c:v>0.40831556503198302</c:v>
                </c:pt>
                <c:pt idx="77">
                  <c:v>0.40831556503198296</c:v>
                </c:pt>
                <c:pt idx="78">
                  <c:v>0.40831556503198291</c:v>
                </c:pt>
                <c:pt idx="79">
                  <c:v>0.4083155650319828</c:v>
                </c:pt>
                <c:pt idx="80">
                  <c:v>0.40831556503198302</c:v>
                </c:pt>
                <c:pt idx="81">
                  <c:v>0.40831556503198291</c:v>
                </c:pt>
                <c:pt idx="82">
                  <c:v>0.40831556503198296</c:v>
                </c:pt>
                <c:pt idx="83">
                  <c:v>0.40831556503198291</c:v>
                </c:pt>
                <c:pt idx="84">
                  <c:v>0.40831556503198291</c:v>
                </c:pt>
                <c:pt idx="85">
                  <c:v>0.40831556503198302</c:v>
                </c:pt>
                <c:pt idx="86">
                  <c:v>0.40831556503198291</c:v>
                </c:pt>
                <c:pt idx="87">
                  <c:v>0.40831556503198302</c:v>
                </c:pt>
                <c:pt idx="88">
                  <c:v>0.40831556503198296</c:v>
                </c:pt>
                <c:pt idx="89">
                  <c:v>0.40831556503198291</c:v>
                </c:pt>
                <c:pt idx="90">
                  <c:v>0.40831556503198291</c:v>
                </c:pt>
                <c:pt idx="91">
                  <c:v>0.40831556503198302</c:v>
                </c:pt>
                <c:pt idx="92">
                  <c:v>0.4080356728716712</c:v>
                </c:pt>
                <c:pt idx="93">
                  <c:v>0.40548178336471064</c:v>
                </c:pt>
                <c:pt idx="94">
                  <c:v>0.40296080345002266</c:v>
                </c:pt>
                <c:pt idx="95">
                  <c:v>0.4004721010870308</c:v>
                </c:pt>
                <c:pt idx="96">
                  <c:v>0.39801506031696227</c:v>
                </c:pt>
                <c:pt idx="97">
                  <c:v>0.39558908075459387</c:v>
                </c:pt>
                <c:pt idx="98">
                  <c:v>0.39319357709915292</c:v>
                </c:pt>
                <c:pt idx="99">
                  <c:v>0.39082797866353536</c:v>
                </c:pt>
                <c:pt idx="100">
                  <c:v>0.38849172892104605</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8.199999999999999E-3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0.25295358407155383</c:v>
                </c:pt>
                <c:pt idx="13">
                  <c:v>0.28522264084429466</c:v>
                </c:pt>
                <c:pt idx="14">
                  <c:v>0.31478387647541434</c:v>
                </c:pt>
                <c:pt idx="15">
                  <c:v>0.32583226768794193</c:v>
                </c:pt>
                <c:pt idx="16">
                  <c:v>0.33651811904330564</c:v>
                </c:pt>
                <c:pt idx="17">
                  <c:v>0.34687493743743186</c:v>
                </c:pt>
                <c:pt idx="18">
                  <c:v>0.35693136595149494</c:v>
                </c:pt>
                <c:pt idx="19">
                  <c:v>0.36671211839503998</c:v>
                </c:pt>
                <c:pt idx="20">
                  <c:v>0.37623869492059903</c:v>
                </c:pt>
                <c:pt idx="21">
                  <c:v>0.38552993831002719</c:v>
                </c:pt>
                <c:pt idx="22">
                  <c:v>0.39460247225671452</c:v>
                </c:pt>
                <c:pt idx="23">
                  <c:v>0.40347105086844692</c:v>
                </c:pt>
                <c:pt idx="24">
                  <c:v>0.41214884042863281</c:v>
                </c:pt>
                <c:pt idx="25">
                  <c:v>0.42064764880413208</c:v>
                </c:pt>
                <c:pt idx="26">
                  <c:v>0.42897811391983892</c:v>
                </c:pt>
                <c:pt idx="27">
                  <c:v>0.43523088971132234</c:v>
                </c:pt>
                <c:pt idx="28">
                  <c:v>0.42738824933252384</c:v>
                </c:pt>
                <c:pt idx="29">
                  <c:v>0.41995484316730319</c:v>
                </c:pt>
                <c:pt idx="30">
                  <c:v>0.45978391356542614</c:v>
                </c:pt>
                <c:pt idx="31">
                  <c:v>0.45978391356542619</c:v>
                </c:pt>
                <c:pt idx="32">
                  <c:v>0.45978391356542614</c:v>
                </c:pt>
                <c:pt idx="33">
                  <c:v>0.45978391356542614</c:v>
                </c:pt>
                <c:pt idx="34">
                  <c:v>0.45978391356542614</c:v>
                </c:pt>
                <c:pt idx="35">
                  <c:v>0.45978391356542625</c:v>
                </c:pt>
                <c:pt idx="36">
                  <c:v>0.45978391356542625</c:v>
                </c:pt>
                <c:pt idx="37">
                  <c:v>0.45978391356542614</c:v>
                </c:pt>
                <c:pt idx="38">
                  <c:v>0.45978391356542619</c:v>
                </c:pt>
                <c:pt idx="39">
                  <c:v>0.45978391356542603</c:v>
                </c:pt>
                <c:pt idx="40">
                  <c:v>0.45978391356542619</c:v>
                </c:pt>
                <c:pt idx="41">
                  <c:v>0.45978391356542625</c:v>
                </c:pt>
                <c:pt idx="42">
                  <c:v>0.45978391356542619</c:v>
                </c:pt>
                <c:pt idx="43">
                  <c:v>0.45978391356542614</c:v>
                </c:pt>
                <c:pt idx="44">
                  <c:v>0.45978391356542625</c:v>
                </c:pt>
                <c:pt idx="45">
                  <c:v>0.45978391356542597</c:v>
                </c:pt>
                <c:pt idx="46">
                  <c:v>0.45978391356542625</c:v>
                </c:pt>
                <c:pt idx="47">
                  <c:v>0.45978391356542625</c:v>
                </c:pt>
                <c:pt idx="48">
                  <c:v>0.45978391356542614</c:v>
                </c:pt>
                <c:pt idx="49">
                  <c:v>0.45978391356542619</c:v>
                </c:pt>
                <c:pt idx="50">
                  <c:v>0.45978391356542614</c:v>
                </c:pt>
                <c:pt idx="51">
                  <c:v>0.45978391356542625</c:v>
                </c:pt>
                <c:pt idx="52">
                  <c:v>0.45978391356542625</c:v>
                </c:pt>
                <c:pt idx="53">
                  <c:v>0.45978391356542619</c:v>
                </c:pt>
                <c:pt idx="54">
                  <c:v>0.45978391356542614</c:v>
                </c:pt>
                <c:pt idx="55">
                  <c:v>0.45978391356542625</c:v>
                </c:pt>
                <c:pt idx="56">
                  <c:v>0.45978391356542619</c:v>
                </c:pt>
                <c:pt idx="57">
                  <c:v>0.45978391356542608</c:v>
                </c:pt>
                <c:pt idx="58">
                  <c:v>0.45978391356542619</c:v>
                </c:pt>
                <c:pt idx="59">
                  <c:v>0.45978391356542619</c:v>
                </c:pt>
                <c:pt idx="60">
                  <c:v>0.45978391356542614</c:v>
                </c:pt>
                <c:pt idx="61">
                  <c:v>0.45978391356542619</c:v>
                </c:pt>
                <c:pt idx="62">
                  <c:v>0.45978391356542619</c:v>
                </c:pt>
                <c:pt idx="63">
                  <c:v>0.45978391356542608</c:v>
                </c:pt>
                <c:pt idx="64">
                  <c:v>0.45978391356542614</c:v>
                </c:pt>
                <c:pt idx="65">
                  <c:v>0.45978391356542625</c:v>
                </c:pt>
                <c:pt idx="66">
                  <c:v>0.45978391356542614</c:v>
                </c:pt>
                <c:pt idx="67">
                  <c:v>0.45978391356542619</c:v>
                </c:pt>
                <c:pt idx="68">
                  <c:v>0.45978391356542614</c:v>
                </c:pt>
                <c:pt idx="69">
                  <c:v>0.45978391356542614</c:v>
                </c:pt>
                <c:pt idx="70">
                  <c:v>0.45978391356542625</c:v>
                </c:pt>
                <c:pt idx="71">
                  <c:v>0.45978391356542619</c:v>
                </c:pt>
                <c:pt idx="72">
                  <c:v>0.45978391356542625</c:v>
                </c:pt>
                <c:pt idx="73">
                  <c:v>0.45978391356542603</c:v>
                </c:pt>
                <c:pt idx="74">
                  <c:v>0.45978391356542614</c:v>
                </c:pt>
                <c:pt idx="75">
                  <c:v>0.45978391356542614</c:v>
                </c:pt>
                <c:pt idx="76">
                  <c:v>0.45978391356542619</c:v>
                </c:pt>
                <c:pt idx="77">
                  <c:v>0.45978391356542619</c:v>
                </c:pt>
                <c:pt idx="78">
                  <c:v>0.45978391356542603</c:v>
                </c:pt>
                <c:pt idx="79">
                  <c:v>0.45978391356542619</c:v>
                </c:pt>
                <c:pt idx="80">
                  <c:v>0.45978391356542619</c:v>
                </c:pt>
                <c:pt idx="81">
                  <c:v>0.45978391356542619</c:v>
                </c:pt>
                <c:pt idx="82">
                  <c:v>0.45978391356542625</c:v>
                </c:pt>
                <c:pt idx="83">
                  <c:v>0.45978391356542608</c:v>
                </c:pt>
                <c:pt idx="84">
                  <c:v>0.45948824965057955</c:v>
                </c:pt>
                <c:pt idx="85">
                  <c:v>0.456612263603701</c:v>
                </c:pt>
                <c:pt idx="86">
                  <c:v>0.45377346052720635</c:v>
                </c:pt>
                <c:pt idx="87">
                  <c:v>0.4509711239573263</c:v>
                </c:pt>
                <c:pt idx="88">
                  <c:v>0.44820455571982437</c:v>
                </c:pt>
                <c:pt idx="89">
                  <c:v>0.44547307535009129</c:v>
                </c:pt>
                <c:pt idx="90">
                  <c:v>0.44277601953516316</c:v>
                </c:pt>
                <c:pt idx="91">
                  <c:v>0.44011274157670394</c:v>
                </c:pt>
                <c:pt idx="92">
                  <c:v>0.43748261087404078</c:v>
                </c:pt>
                <c:pt idx="93">
                  <c:v>0.43488501242638106</c:v>
                </c:pt>
                <c:pt idx="94">
                  <c:v>0.43231934635338709</c:v>
                </c:pt>
                <c:pt idx="95">
                  <c:v>0.42978502743332486</c:v>
                </c:pt>
                <c:pt idx="96">
                  <c:v>0.42728148465803767</c:v>
                </c:pt>
                <c:pt idx="97">
                  <c:v>0.42480816080403472</c:v>
                </c:pt>
                <c:pt idx="98">
                  <c:v>0.42236451201901842</c:v>
                </c:pt>
                <c:pt idx="99">
                  <c:v>0.41995000742320526</c:v>
                </c:pt>
                <c:pt idx="100">
                  <c:v>0.41756412872482701</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5.6769230769230768E-3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0.1751217120495373</c:v>
                </c:pt>
                <c:pt idx="13">
                  <c:v>0.19746182827681938</c:v>
                </c:pt>
                <c:pt idx="14">
                  <c:v>0.21792729909836375</c:v>
                </c:pt>
                <c:pt idx="15">
                  <c:v>0.22557618532242138</c:v>
                </c:pt>
                <c:pt idx="16">
                  <c:v>0.23297408241459619</c:v>
                </c:pt>
                <c:pt idx="17">
                  <c:v>0.24014418745668353</c:v>
                </c:pt>
                <c:pt idx="18">
                  <c:v>0.24710633027411189</c:v>
                </c:pt>
                <c:pt idx="19">
                  <c:v>0.25387762042733536</c:v>
                </c:pt>
                <c:pt idx="20">
                  <c:v>0.26047294263733778</c:v>
                </c:pt>
                <c:pt idx="21">
                  <c:v>0.26690534190694187</c:v>
                </c:pt>
                <c:pt idx="22">
                  <c:v>0.27318632694695616</c:v>
                </c:pt>
                <c:pt idx="23">
                  <c:v>0.27932611213969405</c:v>
                </c:pt>
                <c:pt idx="24">
                  <c:v>0.28533381260443813</c:v>
                </c:pt>
                <c:pt idx="25">
                  <c:v>0.29121760301824529</c:v>
                </c:pt>
                <c:pt idx="26">
                  <c:v>0.29698484809835002</c:v>
                </c:pt>
                <c:pt idx="27">
                  <c:v>0.30264221069161468</c:v>
                </c:pt>
                <c:pt idx="28">
                  <c:v>0.308195741996244</c:v>
                </c:pt>
                <c:pt idx="29">
                  <c:v>0.31365095739838428</c:v>
                </c:pt>
                <c:pt idx="30">
                  <c:v>0.31901290063135501</c:v>
                </c:pt>
                <c:pt idx="31">
                  <c:v>0.32428619838275341</c:v>
                </c:pt>
                <c:pt idx="32">
                  <c:v>0.32947510703214911</c:v>
                </c:pt>
                <c:pt idx="33">
                  <c:v>0.33458355286259045</c:v>
                </c:pt>
                <c:pt idx="34">
                  <c:v>0.33961516682630877</c:v>
                </c:pt>
                <c:pt idx="35">
                  <c:v>0.34457331473979408</c:v>
                </c:pt>
                <c:pt idx="36">
                  <c:v>0.34946112362189441</c:v>
                </c:pt>
                <c:pt idx="37">
                  <c:v>0.34921342705198216</c:v>
                </c:pt>
                <c:pt idx="38">
                  <c:v>0.34458787941980445</c:v>
                </c:pt>
                <c:pt idx="39">
                  <c:v>0.34014139791455489</c:v>
                </c:pt>
                <c:pt idx="40">
                  <c:v>0.37076476282671833</c:v>
                </c:pt>
                <c:pt idx="41">
                  <c:v>0.37076476282671839</c:v>
                </c:pt>
                <c:pt idx="42">
                  <c:v>0.37076476282671833</c:v>
                </c:pt>
                <c:pt idx="43">
                  <c:v>0.37076476282671833</c:v>
                </c:pt>
                <c:pt idx="44">
                  <c:v>0.37076476282671827</c:v>
                </c:pt>
                <c:pt idx="45">
                  <c:v>0.37076476282671833</c:v>
                </c:pt>
                <c:pt idx="46">
                  <c:v>0.37076476282671822</c:v>
                </c:pt>
                <c:pt idx="47">
                  <c:v>0.37076476282671833</c:v>
                </c:pt>
                <c:pt idx="48">
                  <c:v>0.37076476282671827</c:v>
                </c:pt>
                <c:pt idx="49">
                  <c:v>0.37076476282671827</c:v>
                </c:pt>
                <c:pt idx="50">
                  <c:v>0.37076476282671827</c:v>
                </c:pt>
                <c:pt idx="51">
                  <c:v>0.37076476282671839</c:v>
                </c:pt>
                <c:pt idx="52">
                  <c:v>0.37076476282671827</c:v>
                </c:pt>
                <c:pt idx="53">
                  <c:v>0.37076476282671827</c:v>
                </c:pt>
                <c:pt idx="54">
                  <c:v>0.37076476282671822</c:v>
                </c:pt>
                <c:pt idx="55">
                  <c:v>0.37076476282671827</c:v>
                </c:pt>
                <c:pt idx="56">
                  <c:v>0.37076476282671839</c:v>
                </c:pt>
                <c:pt idx="57">
                  <c:v>0.37076476282671839</c:v>
                </c:pt>
                <c:pt idx="58">
                  <c:v>0.37076476282671827</c:v>
                </c:pt>
                <c:pt idx="59">
                  <c:v>0.37076476282671827</c:v>
                </c:pt>
                <c:pt idx="60">
                  <c:v>0.37076476282671833</c:v>
                </c:pt>
                <c:pt idx="61">
                  <c:v>0.37076476282671827</c:v>
                </c:pt>
                <c:pt idx="62">
                  <c:v>0.37076476282671833</c:v>
                </c:pt>
                <c:pt idx="63">
                  <c:v>0.37076476282671833</c:v>
                </c:pt>
                <c:pt idx="64">
                  <c:v>0.37076476282671827</c:v>
                </c:pt>
                <c:pt idx="65">
                  <c:v>0.37076476282671827</c:v>
                </c:pt>
                <c:pt idx="66">
                  <c:v>0.37076476282671827</c:v>
                </c:pt>
                <c:pt idx="67">
                  <c:v>0.37076476282671833</c:v>
                </c:pt>
                <c:pt idx="68">
                  <c:v>0.37076476282671827</c:v>
                </c:pt>
                <c:pt idx="69">
                  <c:v>0.37076476282671833</c:v>
                </c:pt>
                <c:pt idx="70">
                  <c:v>0.37076476282671839</c:v>
                </c:pt>
                <c:pt idx="71">
                  <c:v>0.37076476282671833</c:v>
                </c:pt>
                <c:pt idx="72">
                  <c:v>0.37076476282671827</c:v>
                </c:pt>
                <c:pt idx="73">
                  <c:v>0.37076476282671827</c:v>
                </c:pt>
                <c:pt idx="74">
                  <c:v>0.37076476282671833</c:v>
                </c:pt>
                <c:pt idx="75">
                  <c:v>0.37076476282671839</c:v>
                </c:pt>
                <c:pt idx="76">
                  <c:v>0.37076476282671827</c:v>
                </c:pt>
                <c:pt idx="77">
                  <c:v>0.37076476282671833</c:v>
                </c:pt>
                <c:pt idx="78">
                  <c:v>0.37076476282671827</c:v>
                </c:pt>
                <c:pt idx="79">
                  <c:v>0.37076476282671827</c:v>
                </c:pt>
                <c:pt idx="80">
                  <c:v>0.37076476282671833</c:v>
                </c:pt>
                <c:pt idx="81">
                  <c:v>0.37076476282671822</c:v>
                </c:pt>
                <c:pt idx="82">
                  <c:v>0.37076476282671839</c:v>
                </c:pt>
                <c:pt idx="83">
                  <c:v>0.37076476282671833</c:v>
                </c:pt>
                <c:pt idx="84">
                  <c:v>0.37076476282671833</c:v>
                </c:pt>
                <c:pt idx="85">
                  <c:v>0.37076476282671833</c:v>
                </c:pt>
                <c:pt idx="86">
                  <c:v>0.37076476282671833</c:v>
                </c:pt>
                <c:pt idx="87">
                  <c:v>0.37076476282671827</c:v>
                </c:pt>
                <c:pt idx="88">
                  <c:v>0.37076476282671827</c:v>
                </c:pt>
                <c:pt idx="89">
                  <c:v>0.37076476282671827</c:v>
                </c:pt>
                <c:pt idx="90">
                  <c:v>0.37076476282671833</c:v>
                </c:pt>
                <c:pt idx="91">
                  <c:v>0.37076476282671827</c:v>
                </c:pt>
                <c:pt idx="92">
                  <c:v>0.37076476282671822</c:v>
                </c:pt>
                <c:pt idx="93">
                  <c:v>0.37076476282671833</c:v>
                </c:pt>
                <c:pt idx="94">
                  <c:v>0.37076476282671833</c:v>
                </c:pt>
                <c:pt idx="95">
                  <c:v>0.37076476282671839</c:v>
                </c:pt>
                <c:pt idx="96">
                  <c:v>0.37076476282671827</c:v>
                </c:pt>
                <c:pt idx="97">
                  <c:v>0.37076476282671833</c:v>
                </c:pt>
                <c:pt idx="98">
                  <c:v>0.37011844468051508</c:v>
                </c:pt>
                <c:pt idx="99">
                  <c:v>0.3678044425495216</c:v>
                </c:pt>
                <c:pt idx="100">
                  <c:v>0.36552016557235323</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1.4660671114979209</c:v>
                </c:pt>
                <c:pt idx="31">
                  <c:v>1.5149360152145184</c:v>
                </c:pt>
                <c:pt idx="32">
                  <c:v>1.5638049189311156</c:v>
                </c:pt>
                <c:pt idx="33">
                  <c:v>1.6126738226477131</c:v>
                </c:pt>
                <c:pt idx="34">
                  <c:v>1.6615427263643106</c:v>
                </c:pt>
                <c:pt idx="35">
                  <c:v>1.7104116300809076</c:v>
                </c:pt>
                <c:pt idx="36">
                  <c:v>1.7592805337975048</c:v>
                </c:pt>
                <c:pt idx="37">
                  <c:v>1.8081494375141023</c:v>
                </c:pt>
                <c:pt idx="38">
                  <c:v>1.8570183412306998</c:v>
                </c:pt>
                <c:pt idx="39">
                  <c:v>1.9058872449472972</c:v>
                </c:pt>
                <c:pt idx="40">
                  <c:v>1.9547561486638945</c:v>
                </c:pt>
                <c:pt idx="41">
                  <c:v>2.0036250523804919</c:v>
                </c:pt>
                <c:pt idx="42">
                  <c:v>2.0524939560970892</c:v>
                </c:pt>
                <c:pt idx="43">
                  <c:v>2.1013628598136869</c:v>
                </c:pt>
                <c:pt idx="44">
                  <c:v>2.1502317635302837</c:v>
                </c:pt>
                <c:pt idx="45">
                  <c:v>2.1991006672468809</c:v>
                </c:pt>
                <c:pt idx="46">
                  <c:v>2.2479695709634786</c:v>
                </c:pt>
                <c:pt idx="47">
                  <c:v>2.2968384746800758</c:v>
                </c:pt>
                <c:pt idx="48">
                  <c:v>2.3457073783966731</c:v>
                </c:pt>
                <c:pt idx="49">
                  <c:v>2.3945762821132703</c:v>
                </c:pt>
                <c:pt idx="50">
                  <c:v>2.443445185829868</c:v>
                </c:pt>
                <c:pt idx="51">
                  <c:v>2.4923140895464653</c:v>
                </c:pt>
                <c:pt idx="52">
                  <c:v>2.541182993263063</c:v>
                </c:pt>
                <c:pt idx="53">
                  <c:v>2.5900518969796602</c:v>
                </c:pt>
                <c:pt idx="54">
                  <c:v>2.6389208006962579</c:v>
                </c:pt>
                <c:pt idx="55">
                  <c:v>2.6877897044128547</c:v>
                </c:pt>
                <c:pt idx="56">
                  <c:v>2.7366586081294524</c:v>
                </c:pt>
                <c:pt idx="57">
                  <c:v>2.7855275118460492</c:v>
                </c:pt>
                <c:pt idx="58">
                  <c:v>2.8343964155626469</c:v>
                </c:pt>
                <c:pt idx="59">
                  <c:v>2.8832653192792441</c:v>
                </c:pt>
                <c:pt idx="60">
                  <c:v>2.9321342229958418</c:v>
                </c:pt>
                <c:pt idx="61">
                  <c:v>2.9810031267124391</c:v>
                </c:pt>
                <c:pt idx="62">
                  <c:v>3.0298720304290367</c:v>
                </c:pt>
                <c:pt idx="63">
                  <c:v>3.0787409341456335</c:v>
                </c:pt>
                <c:pt idx="64">
                  <c:v>3.1276098378622312</c:v>
                </c:pt>
                <c:pt idx="65">
                  <c:v>3.1764787415788285</c:v>
                </c:pt>
                <c:pt idx="66">
                  <c:v>3.2253476452954262</c:v>
                </c:pt>
                <c:pt idx="67">
                  <c:v>3.2742165490120234</c:v>
                </c:pt>
                <c:pt idx="68">
                  <c:v>3.3230854527286211</c:v>
                </c:pt>
                <c:pt idx="69">
                  <c:v>3.3719543564452179</c:v>
                </c:pt>
                <c:pt idx="70">
                  <c:v>3.4208232601618151</c:v>
                </c:pt>
                <c:pt idx="71">
                  <c:v>3.4696921638784124</c:v>
                </c:pt>
                <c:pt idx="72">
                  <c:v>3.5185610675950096</c:v>
                </c:pt>
                <c:pt idx="73">
                  <c:v>3.5674299713116073</c:v>
                </c:pt>
                <c:pt idx="74">
                  <c:v>3.6162988750282046</c:v>
                </c:pt>
                <c:pt idx="75">
                  <c:v>3.6651677787448023</c:v>
                </c:pt>
                <c:pt idx="76">
                  <c:v>3.7140366824613995</c:v>
                </c:pt>
                <c:pt idx="77">
                  <c:v>3.7629055861779972</c:v>
                </c:pt>
                <c:pt idx="78">
                  <c:v>3.8117744898945944</c:v>
                </c:pt>
                <c:pt idx="79">
                  <c:v>3.8606433936111921</c:v>
                </c:pt>
                <c:pt idx="80">
                  <c:v>3.9095122973277889</c:v>
                </c:pt>
                <c:pt idx="81">
                  <c:v>3.9583812010443866</c:v>
                </c:pt>
                <c:pt idx="82">
                  <c:v>4.0072501047609839</c:v>
                </c:pt>
                <c:pt idx="83">
                  <c:v>4.0561190084775811</c:v>
                </c:pt>
                <c:pt idx="84">
                  <c:v>4.0999999999999996</c:v>
                </c:pt>
                <c:pt idx="85">
                  <c:v>4.0999999999999996</c:v>
                </c:pt>
                <c:pt idx="86">
                  <c:v>4.0999999999999996</c:v>
                </c:pt>
                <c:pt idx="87">
                  <c:v>4.0999999999999996</c:v>
                </c:pt>
                <c:pt idx="88">
                  <c:v>4.0999999999999996</c:v>
                </c:pt>
                <c:pt idx="89">
                  <c:v>4.0999999999999996</c:v>
                </c:pt>
                <c:pt idx="90">
                  <c:v>4.0999999999999996</c:v>
                </c:pt>
                <c:pt idx="91">
                  <c:v>4.0999999999999996</c:v>
                </c:pt>
                <c:pt idx="92">
                  <c:v>4.0999999999999996</c:v>
                </c:pt>
                <c:pt idx="93">
                  <c:v>4.0999999999999996</c:v>
                </c:pt>
                <c:pt idx="94">
                  <c:v>4.0999999999999996</c:v>
                </c:pt>
                <c:pt idx="95">
                  <c:v>4.0999999999999996</c:v>
                </c:pt>
                <c:pt idx="96">
                  <c:v>4.0999999999999996</c:v>
                </c:pt>
                <c:pt idx="97">
                  <c:v>4.0999999999999996</c:v>
                </c:pt>
                <c:pt idx="98">
                  <c:v>4.0999999999999996</c:v>
                </c:pt>
                <c:pt idx="99">
                  <c:v>4.0999999999999996</c:v>
                </c:pt>
                <c:pt idx="100">
                  <c:v>4.0999999999999996</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Dual'!$AI$5:$AI$105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1.3165611772087666</c:v>
                </c:pt>
                <c:pt idx="31">
                  <c:v>1.3383239933256488</c:v>
                </c:pt>
                <c:pt idx="32">
                  <c:v>1.3597385369580759</c:v>
                </c:pt>
                <c:pt idx="33">
                  <c:v>1.3808210118138653</c:v>
                </c:pt>
                <c:pt idx="34">
                  <c:v>1.4015864027752427</c:v>
                </c:pt>
                <c:pt idx="35">
                  <c:v>1.4220486005134361</c:v>
                </c:pt>
                <c:pt idx="36">
                  <c:v>1.4422205101855958</c:v>
                </c:pt>
                <c:pt idx="37">
                  <c:v>1.4621141466307539</c:v>
                </c:pt>
                <c:pt idx="38">
                  <c:v>1.4817407180595248</c:v>
                </c:pt>
                <c:pt idx="39">
                  <c:v>1.5011106998930273</c:v>
                </c:pt>
                <c:pt idx="40">
                  <c:v>1.5202339001321841</c:v>
                </c:pt>
                <c:pt idx="41">
                  <c:v>1.5391195174153594</c:v>
                </c:pt>
                <c:pt idx="42">
                  <c:v>1.5577761927397231</c:v>
                </c:pt>
                <c:pt idx="43">
                  <c:v>1.9185734036908968</c:v>
                </c:pt>
                <c:pt idx="44">
                  <c:v>1.9631913898232429</c:v>
                </c:pt>
                <c:pt idx="45">
                  <c:v>2.0078093759555893</c:v>
                </c:pt>
                <c:pt idx="46">
                  <c:v>2.0524273620879359</c:v>
                </c:pt>
                <c:pt idx="47">
                  <c:v>2.0970453482202824</c:v>
                </c:pt>
                <c:pt idx="48">
                  <c:v>2.1416633343526286</c:v>
                </c:pt>
                <c:pt idx="49">
                  <c:v>2.1862813204849751</c:v>
                </c:pt>
                <c:pt idx="50">
                  <c:v>2.2308993066173217</c:v>
                </c:pt>
                <c:pt idx="51">
                  <c:v>2.2755172927496683</c:v>
                </c:pt>
                <c:pt idx="52">
                  <c:v>2.3201352788820144</c:v>
                </c:pt>
                <c:pt idx="53">
                  <c:v>2.364753265014361</c:v>
                </c:pt>
                <c:pt idx="54">
                  <c:v>2.4093712511467076</c:v>
                </c:pt>
                <c:pt idx="55">
                  <c:v>2.4539892372790537</c:v>
                </c:pt>
                <c:pt idx="56">
                  <c:v>2.4986072234114003</c:v>
                </c:pt>
                <c:pt idx="57">
                  <c:v>2.5432252095437464</c:v>
                </c:pt>
                <c:pt idx="58">
                  <c:v>2.587843195676093</c:v>
                </c:pt>
                <c:pt idx="59">
                  <c:v>2.6324611818084396</c:v>
                </c:pt>
                <c:pt idx="60">
                  <c:v>2.6770791679407862</c:v>
                </c:pt>
                <c:pt idx="61">
                  <c:v>2.7216971540731327</c:v>
                </c:pt>
                <c:pt idx="62">
                  <c:v>2.7663151402054789</c:v>
                </c:pt>
                <c:pt idx="63">
                  <c:v>2.810933126337825</c:v>
                </c:pt>
                <c:pt idx="64">
                  <c:v>2.8555511124701716</c:v>
                </c:pt>
                <c:pt idx="65">
                  <c:v>2.9001690986025181</c:v>
                </c:pt>
                <c:pt idx="66">
                  <c:v>2.9447870847348647</c:v>
                </c:pt>
                <c:pt idx="67">
                  <c:v>2.9894050708672113</c:v>
                </c:pt>
                <c:pt idx="68">
                  <c:v>3.0340230569995579</c:v>
                </c:pt>
                <c:pt idx="69">
                  <c:v>3.078641043131904</c:v>
                </c:pt>
                <c:pt idx="70">
                  <c:v>3.1232590292642506</c:v>
                </c:pt>
                <c:pt idx="71">
                  <c:v>3.1678770153965963</c:v>
                </c:pt>
                <c:pt idx="72">
                  <c:v>3.2124950015289429</c:v>
                </c:pt>
                <c:pt idx="73">
                  <c:v>3.2571129876612894</c:v>
                </c:pt>
                <c:pt idx="74">
                  <c:v>3.301730973793636</c:v>
                </c:pt>
                <c:pt idx="75">
                  <c:v>3.3463489599259826</c:v>
                </c:pt>
                <c:pt idx="76">
                  <c:v>3.3909669460583292</c:v>
                </c:pt>
                <c:pt idx="77">
                  <c:v>3.4355849321906757</c:v>
                </c:pt>
                <c:pt idx="78">
                  <c:v>3.4802029183230223</c:v>
                </c:pt>
                <c:pt idx="79">
                  <c:v>3.5248209044553689</c:v>
                </c:pt>
                <c:pt idx="80">
                  <c:v>3.5694388905877146</c:v>
                </c:pt>
                <c:pt idx="81">
                  <c:v>3.6140568767200612</c:v>
                </c:pt>
                <c:pt idx="82">
                  <c:v>3.6586748628524073</c:v>
                </c:pt>
                <c:pt idx="83">
                  <c:v>3.7032928489847539</c:v>
                </c:pt>
                <c:pt idx="84">
                  <c:v>3.7479108351171004</c:v>
                </c:pt>
                <c:pt idx="85">
                  <c:v>3.792528821249447</c:v>
                </c:pt>
                <c:pt idx="86">
                  <c:v>3.8371468073817936</c:v>
                </c:pt>
                <c:pt idx="87">
                  <c:v>3.8817647935141402</c:v>
                </c:pt>
                <c:pt idx="88">
                  <c:v>3.9263827796464859</c:v>
                </c:pt>
                <c:pt idx="89">
                  <c:v>3.9710007657788329</c:v>
                </c:pt>
                <c:pt idx="90">
                  <c:v>4.0156187519111786</c:v>
                </c:pt>
                <c:pt idx="91">
                  <c:v>4.0602367380435256</c:v>
                </c:pt>
                <c:pt idx="92">
                  <c:v>4.0999999999999996</c:v>
                </c:pt>
                <c:pt idx="93">
                  <c:v>4.0999999999999996</c:v>
                </c:pt>
                <c:pt idx="94">
                  <c:v>4.0999999999999996</c:v>
                </c:pt>
                <c:pt idx="95">
                  <c:v>4.0999999999999996</c:v>
                </c:pt>
                <c:pt idx="96">
                  <c:v>4.0999999999999996</c:v>
                </c:pt>
                <c:pt idx="97">
                  <c:v>4.0999999999999996</c:v>
                </c:pt>
                <c:pt idx="98">
                  <c:v>4.0999999999999996</c:v>
                </c:pt>
                <c:pt idx="99">
                  <c:v>4.0999999999999996</c:v>
                </c:pt>
                <c:pt idx="100">
                  <c:v>4.0999999999999996</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1.3165611772087666</c:v>
                </c:pt>
                <c:pt idx="31">
                  <c:v>1.3383239933256488</c:v>
                </c:pt>
                <c:pt idx="32">
                  <c:v>1.3597385369580759</c:v>
                </c:pt>
                <c:pt idx="33">
                  <c:v>1.3808210118138653</c:v>
                </c:pt>
                <c:pt idx="34">
                  <c:v>1.4015864027752427</c:v>
                </c:pt>
                <c:pt idx="35">
                  <c:v>1.4220486005134361</c:v>
                </c:pt>
                <c:pt idx="36">
                  <c:v>1.4422205101855958</c:v>
                </c:pt>
                <c:pt idx="37">
                  <c:v>1.4621141466307539</c:v>
                </c:pt>
                <c:pt idx="38">
                  <c:v>1.4817407180595248</c:v>
                </c:pt>
                <c:pt idx="39">
                  <c:v>1.5011106998930273</c:v>
                </c:pt>
                <c:pt idx="40">
                  <c:v>1.6782129387873512</c:v>
                </c:pt>
                <c:pt idx="41">
                  <c:v>1.7201682622570349</c:v>
                </c:pt>
                <c:pt idx="42">
                  <c:v>1.7621235857267188</c:v>
                </c:pt>
                <c:pt idx="43">
                  <c:v>1.8040789091964027</c:v>
                </c:pt>
                <c:pt idx="44">
                  <c:v>1.8460342326660861</c:v>
                </c:pt>
                <c:pt idx="45">
                  <c:v>1.88798955613577</c:v>
                </c:pt>
                <c:pt idx="46">
                  <c:v>1.9299448796054539</c:v>
                </c:pt>
                <c:pt idx="47">
                  <c:v>1.9719002030751378</c:v>
                </c:pt>
                <c:pt idx="48">
                  <c:v>2.013855526544821</c:v>
                </c:pt>
                <c:pt idx="49">
                  <c:v>2.0558108500145051</c:v>
                </c:pt>
                <c:pt idx="50">
                  <c:v>2.0977661734841888</c:v>
                </c:pt>
                <c:pt idx="51">
                  <c:v>2.1397214969538729</c:v>
                </c:pt>
                <c:pt idx="52">
                  <c:v>2.1816768204235566</c:v>
                </c:pt>
                <c:pt idx="53">
                  <c:v>2.2236321438932407</c:v>
                </c:pt>
                <c:pt idx="54">
                  <c:v>2.2655874673629244</c:v>
                </c:pt>
                <c:pt idx="55">
                  <c:v>2.307542790832608</c:v>
                </c:pt>
                <c:pt idx="56">
                  <c:v>2.3494981143022917</c:v>
                </c:pt>
                <c:pt idx="57">
                  <c:v>2.3914534377719749</c:v>
                </c:pt>
                <c:pt idx="58">
                  <c:v>2.4334087612416591</c:v>
                </c:pt>
                <c:pt idx="59">
                  <c:v>2.4753640847113427</c:v>
                </c:pt>
                <c:pt idx="60">
                  <c:v>2.5173194081810268</c:v>
                </c:pt>
                <c:pt idx="61">
                  <c:v>2.5592747316507105</c:v>
                </c:pt>
                <c:pt idx="62">
                  <c:v>2.6012300551203946</c:v>
                </c:pt>
                <c:pt idx="63">
                  <c:v>2.6431853785900778</c:v>
                </c:pt>
                <c:pt idx="64">
                  <c:v>2.685140702059762</c:v>
                </c:pt>
                <c:pt idx="65">
                  <c:v>2.7270960255294456</c:v>
                </c:pt>
                <c:pt idx="66">
                  <c:v>2.7690513489991297</c:v>
                </c:pt>
                <c:pt idx="67">
                  <c:v>2.8110066724688134</c:v>
                </c:pt>
                <c:pt idx="68">
                  <c:v>2.8529619959384971</c:v>
                </c:pt>
                <c:pt idx="69">
                  <c:v>2.8949173194081808</c:v>
                </c:pt>
                <c:pt idx="70">
                  <c:v>2.9368726428778644</c:v>
                </c:pt>
                <c:pt idx="71">
                  <c:v>2.9788279663475481</c:v>
                </c:pt>
                <c:pt idx="72">
                  <c:v>3.0207832898172318</c:v>
                </c:pt>
                <c:pt idx="73">
                  <c:v>3.0627386132869159</c:v>
                </c:pt>
                <c:pt idx="74">
                  <c:v>3.1046939367565995</c:v>
                </c:pt>
                <c:pt idx="75">
                  <c:v>3.1466492602262837</c:v>
                </c:pt>
                <c:pt idx="76">
                  <c:v>3.1886045836959673</c:v>
                </c:pt>
                <c:pt idx="77">
                  <c:v>3.2305599071656514</c:v>
                </c:pt>
                <c:pt idx="78">
                  <c:v>3.2725152306353351</c:v>
                </c:pt>
                <c:pt idx="79">
                  <c:v>3.3144705541050192</c:v>
                </c:pt>
                <c:pt idx="80">
                  <c:v>3.3564258775747025</c:v>
                </c:pt>
                <c:pt idx="81">
                  <c:v>3.3983812010443866</c:v>
                </c:pt>
                <c:pt idx="82">
                  <c:v>3.4403365245140698</c:v>
                </c:pt>
                <c:pt idx="83">
                  <c:v>3.4822918479837539</c:v>
                </c:pt>
                <c:pt idx="84">
                  <c:v>3.5242471714534376</c:v>
                </c:pt>
                <c:pt idx="85">
                  <c:v>3.5662024949231212</c:v>
                </c:pt>
                <c:pt idx="86">
                  <c:v>3.6081578183928054</c:v>
                </c:pt>
                <c:pt idx="87">
                  <c:v>3.650113141862489</c:v>
                </c:pt>
                <c:pt idx="88">
                  <c:v>3.6920684653321723</c:v>
                </c:pt>
                <c:pt idx="89">
                  <c:v>3.7340237888018564</c:v>
                </c:pt>
                <c:pt idx="90">
                  <c:v>3.77597911227154</c:v>
                </c:pt>
                <c:pt idx="91">
                  <c:v>3.8179344357412242</c:v>
                </c:pt>
                <c:pt idx="92">
                  <c:v>3.8598897592109078</c:v>
                </c:pt>
                <c:pt idx="93">
                  <c:v>3.9018450826805919</c:v>
                </c:pt>
                <c:pt idx="94">
                  <c:v>3.9438004061502756</c:v>
                </c:pt>
                <c:pt idx="95">
                  <c:v>3.9857557296199588</c:v>
                </c:pt>
                <c:pt idx="96">
                  <c:v>4.0277110530896421</c:v>
                </c:pt>
                <c:pt idx="97">
                  <c:v>4.0696663765593266</c:v>
                </c:pt>
                <c:pt idx="98">
                  <c:v>4.0999999999999996</c:v>
                </c:pt>
                <c:pt idx="99">
                  <c:v>4.0999999999999996</c:v>
                </c:pt>
                <c:pt idx="100">
                  <c:v>4.0999999999999996</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1.6785682307392007</c:v>
                </c:pt>
                <c:pt idx="31">
                  <c:v>1.7147674186774209</c:v>
                </c:pt>
                <c:pt idx="32">
                  <c:v>1.7509666066156413</c:v>
                </c:pt>
                <c:pt idx="33">
                  <c:v>1.7871657945538615</c:v>
                </c:pt>
                <c:pt idx="34">
                  <c:v>1.8233649824920819</c:v>
                </c:pt>
                <c:pt idx="35">
                  <c:v>1.8595641704303019</c:v>
                </c:pt>
                <c:pt idx="36">
                  <c:v>1.8957633583685221</c:v>
                </c:pt>
                <c:pt idx="37">
                  <c:v>1.9319625463067425</c:v>
                </c:pt>
                <c:pt idx="38">
                  <c:v>1.9681617342449629</c:v>
                </c:pt>
                <c:pt idx="39">
                  <c:v>2.0043609221831833</c:v>
                </c:pt>
                <c:pt idx="40">
                  <c:v>2.0405601101214033</c:v>
                </c:pt>
                <c:pt idx="41">
                  <c:v>2.0767592980596237</c:v>
                </c:pt>
                <c:pt idx="42">
                  <c:v>2.1129584859978436</c:v>
                </c:pt>
                <c:pt idx="43">
                  <c:v>2.1491576739360645</c:v>
                </c:pt>
                <c:pt idx="44">
                  <c:v>2.1853568618742845</c:v>
                </c:pt>
                <c:pt idx="45">
                  <c:v>2.2215560498125044</c:v>
                </c:pt>
                <c:pt idx="46">
                  <c:v>2.2577552377507248</c:v>
                </c:pt>
                <c:pt idx="47">
                  <c:v>2.2939544256889453</c:v>
                </c:pt>
                <c:pt idx="48">
                  <c:v>2.3301536136271652</c:v>
                </c:pt>
                <c:pt idx="49">
                  <c:v>2.3663528015653856</c:v>
                </c:pt>
                <c:pt idx="50">
                  <c:v>2.402551989503606</c:v>
                </c:pt>
                <c:pt idx="51">
                  <c:v>2.4387511774418265</c:v>
                </c:pt>
                <c:pt idx="52">
                  <c:v>2.4749503653800469</c:v>
                </c:pt>
                <c:pt idx="53">
                  <c:v>2.5111495533182673</c:v>
                </c:pt>
                <c:pt idx="54">
                  <c:v>2.5473487412564877</c:v>
                </c:pt>
                <c:pt idx="55">
                  <c:v>2.5835479291947072</c:v>
                </c:pt>
                <c:pt idx="56">
                  <c:v>2.6197471171329276</c:v>
                </c:pt>
                <c:pt idx="57">
                  <c:v>2.6559463050711476</c:v>
                </c:pt>
                <c:pt idx="58">
                  <c:v>2.6921454930093685</c:v>
                </c:pt>
                <c:pt idx="59">
                  <c:v>2.7283446809475884</c:v>
                </c:pt>
                <c:pt idx="60">
                  <c:v>2.7645438688858088</c:v>
                </c:pt>
                <c:pt idx="61">
                  <c:v>2.8007430568240288</c:v>
                </c:pt>
                <c:pt idx="62">
                  <c:v>2.8369422447622492</c:v>
                </c:pt>
                <c:pt idx="63">
                  <c:v>2.8731414327004696</c:v>
                </c:pt>
                <c:pt idx="64">
                  <c:v>2.90934062063869</c:v>
                </c:pt>
                <c:pt idx="65">
                  <c:v>2.9455398085769104</c:v>
                </c:pt>
                <c:pt idx="66">
                  <c:v>2.9817389965151304</c:v>
                </c:pt>
                <c:pt idx="67">
                  <c:v>3.0179381844533504</c:v>
                </c:pt>
                <c:pt idx="68">
                  <c:v>3.0541373723915712</c:v>
                </c:pt>
                <c:pt idx="69">
                  <c:v>3.0903365603297912</c:v>
                </c:pt>
                <c:pt idx="70">
                  <c:v>3.1265357482680116</c:v>
                </c:pt>
                <c:pt idx="71">
                  <c:v>3.1627349362062316</c:v>
                </c:pt>
                <c:pt idx="72">
                  <c:v>3.1989341241444516</c:v>
                </c:pt>
                <c:pt idx="73">
                  <c:v>3.235133312082672</c:v>
                </c:pt>
                <c:pt idx="74">
                  <c:v>3.2713325000208924</c:v>
                </c:pt>
                <c:pt idx="75">
                  <c:v>3.3075316879591128</c:v>
                </c:pt>
                <c:pt idx="76">
                  <c:v>3.3437308758973332</c:v>
                </c:pt>
                <c:pt idx="77">
                  <c:v>3.3799300638355536</c:v>
                </c:pt>
                <c:pt idx="78">
                  <c:v>3.4161292517737731</c:v>
                </c:pt>
                <c:pt idx="79">
                  <c:v>3.4523284397119944</c:v>
                </c:pt>
                <c:pt idx="80">
                  <c:v>3.488527627650214</c:v>
                </c:pt>
                <c:pt idx="81">
                  <c:v>3.5247268155884344</c:v>
                </c:pt>
                <c:pt idx="82">
                  <c:v>3.5609260035266548</c:v>
                </c:pt>
                <c:pt idx="83">
                  <c:v>3.5971251914648752</c:v>
                </c:pt>
                <c:pt idx="84">
                  <c:v>3.6296296296296298</c:v>
                </c:pt>
                <c:pt idx="85">
                  <c:v>3.6296296296296298</c:v>
                </c:pt>
                <c:pt idx="86">
                  <c:v>3.6296296296296298</c:v>
                </c:pt>
                <c:pt idx="87">
                  <c:v>3.6296296296296298</c:v>
                </c:pt>
                <c:pt idx="88">
                  <c:v>3.6296296296296298</c:v>
                </c:pt>
                <c:pt idx="89">
                  <c:v>3.6296296296296298</c:v>
                </c:pt>
                <c:pt idx="90">
                  <c:v>3.6296296296296298</c:v>
                </c:pt>
                <c:pt idx="91">
                  <c:v>3.6296296296296298</c:v>
                </c:pt>
                <c:pt idx="92">
                  <c:v>3.6296296296296298</c:v>
                </c:pt>
                <c:pt idx="93">
                  <c:v>3.6296296296296298</c:v>
                </c:pt>
                <c:pt idx="94">
                  <c:v>3.6296296296296298</c:v>
                </c:pt>
                <c:pt idx="95">
                  <c:v>3.6296296296296298</c:v>
                </c:pt>
                <c:pt idx="96">
                  <c:v>3.6296296296296298</c:v>
                </c:pt>
                <c:pt idx="97">
                  <c:v>3.6296296296296298</c:v>
                </c:pt>
                <c:pt idx="98">
                  <c:v>3.6296296296296298</c:v>
                </c:pt>
                <c:pt idx="99">
                  <c:v>3.6296296296296298</c:v>
                </c:pt>
                <c:pt idx="100">
                  <c:v>3.6296296296296298</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Dual'!$AJ$5:$AJ$105</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1.5678230942287161</c:v>
                </c:pt>
                <c:pt idx="31">
                  <c:v>1.5839436987597399</c:v>
                </c:pt>
                <c:pt idx="32">
                  <c:v>1.5998063236726487</c:v>
                </c:pt>
                <c:pt idx="33">
                  <c:v>1.6154229717139743</c:v>
                </c:pt>
                <c:pt idx="34">
                  <c:v>1.630804742796476</c:v>
                </c:pt>
                <c:pt idx="35">
                  <c:v>1.6459619263062488</c:v>
                </c:pt>
                <c:pt idx="36">
                  <c:v>1.66090408161896</c:v>
                </c:pt>
                <c:pt idx="37">
                  <c:v>1.6756401086153732</c:v>
                </c:pt>
                <c:pt idx="38">
                  <c:v>1.6901783096737222</c:v>
                </c:pt>
                <c:pt idx="39">
                  <c:v>1.7045264443652055</c:v>
                </c:pt>
                <c:pt idx="40">
                  <c:v>1.7186917778756918</c:v>
                </c:pt>
                <c:pt idx="41">
                  <c:v>1.7326811240113771</c:v>
                </c:pt>
                <c:pt idx="42">
                  <c:v>1.7465008835109059</c:v>
                </c:pt>
                <c:pt idx="43">
                  <c:v>2.0137580768080716</c:v>
                </c:pt>
                <c:pt idx="44">
                  <c:v>2.0468084369061059</c:v>
                </c:pt>
                <c:pt idx="45">
                  <c:v>2.0798587970041402</c:v>
                </c:pt>
                <c:pt idx="46">
                  <c:v>2.112909157102175</c:v>
                </c:pt>
                <c:pt idx="47">
                  <c:v>2.1459595172002093</c:v>
                </c:pt>
                <c:pt idx="48">
                  <c:v>2.1790098772982436</c:v>
                </c:pt>
                <c:pt idx="49">
                  <c:v>2.2120602373962779</c:v>
                </c:pt>
                <c:pt idx="50">
                  <c:v>2.2451105974943122</c:v>
                </c:pt>
                <c:pt idx="51">
                  <c:v>2.2781609575923469</c:v>
                </c:pt>
                <c:pt idx="52">
                  <c:v>2.3112113176903812</c:v>
                </c:pt>
                <c:pt idx="53">
                  <c:v>2.3442616777884155</c:v>
                </c:pt>
                <c:pt idx="54">
                  <c:v>2.3773120378864503</c:v>
                </c:pt>
                <c:pt idx="55">
                  <c:v>2.4103623979844846</c:v>
                </c:pt>
                <c:pt idx="56">
                  <c:v>2.4434127580825189</c:v>
                </c:pt>
                <c:pt idx="57">
                  <c:v>2.4764631181805532</c:v>
                </c:pt>
                <c:pt idx="58">
                  <c:v>2.5095134782785875</c:v>
                </c:pt>
                <c:pt idx="59">
                  <c:v>2.5425638383766218</c:v>
                </c:pt>
                <c:pt idx="60">
                  <c:v>2.5756141984746566</c:v>
                </c:pt>
                <c:pt idx="61">
                  <c:v>2.6086645585726913</c:v>
                </c:pt>
                <c:pt idx="62">
                  <c:v>2.6417149186707252</c:v>
                </c:pt>
                <c:pt idx="63">
                  <c:v>2.674765278768759</c:v>
                </c:pt>
                <c:pt idx="64">
                  <c:v>2.7078156388667942</c:v>
                </c:pt>
                <c:pt idx="65">
                  <c:v>2.7408659989648285</c:v>
                </c:pt>
                <c:pt idx="66">
                  <c:v>2.7739163590628628</c:v>
                </c:pt>
                <c:pt idx="67">
                  <c:v>2.8069667191608971</c:v>
                </c:pt>
                <c:pt idx="68">
                  <c:v>2.8400170792589319</c:v>
                </c:pt>
                <c:pt idx="69">
                  <c:v>2.8730674393569662</c:v>
                </c:pt>
                <c:pt idx="70">
                  <c:v>2.9061177994550005</c:v>
                </c:pt>
                <c:pt idx="71">
                  <c:v>2.9391681595530343</c:v>
                </c:pt>
                <c:pt idx="72">
                  <c:v>2.9722185196510686</c:v>
                </c:pt>
                <c:pt idx="73">
                  <c:v>3.0052688797491034</c:v>
                </c:pt>
                <c:pt idx="74">
                  <c:v>3.0383192398471377</c:v>
                </c:pt>
                <c:pt idx="75">
                  <c:v>3.0713695999451724</c:v>
                </c:pt>
                <c:pt idx="76">
                  <c:v>3.1044199600432067</c:v>
                </c:pt>
                <c:pt idx="77">
                  <c:v>3.1374703201412411</c:v>
                </c:pt>
                <c:pt idx="78">
                  <c:v>3.1705206802392762</c:v>
                </c:pt>
                <c:pt idx="79">
                  <c:v>3.2035710403373105</c:v>
                </c:pt>
                <c:pt idx="80">
                  <c:v>3.236621400435344</c:v>
                </c:pt>
                <c:pt idx="81">
                  <c:v>3.2696717605333783</c:v>
                </c:pt>
                <c:pt idx="82">
                  <c:v>3.3027221206314126</c:v>
                </c:pt>
                <c:pt idx="83">
                  <c:v>3.3357724807294478</c:v>
                </c:pt>
                <c:pt idx="84">
                  <c:v>3.3688228408274821</c:v>
                </c:pt>
                <c:pt idx="85">
                  <c:v>3.4018732009255164</c:v>
                </c:pt>
                <c:pt idx="86">
                  <c:v>3.4349235610235507</c:v>
                </c:pt>
                <c:pt idx="87">
                  <c:v>3.467973921121585</c:v>
                </c:pt>
                <c:pt idx="88">
                  <c:v>3.5010242812196193</c:v>
                </c:pt>
                <c:pt idx="89">
                  <c:v>3.5340746413176536</c:v>
                </c:pt>
                <c:pt idx="90">
                  <c:v>3.5671250014156879</c:v>
                </c:pt>
                <c:pt idx="91">
                  <c:v>3.6001753615137231</c:v>
                </c:pt>
                <c:pt idx="92">
                  <c:v>3.6296296296296298</c:v>
                </c:pt>
                <c:pt idx="93">
                  <c:v>3.6296296296296298</c:v>
                </c:pt>
                <c:pt idx="94">
                  <c:v>3.6296296296296298</c:v>
                </c:pt>
                <c:pt idx="95">
                  <c:v>3.6296296296296298</c:v>
                </c:pt>
                <c:pt idx="96">
                  <c:v>3.6296296296296298</c:v>
                </c:pt>
                <c:pt idx="97">
                  <c:v>3.6296296296296298</c:v>
                </c:pt>
                <c:pt idx="98">
                  <c:v>3.6296296296296298</c:v>
                </c:pt>
                <c:pt idx="99">
                  <c:v>3.6296296296296298</c:v>
                </c:pt>
                <c:pt idx="100">
                  <c:v>3.6296296296296298</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1.5678230942287161</c:v>
                </c:pt>
                <c:pt idx="31">
                  <c:v>1.5839436987597399</c:v>
                </c:pt>
                <c:pt idx="32">
                  <c:v>1.5998063236726487</c:v>
                </c:pt>
                <c:pt idx="33">
                  <c:v>1.6154229717139743</c:v>
                </c:pt>
                <c:pt idx="34">
                  <c:v>1.630804742796476</c:v>
                </c:pt>
                <c:pt idx="35">
                  <c:v>1.6459619263062488</c:v>
                </c:pt>
                <c:pt idx="36">
                  <c:v>1.66090408161896</c:v>
                </c:pt>
                <c:pt idx="37">
                  <c:v>1.6756401086153732</c:v>
                </c:pt>
                <c:pt idx="38">
                  <c:v>1.6901783096737222</c:v>
                </c:pt>
                <c:pt idx="39">
                  <c:v>1.7045264443652055</c:v>
                </c:pt>
                <c:pt idx="40">
                  <c:v>1.8357132879906306</c:v>
                </c:pt>
                <c:pt idx="41">
                  <c:v>1.8667913053755814</c:v>
                </c:pt>
                <c:pt idx="42">
                  <c:v>1.8978693227605326</c:v>
                </c:pt>
                <c:pt idx="43">
                  <c:v>1.9289473401454835</c:v>
                </c:pt>
                <c:pt idx="44">
                  <c:v>1.9600253575304341</c:v>
                </c:pt>
                <c:pt idx="45">
                  <c:v>1.9911033749153852</c:v>
                </c:pt>
                <c:pt idx="46">
                  <c:v>2.022181392300336</c:v>
                </c:pt>
                <c:pt idx="47">
                  <c:v>2.0532594096852872</c:v>
                </c:pt>
                <c:pt idx="48">
                  <c:v>2.0843374270702379</c:v>
                </c:pt>
                <c:pt idx="49">
                  <c:v>2.1154154444551891</c:v>
                </c:pt>
                <c:pt idx="50">
                  <c:v>2.1464934618401399</c:v>
                </c:pt>
                <c:pt idx="51">
                  <c:v>2.1775714792250911</c:v>
                </c:pt>
                <c:pt idx="52">
                  <c:v>2.2086494966100418</c:v>
                </c:pt>
                <c:pt idx="53">
                  <c:v>2.239727513994993</c:v>
                </c:pt>
                <c:pt idx="54">
                  <c:v>2.2708055313799438</c:v>
                </c:pt>
                <c:pt idx="55">
                  <c:v>2.301883548764895</c:v>
                </c:pt>
                <c:pt idx="56">
                  <c:v>2.3329615661498457</c:v>
                </c:pt>
                <c:pt idx="57">
                  <c:v>2.3640395835347965</c:v>
                </c:pt>
                <c:pt idx="58">
                  <c:v>2.3951176009197477</c:v>
                </c:pt>
                <c:pt idx="59">
                  <c:v>2.4261956183046984</c:v>
                </c:pt>
                <c:pt idx="60">
                  <c:v>2.4572736356896496</c:v>
                </c:pt>
                <c:pt idx="61">
                  <c:v>2.4883516530746004</c:v>
                </c:pt>
                <c:pt idx="62">
                  <c:v>2.5194296704595516</c:v>
                </c:pt>
                <c:pt idx="63">
                  <c:v>2.5505076878445019</c:v>
                </c:pt>
                <c:pt idx="64">
                  <c:v>2.5815857052294531</c:v>
                </c:pt>
                <c:pt idx="65">
                  <c:v>2.6126637226144043</c:v>
                </c:pt>
                <c:pt idx="66">
                  <c:v>2.6437417399993555</c:v>
                </c:pt>
                <c:pt idx="67">
                  <c:v>2.6748197573843067</c:v>
                </c:pt>
                <c:pt idx="68">
                  <c:v>2.705897774769257</c:v>
                </c:pt>
                <c:pt idx="69">
                  <c:v>2.7369757921542082</c:v>
                </c:pt>
                <c:pt idx="70">
                  <c:v>2.7680538095391589</c:v>
                </c:pt>
                <c:pt idx="71">
                  <c:v>2.7991318269241097</c:v>
                </c:pt>
                <c:pt idx="72">
                  <c:v>2.8302098443090609</c:v>
                </c:pt>
                <c:pt idx="73">
                  <c:v>2.8612878616940121</c:v>
                </c:pt>
                <c:pt idx="74">
                  <c:v>2.8923658790789628</c:v>
                </c:pt>
                <c:pt idx="75">
                  <c:v>2.923443896463914</c:v>
                </c:pt>
                <c:pt idx="76">
                  <c:v>2.9545219138488648</c:v>
                </c:pt>
                <c:pt idx="77">
                  <c:v>2.985599931233816</c:v>
                </c:pt>
                <c:pt idx="78">
                  <c:v>3.0166779486187671</c:v>
                </c:pt>
                <c:pt idx="79">
                  <c:v>3.0477559660037183</c:v>
                </c:pt>
                <c:pt idx="80">
                  <c:v>3.0788339833886686</c:v>
                </c:pt>
                <c:pt idx="81">
                  <c:v>3.1099120007736198</c:v>
                </c:pt>
                <c:pt idx="82">
                  <c:v>3.1409900181585702</c:v>
                </c:pt>
                <c:pt idx="83">
                  <c:v>3.1720680355435213</c:v>
                </c:pt>
                <c:pt idx="84">
                  <c:v>3.2031460529284725</c:v>
                </c:pt>
                <c:pt idx="85">
                  <c:v>3.2342240703134228</c:v>
                </c:pt>
                <c:pt idx="86">
                  <c:v>3.265302087698374</c:v>
                </c:pt>
                <c:pt idx="87">
                  <c:v>3.2963801050833252</c:v>
                </c:pt>
                <c:pt idx="88">
                  <c:v>3.3274581224682755</c:v>
                </c:pt>
                <c:pt idx="89">
                  <c:v>3.3585361398532267</c:v>
                </c:pt>
                <c:pt idx="90">
                  <c:v>3.3896141572381779</c:v>
                </c:pt>
                <c:pt idx="91">
                  <c:v>3.4206921746231291</c:v>
                </c:pt>
                <c:pt idx="92">
                  <c:v>3.4517701920080803</c:v>
                </c:pt>
                <c:pt idx="93">
                  <c:v>3.4828482093930315</c:v>
                </c:pt>
                <c:pt idx="94">
                  <c:v>3.5139262267779818</c:v>
                </c:pt>
                <c:pt idx="95">
                  <c:v>3.5450042441629321</c:v>
                </c:pt>
                <c:pt idx="96">
                  <c:v>3.5760822615478833</c:v>
                </c:pt>
                <c:pt idx="97">
                  <c:v>3.6071602789328345</c:v>
                </c:pt>
                <c:pt idx="98">
                  <c:v>3.6296296296296298</c:v>
                </c:pt>
                <c:pt idx="99">
                  <c:v>3.6296296296296298</c:v>
                </c:pt>
                <c:pt idx="100">
                  <c:v>3.6296296296296298</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1.0403764263071567E-4</c:v>
                </c:pt>
                <c:pt idx="1">
                  <c:v>69.104290144337597</c:v>
                </c:pt>
                <c:pt idx="2">
                  <c:v>76.091238717529237</c:v>
                </c:pt>
                <c:pt idx="3">
                  <c:v>78.744942953059137</c:v>
                </c:pt>
                <c:pt idx="4">
                  <c:v>80.142283987026858</c:v>
                </c:pt>
                <c:pt idx="5">
                  <c:v>81.004622688416887</c:v>
                </c:pt>
                <c:pt idx="6">
                  <c:v>81.58979269332049</c:v>
                </c:pt>
                <c:pt idx="7">
                  <c:v>82.0128817946689</c:v>
                </c:pt>
                <c:pt idx="8">
                  <c:v>82.333007839161723</c:v>
                </c:pt>
                <c:pt idx="9">
                  <c:v>82.58365483760565</c:v>
                </c:pt>
                <c:pt idx="10">
                  <c:v>82.785207883824668</c:v>
                </c:pt>
                <c:pt idx="11">
                  <c:v>82.950787876750169</c:v>
                </c:pt>
                <c:pt idx="12">
                  <c:v>82.807754523166508</c:v>
                </c:pt>
                <c:pt idx="13">
                  <c:v>82.167129879446605</c:v>
                </c:pt>
                <c:pt idx="14">
                  <c:v>81.683094870659147</c:v>
                </c:pt>
                <c:pt idx="15">
                  <c:v>81.888747653752958</c:v>
                </c:pt>
                <c:pt idx="16">
                  <c:v>82.069565460498367</c:v>
                </c:pt>
                <c:pt idx="17">
                  <c:v>82.229700483991152</c:v>
                </c:pt>
                <c:pt idx="18">
                  <c:v>82.372423899639898</c:v>
                </c:pt>
                <c:pt idx="19">
                  <c:v>82.50034854319243</c:v>
                </c:pt>
                <c:pt idx="20">
                  <c:v>82.615587148022783</c:v>
                </c:pt>
                <c:pt idx="21">
                  <c:v>82.719866931102473</c:v>
                </c:pt>
                <c:pt idx="22">
                  <c:v>82.814613981107954</c:v>
                </c:pt>
                <c:pt idx="23">
                  <c:v>82.901016357776939</c:v>
                </c:pt>
                <c:pt idx="24">
                  <c:v>82.980071925682182</c:v>
                </c:pt>
                <c:pt idx="25">
                  <c:v>83.05262507135059</c:v>
                </c:pt>
                <c:pt idx="26">
                  <c:v>83.119395210551261</c:v>
                </c:pt>
                <c:pt idx="27">
                  <c:v>83.180999154108619</c:v>
                </c:pt>
                <c:pt idx="28">
                  <c:v>83.237968825001587</c:v>
                </c:pt>
                <c:pt idx="29">
                  <c:v>83.290765418229157</c:v>
                </c:pt>
                <c:pt idx="30">
                  <c:v>83.339790811170488</c:v>
                </c:pt>
                <c:pt idx="31">
                  <c:v>83.385396828872061</c:v>
                </c:pt>
                <c:pt idx="32">
                  <c:v>83.427892821262844</c:v>
                </c:pt>
                <c:pt idx="33">
                  <c:v>83.709992765241623</c:v>
                </c:pt>
                <c:pt idx="34">
                  <c:v>84.053385584341825</c:v>
                </c:pt>
                <c:pt idx="35">
                  <c:v>84.377596190661336</c:v>
                </c:pt>
                <c:pt idx="36">
                  <c:v>84.68416714958677</c:v>
                </c:pt>
                <c:pt idx="37">
                  <c:v>84.974481921522894</c:v>
                </c:pt>
                <c:pt idx="38">
                  <c:v>85.249784639704743</c:v>
                </c:pt>
                <c:pt idx="39">
                  <c:v>85.511197038354865</c:v>
                </c:pt>
                <c:pt idx="40">
                  <c:v>85.759732994538112</c:v>
                </c:pt>
                <c:pt idx="41">
                  <c:v>85.996311063687116</c:v>
                </c:pt>
                <c:pt idx="42">
                  <c:v>86.221765321749913</c:v>
                </c:pt>
                <c:pt idx="43">
                  <c:v>82.219859081744545</c:v>
                </c:pt>
                <c:pt idx="44">
                  <c:v>82.192770596012238</c:v>
                </c:pt>
                <c:pt idx="45">
                  <c:v>82.1630171673592</c:v>
                </c:pt>
                <c:pt idx="46">
                  <c:v>82.130809226422102</c:v>
                </c:pt>
                <c:pt idx="47">
                  <c:v>82.096336476321312</c:v>
                </c:pt>
                <c:pt idx="48">
                  <c:v>82.059770308149666</c:v>
                </c:pt>
                <c:pt idx="49">
                  <c:v>82.021265892122017</c:v>
                </c:pt>
                <c:pt idx="50">
                  <c:v>81.980963993401971</c:v>
                </c:pt>
                <c:pt idx="51">
                  <c:v>81.938992553426971</c:v>
                </c:pt>
                <c:pt idx="52">
                  <c:v>81.895468070853866</c:v>
                </c:pt>
                <c:pt idx="53">
                  <c:v>81.850496810748069</c:v>
                </c:pt>
                <c:pt idx="54">
                  <c:v>81.804175866110697</c:v>
                </c:pt>
                <c:pt idx="55">
                  <c:v>81.756594092089742</c:v>
                </c:pt>
                <c:pt idx="56">
                  <c:v>81.707832930113966</c:v>
                </c:pt>
                <c:pt idx="57">
                  <c:v>81.657967136597946</c:v>
                </c:pt>
                <c:pt idx="58">
                  <c:v>81.607065428703194</c:v>
                </c:pt>
                <c:pt idx="59">
                  <c:v>81.555191057826889</c:v>
                </c:pt>
                <c:pt idx="60">
                  <c:v>81.502402319964489</c:v>
                </c:pt>
                <c:pt idx="61">
                  <c:v>81.448753010806485</c:v>
                </c:pt>
                <c:pt idx="62">
                  <c:v>81.394292832341335</c:v>
                </c:pt>
                <c:pt idx="63">
                  <c:v>81.339067756814245</c:v>
                </c:pt>
                <c:pt idx="64">
                  <c:v>81.283120353106128</c:v>
                </c:pt>
                <c:pt idx="65">
                  <c:v>81.226490079928169</c:v>
                </c:pt>
                <c:pt idx="66">
                  <c:v>81.16921354965487</c:v>
                </c:pt>
                <c:pt idx="67">
                  <c:v>81.111324766128391</c:v>
                </c:pt>
                <c:pt idx="68">
                  <c:v>81.052855339345356</c:v>
                </c:pt>
                <c:pt idx="69">
                  <c:v>80.993834679574704</c:v>
                </c:pt>
                <c:pt idx="70">
                  <c:v>80.934290173141804</c:v>
                </c:pt>
                <c:pt idx="71">
                  <c:v>80.874247341843713</c:v>
                </c:pt>
                <c:pt idx="72">
                  <c:v>80.813729987724926</c:v>
                </c:pt>
                <c:pt idx="73">
                  <c:v>80.75276032473991</c:v>
                </c:pt>
                <c:pt idx="74">
                  <c:v>80.691359098650778</c:v>
                </c:pt>
                <c:pt idx="75">
                  <c:v>80.629545696353432</c:v>
                </c:pt>
                <c:pt idx="76">
                  <c:v>80.567338245691332</c:v>
                </c:pt>
                <c:pt idx="77">
                  <c:v>80.504753706696206</c:v>
                </c:pt>
                <c:pt idx="78">
                  <c:v>80.441807955092926</c:v>
                </c:pt>
                <c:pt idx="79">
                  <c:v>80.378515858812932</c:v>
                </c:pt>
                <c:pt idx="80">
                  <c:v>80.314891348181874</c:v>
                </c:pt>
                <c:pt idx="81">
                  <c:v>80.250947480375217</c:v>
                </c:pt>
                <c:pt idx="82">
                  <c:v>80.186696498674053</c:v>
                </c:pt>
                <c:pt idx="83">
                  <c:v>80.122149886997647</c:v>
                </c:pt>
                <c:pt idx="84">
                  <c:v>80.057318420140433</c:v>
                </c:pt>
                <c:pt idx="85">
                  <c:v>79.99221221009806</c:v>
                </c:pt>
                <c:pt idx="86">
                  <c:v>79.926840748828369</c:v>
                </c:pt>
                <c:pt idx="87">
                  <c:v>79.861212947758943</c:v>
                </c:pt>
                <c:pt idx="88">
                  <c:v>79.79533717432254</c:v>
                </c:pt>
                <c:pt idx="89">
                  <c:v>79.729221285774187</c:v>
                </c:pt>
                <c:pt idx="90">
                  <c:v>79.662872660519696</c:v>
                </c:pt>
                <c:pt idx="91">
                  <c:v>79.596298227163643</c:v>
                </c:pt>
                <c:pt idx="92">
                  <c:v>79.561538789452698</c:v>
                </c:pt>
                <c:pt idx="93">
                  <c:v>79.786567162119198</c:v>
                </c:pt>
                <c:pt idx="94">
                  <c:v>80.007172843535315</c:v>
                </c:pt>
                <c:pt idx="95">
                  <c:v>80.223469576859301</c:v>
                </c:pt>
                <c:pt idx="96">
                  <c:v>80.326436730195113</c:v>
                </c:pt>
                <c:pt idx="97">
                  <c:v>80.372361691680268</c:v>
                </c:pt>
                <c:pt idx="98">
                  <c:v>80.417536695771403</c:v>
                </c:pt>
                <c:pt idx="99">
                  <c:v>80.461974361710062</c:v>
                </c:pt>
                <c:pt idx="100">
                  <c:v>80.505687030724175</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8.8460577990682303</c:v>
                </c:pt>
                <c:pt idx="1">
                  <c:v>11.047376351428438</c:v>
                </c:pt>
                <c:pt idx="2">
                  <c:v>13.189487689592342</c:v>
                </c:pt>
                <c:pt idx="3">
                  <c:v>15.331599027756246</c:v>
                </c:pt>
                <c:pt idx="4">
                  <c:v>17.473710365920148</c:v>
                </c:pt>
                <c:pt idx="5">
                  <c:v>19.615821704084055</c:v>
                </c:pt>
                <c:pt idx="6">
                  <c:v>21.757933042247963</c:v>
                </c:pt>
                <c:pt idx="7">
                  <c:v>23.900044380411874</c:v>
                </c:pt>
                <c:pt idx="8">
                  <c:v>26.042155718575781</c:v>
                </c:pt>
                <c:pt idx="9">
                  <c:v>28.184267056739682</c:v>
                </c:pt>
                <c:pt idx="10">
                  <c:v>30.326378394903596</c:v>
                </c:pt>
                <c:pt idx="11">
                  <c:v>32.4684897330675</c:v>
                </c:pt>
                <c:pt idx="12">
                  <c:v>34.803197019186243</c:v>
                </c:pt>
                <c:pt idx="13">
                  <c:v>37.443190429177534</c:v>
                </c:pt>
                <c:pt idx="14">
                  <c:v>40.066662390372599</c:v>
                </c:pt>
                <c:pt idx="15">
                  <c:v>42.825743955664926</c:v>
                </c:pt>
                <c:pt idx="16">
                  <c:v>45.574714747471766</c:v>
                </c:pt>
                <c:pt idx="17">
                  <c:v>48.313896154957568</c:v>
                </c:pt>
                <c:pt idx="18">
                  <c:v>51.043580729925417</c:v>
                </c:pt>
                <c:pt idx="19">
                  <c:v>53.764036258609842</c:v>
                </c:pt>
                <c:pt idx="20">
                  <c:v>56.475509071142348</c:v>
                </c:pt>
                <c:pt idx="21">
                  <c:v>59.17822676296835</c:v>
                </c:pt>
                <c:pt idx="22">
                  <c:v>61.872400456129085</c:v>
                </c:pt>
                <c:pt idx="23">
                  <c:v>64.558226695868811</c:v>
                </c:pt>
                <c:pt idx="24">
                  <c:v>67.235889054879792</c:v>
                </c:pt>
                <c:pt idx="25">
                  <c:v>69.905559500705394</c:v>
                </c:pt>
                <c:pt idx="26">
                  <c:v>72.567399569452661</c:v>
                </c:pt>
                <c:pt idx="27">
                  <c:v>75.221561379727945</c:v>
                </c:pt>
                <c:pt idx="28">
                  <c:v>77.868188513721137</c:v>
                </c:pt>
                <c:pt idx="29">
                  <c:v>80.507416787017036</c:v>
                </c:pt>
                <c:pt idx="30">
                  <c:v>83.139374924577083</c:v>
                </c:pt>
                <c:pt idx="31">
                  <c:v>85.764185157103739</c:v>
                </c:pt>
                <c:pt idx="32">
                  <c:v>88.381963749454513</c:v>
                </c:pt>
                <c:pt idx="33">
                  <c:v>91.21840684573057</c:v>
                </c:pt>
                <c:pt idx="34">
                  <c:v>94.130201737685042</c:v>
                </c:pt>
                <c:pt idx="35">
                  <c:v>97.044119802914778</c:v>
                </c:pt>
                <c:pt idx="36">
                  <c:v>99.96007067038687</c:v>
                </c:pt>
                <c:pt idx="37">
                  <c:v>102.8779702037051</c:v>
                </c:pt>
                <c:pt idx="38">
                  <c:v>105.79773991505573</c:v>
                </c:pt>
                <c:pt idx="39">
                  <c:v>108.71930644813501</c:v>
                </c:pt>
                <c:pt idx="40">
                  <c:v>111.64260112038721</c:v>
                </c:pt>
                <c:pt idx="41">
                  <c:v>114.56755951644401</c:v>
                </c:pt>
                <c:pt idx="42">
                  <c:v>117.49412112593495</c:v>
                </c:pt>
                <c:pt idx="43">
                  <c:v>127.4007067267803</c:v>
                </c:pt>
                <c:pt idx="44">
                  <c:v>131.04992115903011</c:v>
                </c:pt>
                <c:pt idx="45">
                  <c:v>134.73033592305578</c:v>
                </c:pt>
                <c:pt idx="46">
                  <c:v>138.44195101885731</c:v>
                </c:pt>
                <c:pt idx="47">
                  <c:v>142.18476644643465</c:v>
                </c:pt>
                <c:pt idx="48">
                  <c:v>145.95878220578791</c:v>
                </c:pt>
                <c:pt idx="49">
                  <c:v>149.76399829691701</c:v>
                </c:pt>
                <c:pt idx="50">
                  <c:v>153.60041471982194</c:v>
                </c:pt>
                <c:pt idx="51">
                  <c:v>157.46803147450277</c:v>
                </c:pt>
                <c:pt idx="52">
                  <c:v>161.36684856095943</c:v>
                </c:pt>
                <c:pt idx="53">
                  <c:v>165.29686597919195</c:v>
                </c:pt>
                <c:pt idx="54">
                  <c:v>169.25808372920034</c:v>
                </c:pt>
                <c:pt idx="55">
                  <c:v>173.25050181098456</c:v>
                </c:pt>
                <c:pt idx="56">
                  <c:v>177.27412022454465</c:v>
                </c:pt>
                <c:pt idx="57">
                  <c:v>181.3289389698806</c:v>
                </c:pt>
                <c:pt idx="58">
                  <c:v>185.41495804699241</c:v>
                </c:pt>
                <c:pt idx="59">
                  <c:v>189.53217745588006</c:v>
                </c:pt>
                <c:pt idx="60">
                  <c:v>193.6805971965436</c:v>
                </c:pt>
                <c:pt idx="61">
                  <c:v>197.86021726898298</c:v>
                </c:pt>
                <c:pt idx="62">
                  <c:v>202.07103767319822</c:v>
                </c:pt>
                <c:pt idx="63">
                  <c:v>206.31305840918935</c:v>
                </c:pt>
                <c:pt idx="64">
                  <c:v>210.58627947695629</c:v>
                </c:pt>
                <c:pt idx="65">
                  <c:v>214.8907008764991</c:v>
                </c:pt>
                <c:pt idx="66">
                  <c:v>219.22632260781776</c:v>
                </c:pt>
                <c:pt idx="67">
                  <c:v>223.5931446709123</c:v>
                </c:pt>
                <c:pt idx="68">
                  <c:v>227.99116706578269</c:v>
                </c:pt>
                <c:pt idx="69">
                  <c:v>232.42038979242889</c:v>
                </c:pt>
                <c:pt idx="70">
                  <c:v>236.88081285085102</c:v>
                </c:pt>
                <c:pt idx="71">
                  <c:v>241.37243624104892</c:v>
                </c:pt>
                <c:pt idx="72">
                  <c:v>245.89525996302274</c:v>
                </c:pt>
                <c:pt idx="73">
                  <c:v>250.44928401677242</c:v>
                </c:pt>
                <c:pt idx="74">
                  <c:v>255.03450840229792</c:v>
                </c:pt>
                <c:pt idx="75">
                  <c:v>259.65093311959942</c:v>
                </c:pt>
                <c:pt idx="76">
                  <c:v>264.29855816867666</c:v>
                </c:pt>
                <c:pt idx="77">
                  <c:v>268.97738354952975</c:v>
                </c:pt>
                <c:pt idx="78">
                  <c:v>273.68740926215872</c:v>
                </c:pt>
                <c:pt idx="79">
                  <c:v>278.42863530656359</c:v>
                </c:pt>
                <c:pt idx="80">
                  <c:v>283.20106168274418</c:v>
                </c:pt>
                <c:pt idx="81">
                  <c:v>288.00468839070072</c:v>
                </c:pt>
                <c:pt idx="82">
                  <c:v>292.8395154304331</c:v>
                </c:pt>
                <c:pt idx="83">
                  <c:v>297.70554280194142</c:v>
                </c:pt>
                <c:pt idx="84">
                  <c:v>302.60277050522552</c:v>
                </c:pt>
                <c:pt idx="85">
                  <c:v>307.53119854028546</c:v>
                </c:pt>
                <c:pt idx="86">
                  <c:v>312.49082690712129</c:v>
                </c:pt>
                <c:pt idx="87">
                  <c:v>317.48165560573295</c:v>
                </c:pt>
                <c:pt idx="88">
                  <c:v>322.50368463612045</c:v>
                </c:pt>
                <c:pt idx="89">
                  <c:v>327.5569139982839</c:v>
                </c:pt>
                <c:pt idx="90">
                  <c:v>332.64134369222313</c:v>
                </c:pt>
                <c:pt idx="91">
                  <c:v>337.75697371793825</c:v>
                </c:pt>
                <c:pt idx="92">
                  <c:v>342.65398028691465</c:v>
                </c:pt>
                <c:pt idx="93">
                  <c:v>345.51455685876664</c:v>
                </c:pt>
                <c:pt idx="94">
                  <c:v>348.36780671460201</c:v>
                </c:pt>
                <c:pt idx="95">
                  <c:v>351.21387056664145</c:v>
                </c:pt>
                <c:pt idx="96">
                  <c:v>354.05288554678782</c:v>
                </c:pt>
                <c:pt idx="97">
                  <c:v>356.88498531977922</c:v>
                </c:pt>
                <c:pt idx="98">
                  <c:v>359.7103001920778</c:v>
                </c:pt>
                <c:pt idx="99">
                  <c:v>362.52895721668125</c:v>
                </c:pt>
                <c:pt idx="100">
                  <c:v>365.34108029403228</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72.197029386874021</c:v>
                </c:pt>
                <c:pt idx="13">
                  <c:v>79.831208299903068</c:v>
                </c:pt>
                <c:pt idx="14">
                  <c:v>86.695126053871917</c:v>
                </c:pt>
                <c:pt idx="15">
                  <c:v>88.684555225777046</c:v>
                </c:pt>
                <c:pt idx="16">
                  <c:v>90.672821496982422</c:v>
                </c:pt>
                <c:pt idx="17">
                  <c:v>92.662076978678485</c:v>
                </c:pt>
                <c:pt idx="18">
                  <c:v>94.654108923275274</c:v>
                </c:pt>
                <c:pt idx="19">
                  <c:v>96.65041448959299</c:v>
                </c:pt>
                <c:pt idx="20">
                  <c:v>98.652257386891065</c:v>
                </c:pt>
                <c:pt idx="21">
                  <c:v>100.66071143628687</c:v>
                </c:pt>
                <c:pt idx="22">
                  <c:v>102.67669452065904</c:v>
                </c:pt>
                <c:pt idx="23">
                  <c:v>104.70099536199072</c:v>
                </c:pt>
                <c:pt idx="24">
                  <c:v>106.73429487047287</c:v>
                </c:pt>
                <c:pt idx="25">
                  <c:v>108.77718333294769</c:v>
                </c:pt>
                <c:pt idx="26">
                  <c:v>110.83017437523948</c:v>
                </c:pt>
                <c:pt idx="27">
                  <c:v>112.89371639650922</c:v>
                </c:pt>
                <c:pt idx="28">
                  <c:v>114.96820200347416</c:v>
                </c:pt>
                <c:pt idx="29">
                  <c:v>117.05397584800865</c:v>
                </c:pt>
                <c:pt idx="30">
                  <c:v>119.15134117975288</c:v>
                </c:pt>
                <c:pt idx="31">
                  <c:v>121.26056535666362</c:v>
                </c:pt>
                <c:pt idx="32">
                  <c:v>123.38188450454786</c:v>
                </c:pt>
                <c:pt idx="33">
                  <c:v>122.7135826798459</c:v>
                </c:pt>
                <c:pt idx="34">
                  <c:v>121.21565517653241</c:v>
                </c:pt>
                <c:pt idx="35">
                  <c:v>119.8138194901252</c:v>
                </c:pt>
                <c:pt idx="36">
                  <c:v>118.50017724090071</c:v>
                </c:pt>
                <c:pt idx="37">
                  <c:v>117.26766944196697</c:v>
                </c:pt>
                <c:pt idx="38">
                  <c:v>116.10996765933972</c:v>
                </c:pt>
                <c:pt idx="39">
                  <c:v>115.02138171448524</c:v>
                </c:pt>
                <c:pt idx="40">
                  <c:v>113.99678106358959</c:v>
                </c:pt>
                <c:pt idx="41">
                  <c:v>113.03152754220744</c:v>
                </c:pt>
                <c:pt idx="42">
                  <c:v>112.12141760041487</c:v>
                </c:pt>
                <c:pt idx="43">
                  <c:v>148.43877655486216</c:v>
                </c:pt>
                <c:pt idx="44">
                  <c:v>150.70599079916303</c:v>
                </c:pt>
                <c:pt idx="45">
                  <c:v>153.08017252573819</c:v>
                </c:pt>
                <c:pt idx="46">
                  <c:v>155.55929874159867</c:v>
                </c:pt>
                <c:pt idx="47">
                  <c:v>158.1415419479579</c:v>
                </c:pt>
                <c:pt idx="48">
                  <c:v>160.82525036542171</c:v>
                </c:pt>
                <c:pt idx="49">
                  <c:v>163.6089305861947</c:v>
                </c:pt>
                <c:pt idx="50">
                  <c:v>166.49123231367622</c:v>
                </c:pt>
                <c:pt idx="51">
                  <c:v>169.47093490309288</c:v>
                </c:pt>
                <c:pt idx="52">
                  <c:v>172.54693546087449</c:v>
                </c:pt>
                <c:pt idx="53">
                  <c:v>175.71823829705218</c:v>
                </c:pt>
                <c:pt idx="54">
                  <c:v>178.98394555543908</c:v>
                </c:pt>
                <c:pt idx="55">
                  <c:v>182.34324887184653</c:v>
                </c:pt>
                <c:pt idx="56">
                  <c:v>185.79542193198066</c:v>
                </c:pt>
                <c:pt idx="57">
                  <c:v>189.33981381868406</c:v>
                </c:pt>
                <c:pt idx="58">
                  <c:v>192.97584305340925</c:v>
                </c:pt>
                <c:pt idx="59">
                  <c:v>196.70299224970523</c:v>
                </c:pt>
                <c:pt idx="60">
                  <c:v>200.52080330747029</c:v>
                </c:pt>
                <c:pt idx="61">
                  <c:v>204.42887308606487</c:v>
                </c:pt>
                <c:pt idx="62">
                  <c:v>208.42684950237174</c:v>
                </c:pt>
                <c:pt idx="63">
                  <c:v>212.51442800673985</c:v>
                </c:pt>
                <c:pt idx="64">
                  <c:v>216.69134839563182</c:v>
                </c:pt>
                <c:pt idx="65">
                  <c:v>220.95739192486801</c:v>
                </c:pt>
                <c:pt idx="66">
                  <c:v>225.31237869173896</c:v>
                </c:pt>
                <c:pt idx="67">
                  <c:v>229.75616525804921</c:v>
                </c:pt>
                <c:pt idx="68">
                  <c:v>234.28864248944501</c:v>
                </c:pt>
                <c:pt idx="69">
                  <c:v>238.90973358923881</c:v>
                </c:pt>
                <c:pt idx="70">
                  <c:v>243.61939230743826</c:v>
                </c:pt>
                <c:pt idx="71">
                  <c:v>248.4176013078598</c:v>
                </c:pt>
                <c:pt idx="72">
                  <c:v>253.304370678119</c:v>
                </c:pt>
                <c:pt idx="73">
                  <c:v>258.27973656895159</c:v>
                </c:pt>
                <c:pt idx="74">
                  <c:v>263.34375995079381</c:v>
                </c:pt>
                <c:pt idx="75">
                  <c:v>268.49652547683689</c:v>
                </c:pt>
                <c:pt idx="76">
                  <c:v>273.73814044291129</c:v>
                </c:pt>
                <c:pt idx="77">
                  <c:v>279.06873383555927</c:v>
                </c:pt>
                <c:pt idx="78">
                  <c:v>284.48845546054832</c:v>
                </c:pt>
                <c:pt idx="79">
                  <c:v>289.99747514486108</c:v>
                </c:pt>
                <c:pt idx="80">
                  <c:v>295.59598200589926</c:v>
                </c:pt>
                <c:pt idx="81">
                  <c:v>301.28418378226235</c:v>
                </c:pt>
                <c:pt idx="82">
                  <c:v>307.06230622101396</c:v>
                </c:pt>
                <c:pt idx="83">
                  <c:v>312.93059251684303</c:v>
                </c:pt>
                <c:pt idx="84">
                  <c:v>318.88930279896704</c:v>
                </c:pt>
                <c:pt idx="85">
                  <c:v>324.93871366202222</c:v>
                </c:pt>
                <c:pt idx="86">
                  <c:v>331.07911773753455</c:v>
                </c:pt>
                <c:pt idx="87">
                  <c:v>337.31082330288621</c:v>
                </c:pt>
                <c:pt idx="88">
                  <c:v>343.63415392497262</c:v>
                </c:pt>
                <c:pt idx="89">
                  <c:v>350.04944813600702</c:v>
                </c:pt>
                <c:pt idx="90">
                  <c:v>356.55705913915034</c:v>
                </c:pt>
                <c:pt idx="91">
                  <c:v>363.15735454186535</c:v>
                </c:pt>
                <c:pt idx="92">
                  <c:v>368.85489009321867</c:v>
                </c:pt>
                <c:pt idx="93">
                  <c:v>366.45575302650803</c:v>
                </c:pt>
                <c:pt idx="94">
                  <c:v>364.0889637693208</c:v>
                </c:pt>
                <c:pt idx="95">
                  <c:v>361.7538724793842</c:v>
                </c:pt>
                <c:pt idx="96">
                  <c:v>359.44984660507282</c:v>
                </c:pt>
                <c:pt idx="97">
                  <c:v>357.17627031413411</c:v>
                </c:pt>
                <c:pt idx="98">
                  <c:v>354.93254394491328</c:v>
                </c:pt>
                <c:pt idx="99">
                  <c:v>352.71808347905409</c:v>
                </c:pt>
                <c:pt idx="100">
                  <c:v>350.53232003469736</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15.483974185794409</c:v>
                </c:pt>
                <c:pt idx="1">
                  <c:v>20.727825315101743</c:v>
                </c:pt>
                <c:pt idx="2">
                  <c:v>29.39553768570098</c:v>
                </c:pt>
                <c:pt idx="3">
                  <c:v>38.063253556706904</c:v>
                </c:pt>
                <c:pt idx="4">
                  <c:v>46.730972928236881</c:v>
                </c:pt>
                <c:pt idx="5">
                  <c:v>55.398695800408298</c:v>
                </c:pt>
                <c:pt idx="6">
                  <c:v>64.066422173338495</c:v>
                </c:pt>
                <c:pt idx="7">
                  <c:v>72.734152047144875</c:v>
                </c:pt>
                <c:pt idx="8">
                  <c:v>81.40188542194484</c:v>
                </c:pt>
                <c:pt idx="9">
                  <c:v>90.06962229785573</c:v>
                </c:pt>
                <c:pt idx="10">
                  <c:v>98.737362674995012</c:v>
                </c:pt>
                <c:pt idx="11">
                  <c:v>107.40510655348</c:v>
                </c:pt>
                <c:pt idx="12">
                  <c:v>119.71685062142896</c:v>
                </c:pt>
                <c:pt idx="13">
                  <c:v>139.4740770125762</c:v>
                </c:pt>
                <c:pt idx="14">
                  <c:v>158.9244624468507</c:v>
                </c:pt>
                <c:pt idx="15">
                  <c:v>170.38538442526908</c:v>
                </c:pt>
                <c:pt idx="16">
                  <c:v>181.857141695872</c:v>
                </c:pt>
                <c:pt idx="17">
                  <c:v>193.33940427209453</c:v>
                </c:pt>
                <c:pt idx="18">
                  <c:v>204.8318721279243</c:v>
                </c:pt>
                <c:pt idx="19">
                  <c:v>216.33427096149381</c:v>
                </c:pt>
                <c:pt idx="20">
                  <c:v>227.84634875232774</c:v>
                </c:pt>
                <c:pt idx="21">
                  <c:v>239.36787293074264</c:v>
                </c:pt>
                <c:pt idx="22">
                  <c:v>250.89862802618956</c:v>
                </c:pt>
                <c:pt idx="23">
                  <c:v>262.43841369513814</c:v>
                </c:pt>
                <c:pt idx="24">
                  <c:v>273.98704305320842</c:v>
                </c:pt>
                <c:pt idx="25">
                  <c:v>285.54434125374922</c:v>
                </c:pt>
                <c:pt idx="26">
                  <c:v>297.11014426793702</c:v>
                </c:pt>
                <c:pt idx="27">
                  <c:v>308.6842978310965</c:v>
                </c:pt>
                <c:pt idx="28">
                  <c:v>320.26665652721528</c:v>
                </c:pt>
                <c:pt idx="29">
                  <c:v>331.85708298919297</c:v>
                </c:pt>
                <c:pt idx="30">
                  <c:v>343.45544719667413</c:v>
                </c:pt>
                <c:pt idx="31">
                  <c:v>355.06162585667323</c:v>
                </c:pt>
                <c:pt idx="32">
                  <c:v>366.67550185485408</c:v>
                </c:pt>
                <c:pt idx="33">
                  <c:v>370.45334023031967</c:v>
                </c:pt>
                <c:pt idx="34">
                  <c:v>371.6480477220008</c:v>
                </c:pt>
                <c:pt idx="35">
                  <c:v>372.84072930034927</c:v>
                </c:pt>
                <c:pt idx="36">
                  <c:v>374.03147878096183</c:v>
                </c:pt>
                <c:pt idx="37">
                  <c:v>375.22038349707594</c:v>
                </c:pt>
                <c:pt idx="38">
                  <c:v>376.4075249094297</c:v>
                </c:pt>
                <c:pt idx="39">
                  <c:v>377.59297914430044</c:v>
                </c:pt>
                <c:pt idx="40">
                  <c:v>378.77681746979977</c:v>
                </c:pt>
                <c:pt idx="41">
                  <c:v>379.9591067188673</c:v>
                </c:pt>
                <c:pt idx="42">
                  <c:v>381.13990966607588</c:v>
                </c:pt>
                <c:pt idx="43">
                  <c:v>570.35135418941411</c:v>
                </c:pt>
                <c:pt idx="44">
                  <c:v>585.71875785207669</c:v>
                </c:pt>
                <c:pt idx="45">
                  <c:v>601.18367917801572</c:v>
                </c:pt>
                <c:pt idx="46">
                  <c:v>616.74629166439126</c:v>
                </c:pt>
                <c:pt idx="47">
                  <c:v>632.40677297592663</c:v>
                </c:pt>
                <c:pt idx="48">
                  <c:v>648.16530496330836</c:v>
                </c:pt>
                <c:pt idx="49">
                  <c:v>664.02207368204427</c:v>
                </c:pt>
                <c:pt idx="50">
                  <c:v>679.97726941178257</c:v>
                </c:pt>
                <c:pt idx="51">
                  <c:v>696.03108667609774</c:v>
                </c:pt>
                <c:pt idx="52">
                  <c:v>712.18372426274595</c:v>
                </c:pt>
                <c:pt idx="53">
                  <c:v>728.43538524439566</c:v>
                </c:pt>
                <c:pt idx="54">
                  <c:v>744.78627699983224</c:v>
                </c:pt>
                <c:pt idx="55">
                  <c:v>761.23661123564909</c:v>
                </c:pt>
                <c:pt idx="56">
                  <c:v>777.78660400842284</c:v>
                </c:pt>
                <c:pt idx="57">
                  <c:v>794.43647574737781</c:v>
                </c:pt>
                <c:pt idx="58">
                  <c:v>811.18645127755053</c:v>
                </c:pt>
                <c:pt idx="59">
                  <c:v>828.0367598434467</c:v>
                </c:pt>
                <c:pt idx="60">
                  <c:v>844.98763513321035</c:v>
                </c:pt>
                <c:pt idx="61">
                  <c:v>862.03931530329658</c:v>
                </c:pt>
                <c:pt idx="62">
                  <c:v>879.19204300366198</c:v>
                </c:pt>
                <c:pt idx="63">
                  <c:v>896.44606540347115</c:v>
                </c:pt>
                <c:pt idx="64">
                  <c:v>913.80163421733346</c:v>
                </c:pt>
                <c:pt idx="65">
                  <c:v>931.2590057320607</c:v>
                </c:pt>
                <c:pt idx="66">
                  <c:v>948.81844083396788</c:v>
                </c:pt>
                <c:pt idx="67">
                  <c:v>966.4802050367116</c:v>
                </c:pt>
                <c:pt idx="68">
                  <c:v>984.2445685096734</c:v>
                </c:pt>
                <c:pt idx="69">
                  <c:v>1002.1118061068979</c:v>
                </c:pt>
                <c:pt idx="70">
                  <c:v>1020.082197396587</c:v>
                </c:pt>
                <c:pt idx="71">
                  <c:v>1038.1560266911574</c:v>
                </c:pt>
                <c:pt idx="72">
                  <c:v>1056.3335830778717</c:v>
                </c:pt>
                <c:pt idx="73">
                  <c:v>1074.615160450041</c:v>
                </c:pt>
                <c:pt idx="74">
                  <c:v>1093.0010575388153</c:v>
                </c:pt>
                <c:pt idx="75">
                  <c:v>1111.4915779455587</c:v>
                </c:pt>
                <c:pt idx="76">
                  <c:v>1130.0870301748253</c:v>
                </c:pt>
                <c:pt idx="77">
                  <c:v>1148.787727667931</c:v>
                </c:pt>
                <c:pt idx="78">
                  <c:v>1167.5939888371454</c:v>
                </c:pt>
                <c:pt idx="79">
                  <c:v>1186.5061371004906</c:v>
                </c:pt>
                <c:pt idx="80">
                  <c:v>1205.5245009171708</c:v>
                </c:pt>
                <c:pt idx="81">
                  <c:v>1224.6494138236296</c:v>
                </c:pt>
                <c:pt idx="82">
                  <c:v>1243.881214470249</c:v>
                </c:pt>
                <c:pt idx="83">
                  <c:v>1263.2202466586953</c:v>
                </c:pt>
                <c:pt idx="84">
                  <c:v>1282.6668593799168</c:v>
                </c:pt>
                <c:pt idx="85">
                  <c:v>1302.2214068528101</c:v>
                </c:pt>
                <c:pt idx="86">
                  <c:v>1321.8842485635507</c:v>
                </c:pt>
                <c:pt idx="87">
                  <c:v>1341.6557493056084</c:v>
                </c:pt>
                <c:pt idx="88">
                  <c:v>1361.5362792204473</c:v>
                </c:pt>
                <c:pt idx="89">
                  <c:v>1381.5262138389271</c:v>
                </c:pt>
                <c:pt idx="90">
                  <c:v>1401.6259341234002</c:v>
                </c:pt>
                <c:pt idx="91">
                  <c:v>1421.8358265105398</c:v>
                </c:pt>
                <c:pt idx="92">
                  <c:v>1439.163425030345</c:v>
                </c:pt>
                <c:pt idx="93">
                  <c:v>1432.0783463176415</c:v>
                </c:pt>
                <c:pt idx="94">
                  <c:v>1425.0846200967537</c:v>
                </c:pt>
                <c:pt idx="95">
                  <c:v>1418.1804908788722</c:v>
                </c:pt>
                <c:pt idx="96">
                  <c:v>1411.3642478685431</c:v>
                </c:pt>
                <c:pt idx="97">
                  <c:v>1404.6342235503355</c:v>
                </c:pt>
                <c:pt idx="98">
                  <c:v>1397.9887923288077</c:v>
                </c:pt>
                <c:pt idx="99">
                  <c:v>1391.4263692194354</c:v>
                </c:pt>
                <c:pt idx="100">
                  <c:v>1384.9454085882926</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9</c:v>
                </c:pt>
                <c:pt idx="1">
                  <c:v>9.0399999999999991</c:v>
                </c:pt>
                <c:pt idx="2">
                  <c:v>9.08</c:v>
                </c:pt>
                <c:pt idx="3">
                  <c:v>9.1199999999999992</c:v>
                </c:pt>
                <c:pt idx="4">
                  <c:v>9.16</c:v>
                </c:pt>
                <c:pt idx="5">
                  <c:v>9.1999999999999993</c:v>
                </c:pt>
                <c:pt idx="6">
                  <c:v>9.24</c:v>
                </c:pt>
                <c:pt idx="7">
                  <c:v>9.2799999999999994</c:v>
                </c:pt>
                <c:pt idx="8">
                  <c:v>9.32</c:v>
                </c:pt>
                <c:pt idx="9">
                  <c:v>9.36</c:v>
                </c:pt>
                <c:pt idx="10">
                  <c:v>9.4</c:v>
                </c:pt>
                <c:pt idx="11">
                  <c:v>9.44</c:v>
                </c:pt>
                <c:pt idx="12">
                  <c:v>9.48</c:v>
                </c:pt>
                <c:pt idx="13">
                  <c:v>9.52</c:v>
                </c:pt>
                <c:pt idx="14">
                  <c:v>9.56</c:v>
                </c:pt>
                <c:pt idx="15">
                  <c:v>9.6</c:v>
                </c:pt>
                <c:pt idx="16">
                  <c:v>9.64</c:v>
                </c:pt>
                <c:pt idx="17">
                  <c:v>9.68</c:v>
                </c:pt>
                <c:pt idx="18">
                  <c:v>9.7200000000000006</c:v>
                </c:pt>
                <c:pt idx="19">
                  <c:v>9.76</c:v>
                </c:pt>
                <c:pt idx="20">
                  <c:v>9.8000000000000007</c:v>
                </c:pt>
                <c:pt idx="21">
                  <c:v>9.84</c:v>
                </c:pt>
                <c:pt idx="22">
                  <c:v>9.8800000000000008</c:v>
                </c:pt>
                <c:pt idx="23">
                  <c:v>9.92</c:v>
                </c:pt>
                <c:pt idx="24">
                  <c:v>9.9600000000000009</c:v>
                </c:pt>
                <c:pt idx="25">
                  <c:v>10</c:v>
                </c:pt>
                <c:pt idx="26">
                  <c:v>10.039999999999999</c:v>
                </c:pt>
                <c:pt idx="27">
                  <c:v>10.08</c:v>
                </c:pt>
                <c:pt idx="28">
                  <c:v>10.120000000000001</c:v>
                </c:pt>
                <c:pt idx="29">
                  <c:v>10.16</c:v>
                </c:pt>
                <c:pt idx="30">
                  <c:v>10.199999999999999</c:v>
                </c:pt>
                <c:pt idx="31">
                  <c:v>10.24</c:v>
                </c:pt>
                <c:pt idx="32">
                  <c:v>10.28</c:v>
                </c:pt>
                <c:pt idx="33">
                  <c:v>10.32</c:v>
                </c:pt>
                <c:pt idx="34">
                  <c:v>10.36</c:v>
                </c:pt>
                <c:pt idx="35">
                  <c:v>10.4</c:v>
                </c:pt>
                <c:pt idx="36">
                  <c:v>10.44</c:v>
                </c:pt>
                <c:pt idx="37">
                  <c:v>10.48</c:v>
                </c:pt>
                <c:pt idx="38">
                  <c:v>10.52</c:v>
                </c:pt>
                <c:pt idx="39">
                  <c:v>10.56</c:v>
                </c:pt>
                <c:pt idx="40">
                  <c:v>10.6</c:v>
                </c:pt>
                <c:pt idx="41">
                  <c:v>10.64</c:v>
                </c:pt>
                <c:pt idx="42">
                  <c:v>10.68</c:v>
                </c:pt>
                <c:pt idx="43">
                  <c:v>10.72</c:v>
                </c:pt>
                <c:pt idx="44">
                  <c:v>10.76</c:v>
                </c:pt>
                <c:pt idx="45">
                  <c:v>10.8</c:v>
                </c:pt>
                <c:pt idx="46">
                  <c:v>10.84</c:v>
                </c:pt>
                <c:pt idx="47">
                  <c:v>10.879999999999999</c:v>
                </c:pt>
                <c:pt idx="48">
                  <c:v>10.92</c:v>
                </c:pt>
                <c:pt idx="49">
                  <c:v>10.96</c:v>
                </c:pt>
                <c:pt idx="50">
                  <c:v>11</c:v>
                </c:pt>
                <c:pt idx="51">
                  <c:v>11.04</c:v>
                </c:pt>
                <c:pt idx="52">
                  <c:v>11.08</c:v>
                </c:pt>
                <c:pt idx="53">
                  <c:v>11.120000000000001</c:v>
                </c:pt>
                <c:pt idx="54">
                  <c:v>11.16</c:v>
                </c:pt>
                <c:pt idx="55">
                  <c:v>11.2</c:v>
                </c:pt>
                <c:pt idx="56">
                  <c:v>11.24</c:v>
                </c:pt>
                <c:pt idx="57">
                  <c:v>11.28</c:v>
                </c:pt>
                <c:pt idx="58">
                  <c:v>11.32</c:v>
                </c:pt>
                <c:pt idx="59">
                  <c:v>11.36</c:v>
                </c:pt>
                <c:pt idx="60">
                  <c:v>11.4</c:v>
                </c:pt>
                <c:pt idx="61">
                  <c:v>11.44</c:v>
                </c:pt>
                <c:pt idx="62">
                  <c:v>11.48</c:v>
                </c:pt>
                <c:pt idx="63">
                  <c:v>11.52</c:v>
                </c:pt>
                <c:pt idx="64">
                  <c:v>11.56</c:v>
                </c:pt>
                <c:pt idx="65">
                  <c:v>11.6</c:v>
                </c:pt>
                <c:pt idx="66">
                  <c:v>11.64</c:v>
                </c:pt>
                <c:pt idx="67">
                  <c:v>11.68</c:v>
                </c:pt>
                <c:pt idx="68">
                  <c:v>11.72</c:v>
                </c:pt>
                <c:pt idx="69">
                  <c:v>11.76</c:v>
                </c:pt>
                <c:pt idx="70">
                  <c:v>11.8</c:v>
                </c:pt>
                <c:pt idx="71">
                  <c:v>11.84</c:v>
                </c:pt>
                <c:pt idx="72">
                  <c:v>11.879999999999999</c:v>
                </c:pt>
                <c:pt idx="73">
                  <c:v>11.92</c:v>
                </c:pt>
                <c:pt idx="74">
                  <c:v>11.96</c:v>
                </c:pt>
                <c:pt idx="75">
                  <c:v>12</c:v>
                </c:pt>
                <c:pt idx="76">
                  <c:v>12.04</c:v>
                </c:pt>
                <c:pt idx="77">
                  <c:v>12.08</c:v>
                </c:pt>
                <c:pt idx="78">
                  <c:v>12.120000000000001</c:v>
                </c:pt>
                <c:pt idx="79">
                  <c:v>12.16</c:v>
                </c:pt>
                <c:pt idx="80">
                  <c:v>12.2</c:v>
                </c:pt>
                <c:pt idx="81">
                  <c:v>12.24</c:v>
                </c:pt>
                <c:pt idx="82">
                  <c:v>12.28</c:v>
                </c:pt>
                <c:pt idx="83">
                  <c:v>12.32</c:v>
                </c:pt>
                <c:pt idx="84">
                  <c:v>12.36</c:v>
                </c:pt>
                <c:pt idx="85">
                  <c:v>12.4</c:v>
                </c:pt>
                <c:pt idx="86">
                  <c:v>12.44</c:v>
                </c:pt>
                <c:pt idx="87">
                  <c:v>12.48</c:v>
                </c:pt>
                <c:pt idx="88">
                  <c:v>12.52</c:v>
                </c:pt>
                <c:pt idx="89">
                  <c:v>12.56</c:v>
                </c:pt>
                <c:pt idx="90">
                  <c:v>12.6</c:v>
                </c:pt>
                <c:pt idx="91">
                  <c:v>12.64</c:v>
                </c:pt>
                <c:pt idx="92">
                  <c:v>12.68</c:v>
                </c:pt>
                <c:pt idx="93">
                  <c:v>12.72</c:v>
                </c:pt>
                <c:pt idx="94">
                  <c:v>12.76</c:v>
                </c:pt>
                <c:pt idx="95">
                  <c:v>12.8</c:v>
                </c:pt>
                <c:pt idx="96">
                  <c:v>12.84</c:v>
                </c:pt>
                <c:pt idx="97">
                  <c:v>12.879999999999999</c:v>
                </c:pt>
                <c:pt idx="98">
                  <c:v>12.92</c:v>
                </c:pt>
                <c:pt idx="99">
                  <c:v>12.96</c:v>
                </c:pt>
                <c:pt idx="100">
                  <c:v>13</c:v>
                </c:pt>
              </c:numCache>
            </c:numRef>
          </c:xVal>
          <c:yVal>
            <c:numRef>
              <c:f>'Fsw vs VIN'!$M$6:$M$106</c:f>
              <c:numCache>
                <c:formatCode>0.0</c:formatCode>
                <c:ptCount val="101"/>
                <c:pt idx="0">
                  <c:v>340.58067671513049</c:v>
                </c:pt>
                <c:pt idx="1">
                  <c:v>341.27498090239271</c:v>
                </c:pt>
                <c:pt idx="2">
                  <c:v>341.96596702902292</c:v>
                </c:pt>
                <c:pt idx="3">
                  <c:v>342.65365882370253</c:v>
                </c:pt>
                <c:pt idx="4">
                  <c:v>343.33807978939433</c:v>
                </c:pt>
                <c:pt idx="5">
                  <c:v>344.01925320601998</c:v>
                </c:pt>
                <c:pt idx="6">
                  <c:v>344.69720213309955</c:v>
                </c:pt>
                <c:pt idx="7">
                  <c:v>345.37194941235344</c:v>
                </c:pt>
                <c:pt idx="8">
                  <c:v>346.0435176702681</c:v>
                </c:pt>
                <c:pt idx="9">
                  <c:v>346.71192932062496</c:v>
                </c:pt>
                <c:pt idx="10">
                  <c:v>347.37720656699423</c:v>
                </c:pt>
                <c:pt idx="11">
                  <c:v>348.03937140519338</c:v>
                </c:pt>
                <c:pt idx="12">
                  <c:v>348.6984456257112</c:v>
                </c:pt>
                <c:pt idx="13">
                  <c:v>349.35445081609868</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Single'!$CD$5:$CD$105</c:f>
              <c:numCache>
                <c:formatCode>0.00</c:formatCode>
                <c:ptCount val="101"/>
                <c:pt idx="0">
                  <c:v>4.9255066894924497E-5</c:v>
                </c:pt>
                <c:pt idx="1">
                  <c:v>65.307407398648593</c:v>
                </c:pt>
                <c:pt idx="2">
                  <c:v>72.826526911097218</c:v>
                </c:pt>
                <c:pt idx="3">
                  <c:v>75.732791791281812</c:v>
                </c:pt>
                <c:pt idx="4">
                  <c:v>77.274505464177878</c:v>
                </c:pt>
                <c:pt idx="5">
                  <c:v>78.229893008207142</c:v>
                </c:pt>
                <c:pt idx="6">
                  <c:v>78.879930427220771</c:v>
                </c:pt>
                <c:pt idx="7">
                  <c:v>79.350791202658911</c:v>
                </c:pt>
                <c:pt idx="8">
                  <c:v>79.707549657986604</c:v>
                </c:pt>
                <c:pt idx="9">
                  <c:v>79.987170997033388</c:v>
                </c:pt>
                <c:pt idx="10">
                  <c:v>80.21220938020754</c:v>
                </c:pt>
                <c:pt idx="11">
                  <c:v>80.397207006075661</c:v>
                </c:pt>
                <c:pt idx="12">
                  <c:v>80.551961567594788</c:v>
                </c:pt>
                <c:pt idx="13">
                  <c:v>80.227387386703342</c:v>
                </c:pt>
                <c:pt idx="14">
                  <c:v>79.706747129393179</c:v>
                </c:pt>
                <c:pt idx="15">
                  <c:v>79.944019824166602</c:v>
                </c:pt>
                <c:pt idx="16">
                  <c:v>80.152907985930426</c:v>
                </c:pt>
                <c:pt idx="17">
                  <c:v>80.338129091679022</c:v>
                </c:pt>
                <c:pt idx="18">
                  <c:v>80.503405066624396</c:v>
                </c:pt>
                <c:pt idx="19">
                  <c:v>80.651712642023128</c:v>
                </c:pt>
                <c:pt idx="20">
                  <c:v>80.7854616062709</c:v>
                </c:pt>
                <c:pt idx="21">
                  <c:v>80.90662410716719</c:v>
                </c:pt>
                <c:pt idx="22">
                  <c:v>81.016830026450648</c:v>
                </c:pt>
                <c:pt idx="23">
                  <c:v>81.11743839467367</c:v>
                </c:pt>
                <c:pt idx="24">
                  <c:v>81.209591598261625</c:v>
                </c:pt>
                <c:pt idx="25">
                  <c:v>81.29425703760856</c:v>
                </c:pt>
                <c:pt idx="26">
                  <c:v>81.372259505414902</c:v>
                </c:pt>
                <c:pt idx="27">
                  <c:v>81.444306614818913</c:v>
                </c:pt>
                <c:pt idx="28">
                  <c:v>81.511008960812632</c:v>
                </c:pt>
                <c:pt idx="29">
                  <c:v>81.57289624738425</c:v>
                </c:pt>
                <c:pt idx="30">
                  <c:v>81.630430293460037</c:v>
                </c:pt>
                <c:pt idx="31">
                  <c:v>81.68401560162792</c:v>
                </c:pt>
                <c:pt idx="32">
                  <c:v>81.734008007294292</c:v>
                </c:pt>
                <c:pt idx="33">
                  <c:v>81.780721803805378</c:v>
                </c:pt>
                <c:pt idx="34">
                  <c:v>81.82443564845839</c:v>
                </c:pt>
                <c:pt idx="35">
                  <c:v>81.865397486446739</c:v>
                </c:pt>
                <c:pt idx="36">
                  <c:v>81.90382867845986</c:v>
                </c:pt>
                <c:pt idx="37">
                  <c:v>81.939927478519934</c:v>
                </c:pt>
                <c:pt idx="38">
                  <c:v>81.973871978549525</c:v>
                </c:pt>
                <c:pt idx="39">
                  <c:v>82.005822612858594</c:v>
                </c:pt>
                <c:pt idx="40">
                  <c:v>82.287394016407546</c:v>
                </c:pt>
                <c:pt idx="41">
                  <c:v>82.591633621255184</c:v>
                </c:pt>
                <c:pt idx="42">
                  <c:v>82.882028031698979</c:v>
                </c:pt>
                <c:pt idx="43">
                  <c:v>82.311724590555826</c:v>
                </c:pt>
                <c:pt idx="44">
                  <c:v>82.315076284094928</c:v>
                </c:pt>
                <c:pt idx="45">
                  <c:v>82.314756753212478</c:v>
                </c:pt>
                <c:pt idx="46">
                  <c:v>82.31105531894886</c:v>
                </c:pt>
                <c:pt idx="47">
                  <c:v>82.304232954791061</c:v>
                </c:pt>
                <c:pt idx="48">
                  <c:v>82.294525578102153</c:v>
                </c:pt>
                <c:pt idx="49">
                  <c:v>82.282146902114178</c:v>
                </c:pt>
                <c:pt idx="50">
                  <c:v>82.267290914407937</c:v>
                </c:pt>
                <c:pt idx="51">
                  <c:v>82.250134036877114</c:v>
                </c:pt>
                <c:pt idx="52">
                  <c:v>82.230837013223407</c:v>
                </c:pt>
                <c:pt idx="53">
                  <c:v>82.209546562668521</c:v>
                </c:pt>
                <c:pt idx="54">
                  <c:v>82.1863968324909</c:v>
                </c:pt>
                <c:pt idx="55">
                  <c:v>82.16151067696083</c:v>
                </c:pt>
                <c:pt idx="56">
                  <c:v>82.135000786061937</c:v>
                </c:pt>
                <c:pt idx="57">
                  <c:v>82.106970683896222</c:v>
                </c:pt>
                <c:pt idx="58">
                  <c:v>82.077515613747963</c:v>
                </c:pt>
                <c:pt idx="59">
                  <c:v>82.046723324330358</c:v>
                </c:pt>
                <c:pt idx="60">
                  <c:v>82.014674769673363</c:v>
                </c:pt>
                <c:pt idx="61">
                  <c:v>81.981444733368662</c:v>
                </c:pt>
                <c:pt idx="62">
                  <c:v>81.947102386411117</c:v>
                </c:pt>
                <c:pt idx="63">
                  <c:v>81.911711786622604</c:v>
                </c:pt>
                <c:pt idx="64">
                  <c:v>81.875332326577237</c:v>
                </c:pt>
                <c:pt idx="65">
                  <c:v>81.838019136036223</c:v>
                </c:pt>
                <c:pt idx="66">
                  <c:v>81.799823444121103</c:v>
                </c:pt>
                <c:pt idx="67">
                  <c:v>81.760792905785777</c:v>
                </c:pt>
                <c:pt idx="68">
                  <c:v>81.720971896573062</c:v>
                </c:pt>
                <c:pt idx="69">
                  <c:v>81.680401779146436</c:v>
                </c:pt>
                <c:pt idx="70">
                  <c:v>81.639121144659669</c:v>
                </c:pt>
                <c:pt idx="71">
                  <c:v>81.597166031657224</c:v>
                </c:pt>
                <c:pt idx="72">
                  <c:v>81.554570124877259</c:v>
                </c:pt>
                <c:pt idx="73">
                  <c:v>81.511364936050015</c:v>
                </c:pt>
                <c:pt idx="74">
                  <c:v>81.4675799685416</c:v>
                </c:pt>
                <c:pt idx="75">
                  <c:v>81.423242867481179</c:v>
                </c:pt>
                <c:pt idx="76">
                  <c:v>81.378379556824498</c:v>
                </c:pt>
                <c:pt idx="77">
                  <c:v>81.333014364644526</c:v>
                </c:pt>
                <c:pt idx="78">
                  <c:v>81.28717013779719</c:v>
                </c:pt>
                <c:pt idx="79">
                  <c:v>81.240868346986332</c:v>
                </c:pt>
                <c:pt idx="80">
                  <c:v>81.194129183140561</c:v>
                </c:pt>
                <c:pt idx="81">
                  <c:v>81.146971645918825</c:v>
                </c:pt>
                <c:pt idx="82">
                  <c:v>81.099413625075357</c:v>
                </c:pt>
                <c:pt idx="83">
                  <c:v>81.051471975338572</c:v>
                </c:pt>
                <c:pt idx="84">
                  <c:v>81.003162585392445</c:v>
                </c:pt>
                <c:pt idx="85">
                  <c:v>80.954500441487966</c:v>
                </c:pt>
                <c:pt idx="86">
                  <c:v>80.905499686160454</c:v>
                </c:pt>
                <c:pt idx="87">
                  <c:v>80.856173672481134</c:v>
                </c:pt>
                <c:pt idx="88">
                  <c:v>80.80653501422924</c:v>
                </c:pt>
                <c:pt idx="89">
                  <c:v>80.756595632333671</c:v>
                </c:pt>
                <c:pt idx="90">
                  <c:v>80.706366797900117</c:v>
                </c:pt>
                <c:pt idx="91">
                  <c:v>80.655859172109061</c:v>
                </c:pt>
                <c:pt idx="92">
                  <c:v>80.605082843243821</c:v>
                </c:pt>
                <c:pt idx="93">
                  <c:v>80.554047361083789</c:v>
                </c:pt>
                <c:pt idx="94">
                  <c:v>80.50276176887597</c:v>
                </c:pt>
                <c:pt idx="95">
                  <c:v>80.451234633079309</c:v>
                </c:pt>
                <c:pt idx="96">
                  <c:v>80.399474071058123</c:v>
                </c:pt>
                <c:pt idx="97">
                  <c:v>80.347487776885998</c:v>
                </c:pt>
                <c:pt idx="98">
                  <c:v>80.295283045406606</c:v>
                </c:pt>
                <c:pt idx="99">
                  <c:v>80.242866794685824</c:v>
                </c:pt>
                <c:pt idx="100">
                  <c:v>80.190245586977298</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8.493583690684682</c:v>
                </c:pt>
                <c:pt idx="1">
                  <c:v>10.327784120120123</c:v>
                </c:pt>
                <c:pt idx="2">
                  <c:v>12.093674906906907</c:v>
                </c:pt>
                <c:pt idx="3">
                  <c:v>13.859565693693694</c:v>
                </c:pt>
                <c:pt idx="4">
                  <c:v>15.625456480480478</c:v>
                </c:pt>
                <c:pt idx="5">
                  <c:v>17.391347267267264</c:v>
                </c:pt>
                <c:pt idx="6">
                  <c:v>19.157238054054051</c:v>
                </c:pt>
                <c:pt idx="7">
                  <c:v>20.923128840840842</c:v>
                </c:pt>
                <c:pt idx="8">
                  <c:v>22.68901962762763</c:v>
                </c:pt>
                <c:pt idx="9">
                  <c:v>24.454910414414414</c:v>
                </c:pt>
                <c:pt idx="10">
                  <c:v>26.220801201201208</c:v>
                </c:pt>
                <c:pt idx="11">
                  <c:v>27.986691987987992</c:v>
                </c:pt>
                <c:pt idx="12">
                  <c:v>29.752582774774776</c:v>
                </c:pt>
                <c:pt idx="13">
                  <c:v>31.774591211985616</c:v>
                </c:pt>
                <c:pt idx="14">
                  <c:v>33.995489676990545</c:v>
                </c:pt>
                <c:pt idx="15">
                  <c:v>36.334319884253013</c:v>
                </c:pt>
                <c:pt idx="16">
                  <c:v>38.664357343091403</c:v>
                </c:pt>
                <c:pt idx="17">
                  <c:v>40.985881546867283</c:v>
                </c:pt>
                <c:pt idx="18">
                  <c:v>43.299146910775384</c:v>
                </c:pt>
                <c:pt idx="19">
                  <c:v>45.604386312843801</c:v>
                </c:pt>
                <c:pt idx="20">
                  <c:v>47.901813971982548</c:v>
                </c:pt>
                <c:pt idx="21">
                  <c:v>50.191627814640796</c:v>
                </c:pt>
                <c:pt idx="22">
                  <c:v>52.474011441311383</c:v>
                </c:pt>
                <c:pt idx="23">
                  <c:v>54.74913577589934</c:v>
                </c:pt>
                <c:pt idx="24">
                  <c:v>57.017160460839818</c:v>
                </c:pt>
                <c:pt idx="25">
                  <c:v>59.278235046248632</c:v>
                </c:pt>
                <c:pt idx="26">
                  <c:v>61.532500010631523</c:v>
                </c:pt>
                <c:pt idx="27">
                  <c:v>63.780087642644531</c:v>
                </c:pt>
                <c:pt idx="28">
                  <c:v>66.021122807321532</c:v>
                </c:pt>
                <c:pt idx="29">
                  <c:v>68.255723615534194</c:v>
                </c:pt>
                <c:pt idx="30">
                  <c:v>70.484002011853633</c:v>
                </c:pt>
                <c:pt idx="31">
                  <c:v>72.706064293173768</c:v>
                </c:pt>
                <c:pt idx="32">
                  <c:v>74.922011568242027</c:v>
                </c:pt>
                <c:pt idx="33">
                  <c:v>77.131940166483218</c:v>
                </c:pt>
                <c:pt idx="34">
                  <c:v>79.335942003091674</c:v>
                </c:pt>
                <c:pt idx="35">
                  <c:v>81.534104906229118</c:v>
                </c:pt>
                <c:pt idx="36">
                  <c:v>83.726512911240391</c:v>
                </c:pt>
                <c:pt idx="37">
                  <c:v>85.913246526042371</c:v>
                </c:pt>
                <c:pt idx="38">
                  <c:v>88.094382971219545</c:v>
                </c:pt>
                <c:pt idx="39">
                  <c:v>90.269996397843329</c:v>
                </c:pt>
                <c:pt idx="40">
                  <c:v>92.690736668470322</c:v>
                </c:pt>
                <c:pt idx="41">
                  <c:v>95.149284686833028</c:v>
                </c:pt>
                <c:pt idx="42">
                  <c:v>97.609524359970322</c:v>
                </c:pt>
                <c:pt idx="43">
                  <c:v>100.96774156757587</c:v>
                </c:pt>
                <c:pt idx="44">
                  <c:v>103.76410366404916</c:v>
                </c:pt>
                <c:pt idx="45">
                  <c:v>106.58084190067127</c:v>
                </c:pt>
                <c:pt idx="46">
                  <c:v>109.41795627744217</c:v>
                </c:pt>
                <c:pt idx="47">
                  <c:v>112.27544679436187</c:v>
                </c:pt>
                <c:pt idx="48">
                  <c:v>115.15331345143041</c:v>
                </c:pt>
                <c:pt idx="49">
                  <c:v>118.05155624864774</c:v>
                </c:pt>
                <c:pt idx="50">
                  <c:v>120.97017518601392</c:v>
                </c:pt>
                <c:pt idx="51">
                  <c:v>123.90917026352888</c:v>
                </c:pt>
                <c:pt idx="52">
                  <c:v>126.86854148119264</c:v>
                </c:pt>
                <c:pt idx="53">
                  <c:v>129.84828883900522</c:v>
                </c:pt>
                <c:pt idx="54">
                  <c:v>132.84841233696662</c:v>
                </c:pt>
                <c:pt idx="55">
                  <c:v>135.86891197507683</c:v>
                </c:pt>
                <c:pt idx="56">
                  <c:v>138.90978775333588</c:v>
                </c:pt>
                <c:pt idx="57">
                  <c:v>141.97103967174363</c:v>
                </c:pt>
                <c:pt idx="58">
                  <c:v>145.05266773030033</c:v>
                </c:pt>
                <c:pt idx="59">
                  <c:v>148.15467192900576</c:v>
                </c:pt>
                <c:pt idx="60">
                  <c:v>151.27705226786003</c:v>
                </c:pt>
                <c:pt idx="61">
                  <c:v>154.41980874686308</c:v>
                </c:pt>
                <c:pt idx="62">
                  <c:v>157.58294136601498</c:v>
                </c:pt>
                <c:pt idx="63">
                  <c:v>160.76645012531566</c:v>
                </c:pt>
                <c:pt idx="64">
                  <c:v>163.97033502476515</c:v>
                </c:pt>
                <c:pt idx="65">
                  <c:v>167.19459606436348</c:v>
                </c:pt>
                <c:pt idx="66">
                  <c:v>170.43923324411062</c:v>
                </c:pt>
                <c:pt idx="67">
                  <c:v>173.70424656400658</c:v>
                </c:pt>
                <c:pt idx="68">
                  <c:v>176.98963602405132</c:v>
                </c:pt>
                <c:pt idx="69">
                  <c:v>180.29540162424482</c:v>
                </c:pt>
                <c:pt idx="70">
                  <c:v>183.62154336458721</c:v>
                </c:pt>
                <c:pt idx="71">
                  <c:v>186.96806124507839</c:v>
                </c:pt>
                <c:pt idx="72">
                  <c:v>190.33495526571838</c:v>
                </c:pt>
                <c:pt idx="73">
                  <c:v>193.72222542650721</c:v>
                </c:pt>
                <c:pt idx="74">
                  <c:v>197.12987172744485</c:v>
                </c:pt>
                <c:pt idx="75">
                  <c:v>200.55789416853131</c:v>
                </c:pt>
                <c:pt idx="76">
                  <c:v>204.00629274976654</c:v>
                </c:pt>
                <c:pt idx="77">
                  <c:v>207.4750674711506</c:v>
                </c:pt>
                <c:pt idx="78">
                  <c:v>210.96421833268346</c:v>
                </c:pt>
                <c:pt idx="79">
                  <c:v>214.47374533436513</c:v>
                </c:pt>
                <c:pt idx="80">
                  <c:v>218.00364847619556</c:v>
                </c:pt>
                <c:pt idx="81">
                  <c:v>221.55392775817492</c:v>
                </c:pt>
                <c:pt idx="82">
                  <c:v>225.12458318030295</c:v>
                </c:pt>
                <c:pt idx="83">
                  <c:v>228.7156147425799</c:v>
                </c:pt>
                <c:pt idx="84">
                  <c:v>232.32702244500564</c:v>
                </c:pt>
                <c:pt idx="85">
                  <c:v>235.95880628758016</c:v>
                </c:pt>
                <c:pt idx="86">
                  <c:v>239.61096627030355</c:v>
                </c:pt>
                <c:pt idx="87">
                  <c:v>243.28350239317567</c:v>
                </c:pt>
                <c:pt idx="88">
                  <c:v>246.97641465619662</c:v>
                </c:pt>
                <c:pt idx="89">
                  <c:v>250.68970305936645</c:v>
                </c:pt>
                <c:pt idx="90">
                  <c:v>254.42336760268503</c:v>
                </c:pt>
                <c:pt idx="91">
                  <c:v>258.17740828615251</c:v>
                </c:pt>
                <c:pt idx="92">
                  <c:v>261.95182510976872</c:v>
                </c:pt>
                <c:pt idx="93">
                  <c:v>265.74661807353374</c:v>
                </c:pt>
                <c:pt idx="94">
                  <c:v>269.56178717744751</c:v>
                </c:pt>
                <c:pt idx="95">
                  <c:v>273.39733242151016</c:v>
                </c:pt>
                <c:pt idx="96">
                  <c:v>277.25325380572156</c:v>
                </c:pt>
                <c:pt idx="97">
                  <c:v>281.12955133008188</c:v>
                </c:pt>
                <c:pt idx="98">
                  <c:v>285.02622499459096</c:v>
                </c:pt>
                <c:pt idx="99">
                  <c:v>288.94327479924885</c:v>
                </c:pt>
                <c:pt idx="100">
                  <c:v>292.88070074405562</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71.566415490049039</c:v>
                </c:pt>
                <c:pt idx="13">
                  <c:v>78.250197594695919</c:v>
                </c:pt>
                <c:pt idx="14">
                  <c:v>84.889555339325838</c:v>
                </c:pt>
                <c:pt idx="15">
                  <c:v>86.753464044723742</c:v>
                </c:pt>
                <c:pt idx="16">
                  <c:v>88.614145260631915</c:v>
                </c:pt>
                <c:pt idx="17">
                  <c:v>90.473739945428548</c:v>
                </c:pt>
                <c:pt idx="18">
                  <c:v>92.334030477850163</c:v>
                </c:pt>
                <c:pt idx="19">
                  <c:v>94.196513769480291</c:v>
                </c:pt>
                <c:pt idx="20">
                  <c:v>96.062456701122642</c:v>
                </c:pt>
                <c:pt idx="21">
                  <c:v>97.932938790396236</c:v>
                </c:pt>
                <c:pt idx="22">
                  <c:v>99.80888547281036</c:v>
                </c:pt>
                <c:pt idx="23">
                  <c:v>101.6910943739598</c:v>
                </c:pt>
                <c:pt idx="24">
                  <c:v>103.58025627410878</c:v>
                </c:pt>
                <c:pt idx="25">
                  <c:v>105.47697200204863</c:v>
                </c:pt>
                <c:pt idx="26">
                  <c:v>107.38176617058394</c:v>
                </c:pt>
                <c:pt idx="27">
                  <c:v>109.29509843553929</c:v>
                </c:pt>
                <c:pt idx="28">
                  <c:v>111.21737279409913</c:v>
                </c:pt>
                <c:pt idx="29">
                  <c:v>113.14894531699998</c:v>
                </c:pt>
                <c:pt idx="30">
                  <c:v>115.09013061940671</c:v>
                </c:pt>
                <c:pt idx="31">
                  <c:v>117.041207308232</c:v>
                </c:pt>
                <c:pt idx="32">
                  <c:v>119.00242259296763</c:v>
                </c:pt>
                <c:pt idx="33">
                  <c:v>120.97399620840908</c:v>
                </c:pt>
                <c:pt idx="34">
                  <c:v>122.9561237678612</c:v>
                </c:pt>
                <c:pt idx="35">
                  <c:v>124.9489796422715</c:v>
                </c:pt>
                <c:pt idx="36">
                  <c:v>126.95271944262181</c:v>
                </c:pt>
                <c:pt idx="37">
                  <c:v>128.96748216862031</c:v>
                </c:pt>
                <c:pt idx="38">
                  <c:v>130.99339207538713</c:v>
                </c:pt>
                <c:pt idx="39">
                  <c:v>133.03056030075533</c:v>
                </c:pt>
                <c:pt idx="40">
                  <c:v>132.18455214103952</c:v>
                </c:pt>
                <c:pt idx="41">
                  <c:v>130.98459438610888</c:v>
                </c:pt>
                <c:pt idx="42">
                  <c:v>129.85143038576135</c:v>
                </c:pt>
                <c:pt idx="43">
                  <c:v>135.03786467004335</c:v>
                </c:pt>
                <c:pt idx="44">
                  <c:v>136.15344605479825</c:v>
                </c:pt>
                <c:pt idx="45">
                  <c:v>137.35899357256997</c:v>
                </c:pt>
                <c:pt idx="46">
                  <c:v>138.65189168736703</c:v>
                </c:pt>
                <c:pt idx="47">
                  <c:v>140.02975795979592</c:v>
                </c:pt>
                <c:pt idx="48">
                  <c:v>141.49041901938986</c:v>
                </c:pt>
                <c:pt idx="49">
                  <c:v>143.03188948078395</c:v>
                </c:pt>
                <c:pt idx="50">
                  <c:v>144.65235339164116</c:v>
                </c:pt>
                <c:pt idx="51">
                  <c:v>146.35014786487667</c:v>
                </c:pt>
                <c:pt idx="52">
                  <c:v>148.12374860118163</c:v>
                </c:pt>
                <c:pt idx="53">
                  <c:v>149.97175705222708</c:v>
                </c:pt>
                <c:pt idx="54">
                  <c:v>151.89288901190801</c:v>
                </c:pt>
                <c:pt idx="55">
                  <c:v>153.88596445391789</c:v>
                </c:pt>
                <c:pt idx="56">
                  <c:v>155.94989845990466</c:v>
                </c:pt>
                <c:pt idx="57">
                  <c:v>158.08369310431613</c:v>
                </c:pt>
                <c:pt idx="58">
                  <c:v>160.28643018051451</c:v>
                </c:pt>
                <c:pt idx="59">
                  <c:v>162.55726466838743</c:v>
                </c:pt>
                <c:pt idx="60">
                  <c:v>164.8954188569883</c:v>
                </c:pt>
                <c:pt idx="61">
                  <c:v>167.30017704707905</c:v>
                </c:pt>
                <c:pt idx="62">
                  <c:v>169.77088076814198</c:v>
                </c:pt>
                <c:pt idx="63">
                  <c:v>172.30692445273664</c:v>
                </c:pt>
                <c:pt idx="64">
                  <c:v>174.90775151822123</c:v>
                </c:pt>
                <c:pt idx="65">
                  <c:v>177.57285081200527</c:v>
                </c:pt>
                <c:pt idx="66">
                  <c:v>180.30175338181937</c:v>
                </c:pt>
                <c:pt idx="67">
                  <c:v>183.09402953708317</c:v>
                </c:pt>
                <c:pt idx="68">
                  <c:v>185.94928617144552</c:v>
                </c:pt>
                <c:pt idx="69">
                  <c:v>188.86716432003979</c:v>
                </c:pt>
                <c:pt idx="70">
                  <c:v>191.84733692802314</c:v>
                </c:pt>
                <c:pt idx="71">
                  <c:v>194.88950680960772</c:v>
                </c:pt>
                <c:pt idx="72">
                  <c:v>197.99340477910417</c:v>
                </c:pt>
                <c:pt idx="73">
                  <c:v>201.15878793752051</c:v>
                </c:pt>
                <c:pt idx="74">
                  <c:v>204.38543810004393</c:v>
                </c:pt>
                <c:pt idx="75">
                  <c:v>207.67316035129372</c:v>
                </c:pt>
                <c:pt idx="76">
                  <c:v>211.02178171661782</c:v>
                </c:pt>
                <c:pt idx="77">
                  <c:v>214.43114993892303</c:v>
                </c:pt>
                <c:pt idx="78">
                  <c:v>217.90113235160717</c:v>
                </c:pt>
                <c:pt idx="79">
                  <c:v>221.43161483911882</c:v>
                </c:pt>
                <c:pt idx="80">
                  <c:v>225.02250087751565</c:v>
                </c:pt>
                <c:pt idx="81">
                  <c:v>228.67371064815075</c:v>
                </c:pt>
                <c:pt idx="82">
                  <c:v>232.38518021828034</c:v>
                </c:pt>
                <c:pt idx="83">
                  <c:v>236.15686078299404</c:v>
                </c:pt>
                <c:pt idx="84">
                  <c:v>239.98871796339486</c:v>
                </c:pt>
                <c:pt idx="85">
                  <c:v>243.88073115643826</c:v>
                </c:pt>
                <c:pt idx="86">
                  <c:v>247.83289293226633</c:v>
                </c:pt>
                <c:pt idx="87">
                  <c:v>251.84520847525826</c:v>
                </c:pt>
                <c:pt idx="88">
                  <c:v>255.91769506535738</c:v>
                </c:pt>
                <c:pt idx="89">
                  <c:v>260.05038159655294</c:v>
                </c:pt>
                <c:pt idx="90">
                  <c:v>264.24330812966485</c:v>
                </c:pt>
                <c:pt idx="91">
                  <c:v>268.49652547683689</c:v>
                </c:pt>
                <c:pt idx="92">
                  <c:v>272.81009481536751</c:v>
                </c:pt>
                <c:pt idx="93">
                  <c:v>277.18408732871166</c:v>
                </c:pt>
                <c:pt idx="94">
                  <c:v>281.61858387267461</c:v>
                </c:pt>
                <c:pt idx="95">
                  <c:v>286.11367466498268</c:v>
                </c:pt>
                <c:pt idx="96">
                  <c:v>290.66945899657134</c:v>
                </c:pt>
                <c:pt idx="97">
                  <c:v>295.28604496306622</c:v>
                </c:pt>
                <c:pt idx="98">
                  <c:v>299.96354921505861</c:v>
                </c:pt>
                <c:pt idx="99">
                  <c:v>304.70209672589004</c:v>
                </c:pt>
                <c:pt idx="100">
                  <c:v>309.50182057576768</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20.60388548538382</c:v>
                </c:pt>
                <c:pt idx="2">
                  <c:v>29.273716916663354</c:v>
                </c:pt>
                <c:pt idx="3">
                  <c:v>37.943551943754848</c:v>
                </c:pt>
                <c:pt idx="4">
                  <c:v>46.613390566780502</c:v>
                </c:pt>
                <c:pt idx="5">
                  <c:v>55.283232785862531</c:v>
                </c:pt>
                <c:pt idx="6">
                  <c:v>63.953078601123103</c:v>
                </c:pt>
                <c:pt idx="7">
                  <c:v>72.622928012684469</c:v>
                </c:pt>
                <c:pt idx="8">
                  <c:v>81.292781020668826</c:v>
                </c:pt>
                <c:pt idx="9">
                  <c:v>89.962637625198397</c:v>
                </c:pt>
                <c:pt idx="10">
                  <c:v>98.632497826395451</c:v>
                </c:pt>
                <c:pt idx="11">
                  <c:v>107.30236162438213</c:v>
                </c:pt>
                <c:pt idx="12">
                  <c:v>115.97222901928077</c:v>
                </c:pt>
                <c:pt idx="13">
                  <c:v>130.27092473863308</c:v>
                </c:pt>
                <c:pt idx="14">
                  <c:v>148.4438359320761</c:v>
                </c:pt>
                <c:pt idx="15">
                  <c:v>159.1469316562397</c:v>
                </c:pt>
                <c:pt idx="16">
                  <c:v>169.85994209330624</c:v>
                </c:pt>
                <c:pt idx="17">
                  <c:v>180.58256434827229</c:v>
                </c:pt>
                <c:pt idx="18">
                  <c:v>191.31452300087182</c:v>
                </c:pt>
                <c:pt idx="19">
                  <c:v>202.05556622104848</c:v>
                </c:pt>
                <c:pt idx="20">
                  <c:v>212.80546261212717</c:v>
                </c:pt>
                <c:pt idx="21">
                  <c:v>223.56399861526995</c:v>
                </c:pt>
                <c:pt idx="22">
                  <c:v>234.33097635307777</c:v>
                </c:pt>
                <c:pt idx="23">
                  <c:v>245.10621182120158</c:v>
                </c:pt>
                <c:pt idx="24">
                  <c:v>255.88953335892549</c:v>
                </c:pt>
                <c:pt idx="25">
                  <c:v>266.68078034572341</c:v>
                </c:pt>
                <c:pt idx="26">
                  <c:v>277.47980208259838</c:v>
                </c:pt>
                <c:pt idx="27">
                  <c:v>288.28645682583789</c:v>
                </c:pt>
                <c:pt idx="28">
                  <c:v>299.10061094748653</c:v>
                </c:pt>
                <c:pt idx="29">
                  <c:v>309.92213820194297</c:v>
                </c:pt>
                <c:pt idx="30">
                  <c:v>320.75091908203763</c:v>
                </c:pt>
                <c:pt idx="31">
                  <c:v>331.58684025102878</c:v>
                </c:pt>
                <c:pt idx="32">
                  <c:v>342.42979403938671</c:v>
                </c:pt>
                <c:pt idx="33">
                  <c:v>353.27967799716663</c:v>
                </c:pt>
                <c:pt idx="34">
                  <c:v>364.13639449431872</c:v>
                </c:pt>
                <c:pt idx="35">
                  <c:v>374.99985036253179</c:v>
                </c:pt>
                <c:pt idx="36">
                  <c:v>385.86995657322501</c:v>
                </c:pt>
                <c:pt idx="37">
                  <c:v>396.74662794712799</c:v>
                </c:pt>
                <c:pt idx="38">
                  <c:v>407.62978289157689</c:v>
                </c:pt>
                <c:pt idx="39">
                  <c:v>418.51934316221616</c:v>
                </c:pt>
                <c:pt idx="40">
                  <c:v>420.88362221132081</c:v>
                </c:pt>
                <c:pt idx="41">
                  <c:v>422.00352017162288</c:v>
                </c:pt>
                <c:pt idx="42">
                  <c:v>423.12172259326144</c:v>
                </c:pt>
                <c:pt idx="43">
                  <c:v>457.02674704152184</c:v>
                </c:pt>
                <c:pt idx="44">
                  <c:v>469.06859105890459</c:v>
                </c:pt>
                <c:pt idx="45">
                  <c:v>481.17554252462236</c:v>
                </c:pt>
                <c:pt idx="46">
                  <c:v>493.3476798891615</c:v>
                </c:pt>
                <c:pt idx="47">
                  <c:v>505.58508344796735</c:v>
                </c:pt>
                <c:pt idx="48">
                  <c:v>517.88783534701258</c:v>
                </c:pt>
                <c:pt idx="49">
                  <c:v>530.25601958849859</c:v>
                </c:pt>
                <c:pt idx="50">
                  <c:v>542.6897220366908</c:v>
                </c:pt>
                <c:pt idx="51">
                  <c:v>555.18903042388843</c:v>
                </c:pt>
                <c:pt idx="52">
                  <c:v>567.75403435653129</c:v>
                </c:pt>
                <c:pt idx="53">
                  <c:v>580.38482532144224</c:v>
                </c:pt>
                <c:pt idx="54">
                  <c:v>593.081496692207</c:v>
                </c:pt>
                <c:pt idx="55">
                  <c:v>605.84414373569234</c:v>
                </c:pt>
                <c:pt idx="56">
                  <c:v>618.6728636187031</c:v>
                </c:pt>
                <c:pt idx="57">
                  <c:v>631.56775541477884</c:v>
                </c:pt>
                <c:pt idx="58">
                  <c:v>644.52892011113374</c:v>
                </c:pt>
                <c:pt idx="59">
                  <c:v>657.55646061573248</c:v>
                </c:pt>
                <c:pt idx="60">
                  <c:v>670.65048176451569</c:v>
                </c:pt>
                <c:pt idx="61">
                  <c:v>683.81109032876429</c:v>
                </c:pt>
                <c:pt idx="62">
                  <c:v>697.03839502260985</c:v>
                </c:pt>
                <c:pt idx="63">
                  <c:v>710.33250651069079</c:v>
                </c:pt>
                <c:pt idx="64">
                  <c:v>723.69353741595592</c:v>
                </c:pt>
                <c:pt idx="65">
                  <c:v>737.12160232761198</c:v>
                </c:pt>
                <c:pt idx="66">
                  <c:v>750.61681780922515</c:v>
                </c:pt>
                <c:pt idx="67">
                  <c:v>764.17930240696808</c:v>
                </c:pt>
                <c:pt idx="68">
                  <c:v>777.80917665802042</c:v>
                </c:pt>
                <c:pt idx="69">
                  <c:v>791.50656309911915</c:v>
                </c:pt>
                <c:pt idx="70">
                  <c:v>805.27158627526489</c:v>
                </c:pt>
                <c:pt idx="71">
                  <c:v>819.10437274857838</c:v>
                </c:pt>
                <c:pt idx="72">
                  <c:v>833.00505110731785</c:v>
                </c:pt>
                <c:pt idx="73">
                  <c:v>846.97375197504778</c:v>
                </c:pt>
                <c:pt idx="74">
                  <c:v>861.01060801996857</c:v>
                </c:pt>
                <c:pt idx="75">
                  <c:v>875.11575396440662</c:v>
                </c:pt>
                <c:pt idx="76">
                  <c:v>889.28932659446036</c:v>
                </c:pt>
                <c:pt idx="77">
                  <c:v>903.53146476981362</c:v>
                </c:pt>
                <c:pt idx="78">
                  <c:v>917.84230943370687</c:v>
                </c:pt>
                <c:pt idx="79">
                  <c:v>932.22200362307831</c:v>
                </c:pt>
                <c:pt idx="80">
                  <c:v>946.67069247886468</c:v>
                </c:pt>
                <c:pt idx="81">
                  <c:v>961.18852325647742</c:v>
                </c:pt>
                <c:pt idx="82">
                  <c:v>975.77564533643681</c:v>
                </c:pt>
                <c:pt idx="83">
                  <c:v>990.43221023518879</c:v>
                </c:pt>
                <c:pt idx="84">
                  <c:v>1005.1583716160826</c:v>
                </c:pt>
                <c:pt idx="85">
                  <c:v>1019.9542853005272</c:v>
                </c:pt>
                <c:pt idx="86">
                  <c:v>1034.8201092793224</c:v>
                </c:pt>
                <c:pt idx="87">
                  <c:v>1049.7560037241644</c:v>
                </c:pt>
                <c:pt idx="88">
                  <c:v>1064.7621309993292</c:v>
                </c:pt>
                <c:pt idx="89">
                  <c:v>1079.8386556735388</c:v>
                </c:pt>
                <c:pt idx="90">
                  <c:v>1094.9857445320031</c:v>
                </c:pt>
                <c:pt idx="91">
                  <c:v>1110.2035665886494</c:v>
                </c:pt>
                <c:pt idx="92">
                  <c:v>1125.4922930985354</c:v>
                </c:pt>
                <c:pt idx="93">
                  <c:v>1140.8520975704455</c:v>
                </c:pt>
                <c:pt idx="94">
                  <c:v>1156.2831557796801</c:v>
                </c:pt>
                <c:pt idx="95">
                  <c:v>1171.7856457810294</c:v>
                </c:pt>
                <c:pt idx="96">
                  <c:v>1187.3597479219452</c:v>
                </c:pt>
                <c:pt idx="97">
                  <c:v>1203.0056448558992</c:v>
                </c:pt>
                <c:pt idx="98">
                  <c:v>1218.7235215559426</c:v>
                </c:pt>
                <c:pt idx="99">
                  <c:v>1234.5135653284603</c:v>
                </c:pt>
                <c:pt idx="100">
                  <c:v>1250.3759658271226</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1.0403764263071567E-4</c:v>
                </c:pt>
                <c:pt idx="1">
                  <c:v>69.104290144337597</c:v>
                </c:pt>
                <c:pt idx="2">
                  <c:v>76.091238717529237</c:v>
                </c:pt>
                <c:pt idx="3">
                  <c:v>78.744942953059137</c:v>
                </c:pt>
                <c:pt idx="4">
                  <c:v>80.142283987026858</c:v>
                </c:pt>
                <c:pt idx="5">
                  <c:v>81.004622688416887</c:v>
                </c:pt>
                <c:pt idx="6">
                  <c:v>81.58979269332049</c:v>
                </c:pt>
                <c:pt idx="7">
                  <c:v>82.0128817946689</c:v>
                </c:pt>
                <c:pt idx="8">
                  <c:v>82.333007839161723</c:v>
                </c:pt>
                <c:pt idx="9">
                  <c:v>82.58365483760565</c:v>
                </c:pt>
                <c:pt idx="10">
                  <c:v>82.785207883824668</c:v>
                </c:pt>
                <c:pt idx="11">
                  <c:v>82.950787876750169</c:v>
                </c:pt>
                <c:pt idx="12">
                  <c:v>82.807754523166508</c:v>
                </c:pt>
                <c:pt idx="13">
                  <c:v>82.167129879446605</c:v>
                </c:pt>
                <c:pt idx="14">
                  <c:v>81.683094870659147</c:v>
                </c:pt>
                <c:pt idx="15">
                  <c:v>81.888747653752958</c:v>
                </c:pt>
                <c:pt idx="16">
                  <c:v>82.069565460498367</c:v>
                </c:pt>
                <c:pt idx="17">
                  <c:v>82.229700483991152</c:v>
                </c:pt>
                <c:pt idx="18">
                  <c:v>82.372423899639898</c:v>
                </c:pt>
                <c:pt idx="19">
                  <c:v>82.50034854319243</c:v>
                </c:pt>
                <c:pt idx="20">
                  <c:v>82.615587148022783</c:v>
                </c:pt>
                <c:pt idx="21">
                  <c:v>82.719866931102473</c:v>
                </c:pt>
                <c:pt idx="22">
                  <c:v>82.814613981107954</c:v>
                </c:pt>
                <c:pt idx="23">
                  <c:v>82.901016357776939</c:v>
                </c:pt>
                <c:pt idx="24">
                  <c:v>82.980071925682182</c:v>
                </c:pt>
                <c:pt idx="25">
                  <c:v>83.05262507135059</c:v>
                </c:pt>
                <c:pt idx="26">
                  <c:v>83.119395210551261</c:v>
                </c:pt>
                <c:pt idx="27">
                  <c:v>83.180999154108619</c:v>
                </c:pt>
                <c:pt idx="28">
                  <c:v>83.237968825001587</c:v>
                </c:pt>
                <c:pt idx="29">
                  <c:v>83.290765418229157</c:v>
                </c:pt>
                <c:pt idx="30">
                  <c:v>83.339790811170488</c:v>
                </c:pt>
                <c:pt idx="31">
                  <c:v>83.385396828872061</c:v>
                </c:pt>
                <c:pt idx="32">
                  <c:v>83.427892821262844</c:v>
                </c:pt>
                <c:pt idx="33">
                  <c:v>83.709992765241623</c:v>
                </c:pt>
                <c:pt idx="34">
                  <c:v>84.053385584341825</c:v>
                </c:pt>
                <c:pt idx="35">
                  <c:v>84.377596190661336</c:v>
                </c:pt>
                <c:pt idx="36">
                  <c:v>84.68416714958677</c:v>
                </c:pt>
                <c:pt idx="37">
                  <c:v>84.974481921522894</c:v>
                </c:pt>
                <c:pt idx="38">
                  <c:v>85.249784639704743</c:v>
                </c:pt>
                <c:pt idx="39">
                  <c:v>85.511197038354865</c:v>
                </c:pt>
                <c:pt idx="40">
                  <c:v>85.759732994538112</c:v>
                </c:pt>
                <c:pt idx="41">
                  <c:v>85.996311063687116</c:v>
                </c:pt>
                <c:pt idx="42">
                  <c:v>86.221765321749913</c:v>
                </c:pt>
                <c:pt idx="43">
                  <c:v>82.219859081744545</c:v>
                </c:pt>
                <c:pt idx="44">
                  <c:v>82.192770596012238</c:v>
                </c:pt>
                <c:pt idx="45">
                  <c:v>82.1630171673592</c:v>
                </c:pt>
                <c:pt idx="46">
                  <c:v>82.130809226422102</c:v>
                </c:pt>
                <c:pt idx="47">
                  <c:v>82.096336476321312</c:v>
                </c:pt>
                <c:pt idx="48">
                  <c:v>82.059770308149666</c:v>
                </c:pt>
                <c:pt idx="49">
                  <c:v>82.021265892122017</c:v>
                </c:pt>
                <c:pt idx="50">
                  <c:v>81.980963993401971</c:v>
                </c:pt>
                <c:pt idx="51">
                  <c:v>81.938992553426971</c:v>
                </c:pt>
                <c:pt idx="52">
                  <c:v>81.895468070853866</c:v>
                </c:pt>
                <c:pt idx="53">
                  <c:v>81.850496810748069</c:v>
                </c:pt>
                <c:pt idx="54">
                  <c:v>81.804175866110697</c:v>
                </c:pt>
                <c:pt idx="55">
                  <c:v>81.756594092089742</c:v>
                </c:pt>
                <c:pt idx="56">
                  <c:v>81.707832930113966</c:v>
                </c:pt>
                <c:pt idx="57">
                  <c:v>81.657967136597946</c:v>
                </c:pt>
                <c:pt idx="58">
                  <c:v>81.607065428703194</c:v>
                </c:pt>
                <c:pt idx="59">
                  <c:v>81.555191057826889</c:v>
                </c:pt>
                <c:pt idx="60">
                  <c:v>81.502402319964489</c:v>
                </c:pt>
                <c:pt idx="61">
                  <c:v>81.448753010806485</c:v>
                </c:pt>
                <c:pt idx="62">
                  <c:v>81.394292832341335</c:v>
                </c:pt>
                <c:pt idx="63">
                  <c:v>81.339067756814245</c:v>
                </c:pt>
                <c:pt idx="64">
                  <c:v>81.283120353106128</c:v>
                </c:pt>
                <c:pt idx="65">
                  <c:v>81.226490079928169</c:v>
                </c:pt>
                <c:pt idx="66">
                  <c:v>81.16921354965487</c:v>
                </c:pt>
                <c:pt idx="67">
                  <c:v>81.111324766128391</c:v>
                </c:pt>
                <c:pt idx="68">
                  <c:v>81.052855339345356</c:v>
                </c:pt>
                <c:pt idx="69">
                  <c:v>80.993834679574704</c:v>
                </c:pt>
                <c:pt idx="70">
                  <c:v>80.934290173141804</c:v>
                </c:pt>
                <c:pt idx="71">
                  <c:v>80.874247341843713</c:v>
                </c:pt>
                <c:pt idx="72">
                  <c:v>80.813729987724926</c:v>
                </c:pt>
                <c:pt idx="73">
                  <c:v>80.75276032473991</c:v>
                </c:pt>
                <c:pt idx="74">
                  <c:v>80.691359098650778</c:v>
                </c:pt>
                <c:pt idx="75">
                  <c:v>80.629545696353432</c:v>
                </c:pt>
                <c:pt idx="76">
                  <c:v>80.567338245691332</c:v>
                </c:pt>
                <c:pt idx="77">
                  <c:v>80.504753706696206</c:v>
                </c:pt>
                <c:pt idx="78">
                  <c:v>80.441807955092926</c:v>
                </c:pt>
                <c:pt idx="79">
                  <c:v>80.378515858812932</c:v>
                </c:pt>
                <c:pt idx="80">
                  <c:v>80.314891348181874</c:v>
                </c:pt>
                <c:pt idx="81">
                  <c:v>80.250947480375217</c:v>
                </c:pt>
                <c:pt idx="82">
                  <c:v>80.186696498674053</c:v>
                </c:pt>
                <c:pt idx="83">
                  <c:v>80.122149886997647</c:v>
                </c:pt>
                <c:pt idx="84">
                  <c:v>80.057318420140433</c:v>
                </c:pt>
                <c:pt idx="85">
                  <c:v>79.99221221009806</c:v>
                </c:pt>
                <c:pt idx="86">
                  <c:v>79.926840748828369</c:v>
                </c:pt>
                <c:pt idx="87">
                  <c:v>79.861212947758943</c:v>
                </c:pt>
                <c:pt idx="88">
                  <c:v>79.79533717432254</c:v>
                </c:pt>
                <c:pt idx="89">
                  <c:v>79.729221285774187</c:v>
                </c:pt>
                <c:pt idx="90">
                  <c:v>79.662872660519696</c:v>
                </c:pt>
                <c:pt idx="91">
                  <c:v>79.596298227163643</c:v>
                </c:pt>
                <c:pt idx="92">
                  <c:v>79.561538789452698</c:v>
                </c:pt>
                <c:pt idx="93">
                  <c:v>79.786567162119198</c:v>
                </c:pt>
                <c:pt idx="94">
                  <c:v>80.007172843535315</c:v>
                </c:pt>
                <c:pt idx="95">
                  <c:v>80.223469576859301</c:v>
                </c:pt>
                <c:pt idx="96">
                  <c:v>80.326436730195113</c:v>
                </c:pt>
                <c:pt idx="97">
                  <c:v>80.372361691680268</c:v>
                </c:pt>
                <c:pt idx="98">
                  <c:v>80.417536695771403</c:v>
                </c:pt>
                <c:pt idx="99">
                  <c:v>80.461974361710062</c:v>
                </c:pt>
                <c:pt idx="100">
                  <c:v>80.505687030724175</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8.8460577990682303</c:v>
                </c:pt>
                <c:pt idx="1">
                  <c:v>11.047376351428438</c:v>
                </c:pt>
                <c:pt idx="2">
                  <c:v>13.189487689592342</c:v>
                </c:pt>
                <c:pt idx="3">
                  <c:v>15.331599027756246</c:v>
                </c:pt>
                <c:pt idx="4">
                  <c:v>17.473710365920148</c:v>
                </c:pt>
                <c:pt idx="5">
                  <c:v>19.615821704084055</c:v>
                </c:pt>
                <c:pt idx="6">
                  <c:v>21.757933042247963</c:v>
                </c:pt>
                <c:pt idx="7">
                  <c:v>23.900044380411874</c:v>
                </c:pt>
                <c:pt idx="8">
                  <c:v>26.042155718575781</c:v>
                </c:pt>
                <c:pt idx="9">
                  <c:v>28.184267056739682</c:v>
                </c:pt>
                <c:pt idx="10">
                  <c:v>30.326378394903596</c:v>
                </c:pt>
                <c:pt idx="11">
                  <c:v>32.4684897330675</c:v>
                </c:pt>
                <c:pt idx="12">
                  <c:v>34.803197019186243</c:v>
                </c:pt>
                <c:pt idx="13">
                  <c:v>37.443190429177534</c:v>
                </c:pt>
                <c:pt idx="14">
                  <c:v>40.066662390372599</c:v>
                </c:pt>
                <c:pt idx="15">
                  <c:v>42.825743955664926</c:v>
                </c:pt>
                <c:pt idx="16">
                  <c:v>45.574714747471766</c:v>
                </c:pt>
                <c:pt idx="17">
                  <c:v>48.313896154957568</c:v>
                </c:pt>
                <c:pt idx="18">
                  <c:v>51.043580729925417</c:v>
                </c:pt>
                <c:pt idx="19">
                  <c:v>53.764036258609842</c:v>
                </c:pt>
                <c:pt idx="20">
                  <c:v>56.475509071142348</c:v>
                </c:pt>
                <c:pt idx="21">
                  <c:v>59.17822676296835</c:v>
                </c:pt>
                <c:pt idx="22">
                  <c:v>61.872400456129085</c:v>
                </c:pt>
                <c:pt idx="23">
                  <c:v>64.558226695868811</c:v>
                </c:pt>
                <c:pt idx="24">
                  <c:v>67.235889054879792</c:v>
                </c:pt>
                <c:pt idx="25">
                  <c:v>69.905559500705394</c:v>
                </c:pt>
                <c:pt idx="26">
                  <c:v>72.567399569452661</c:v>
                </c:pt>
                <c:pt idx="27">
                  <c:v>75.221561379727945</c:v>
                </c:pt>
                <c:pt idx="28">
                  <c:v>77.868188513721137</c:v>
                </c:pt>
                <c:pt idx="29">
                  <c:v>80.507416787017036</c:v>
                </c:pt>
                <c:pt idx="30">
                  <c:v>83.139374924577083</c:v>
                </c:pt>
                <c:pt idx="31">
                  <c:v>85.764185157103739</c:v>
                </c:pt>
                <c:pt idx="32">
                  <c:v>88.381963749454513</c:v>
                </c:pt>
                <c:pt idx="33">
                  <c:v>91.21840684573057</c:v>
                </c:pt>
                <c:pt idx="34">
                  <c:v>94.130201737685042</c:v>
                </c:pt>
                <c:pt idx="35">
                  <c:v>97.044119802914778</c:v>
                </c:pt>
                <c:pt idx="36">
                  <c:v>99.96007067038687</c:v>
                </c:pt>
                <c:pt idx="37">
                  <c:v>102.8779702037051</c:v>
                </c:pt>
                <c:pt idx="38">
                  <c:v>105.79773991505573</c:v>
                </c:pt>
                <c:pt idx="39">
                  <c:v>108.71930644813501</c:v>
                </c:pt>
                <c:pt idx="40">
                  <c:v>111.64260112038721</c:v>
                </c:pt>
                <c:pt idx="41">
                  <c:v>114.56755951644401</c:v>
                </c:pt>
                <c:pt idx="42">
                  <c:v>117.49412112593495</c:v>
                </c:pt>
                <c:pt idx="43">
                  <c:v>127.4007067267803</c:v>
                </c:pt>
                <c:pt idx="44">
                  <c:v>131.04992115903011</c:v>
                </c:pt>
                <c:pt idx="45">
                  <c:v>134.73033592305578</c:v>
                </c:pt>
                <c:pt idx="46">
                  <c:v>138.44195101885731</c:v>
                </c:pt>
                <c:pt idx="47">
                  <c:v>142.18476644643465</c:v>
                </c:pt>
                <c:pt idx="48">
                  <c:v>145.95878220578791</c:v>
                </c:pt>
                <c:pt idx="49">
                  <c:v>149.76399829691701</c:v>
                </c:pt>
                <c:pt idx="50">
                  <c:v>153.60041471982194</c:v>
                </c:pt>
                <c:pt idx="51">
                  <c:v>157.46803147450277</c:v>
                </c:pt>
                <c:pt idx="52">
                  <c:v>161.36684856095943</c:v>
                </c:pt>
                <c:pt idx="53">
                  <c:v>165.29686597919195</c:v>
                </c:pt>
                <c:pt idx="54">
                  <c:v>169.25808372920034</c:v>
                </c:pt>
                <c:pt idx="55">
                  <c:v>173.25050181098456</c:v>
                </c:pt>
                <c:pt idx="56">
                  <c:v>177.27412022454465</c:v>
                </c:pt>
                <c:pt idx="57">
                  <c:v>181.3289389698806</c:v>
                </c:pt>
                <c:pt idx="58">
                  <c:v>185.41495804699241</c:v>
                </c:pt>
                <c:pt idx="59">
                  <c:v>189.53217745588006</c:v>
                </c:pt>
                <c:pt idx="60">
                  <c:v>193.6805971965436</c:v>
                </c:pt>
                <c:pt idx="61">
                  <c:v>197.86021726898298</c:v>
                </c:pt>
                <c:pt idx="62">
                  <c:v>202.07103767319822</c:v>
                </c:pt>
                <c:pt idx="63">
                  <c:v>206.31305840918935</c:v>
                </c:pt>
                <c:pt idx="64">
                  <c:v>210.58627947695629</c:v>
                </c:pt>
                <c:pt idx="65">
                  <c:v>214.8907008764991</c:v>
                </c:pt>
                <c:pt idx="66">
                  <c:v>219.22632260781776</c:v>
                </c:pt>
                <c:pt idx="67">
                  <c:v>223.5931446709123</c:v>
                </c:pt>
                <c:pt idx="68">
                  <c:v>227.99116706578269</c:v>
                </c:pt>
                <c:pt idx="69">
                  <c:v>232.42038979242889</c:v>
                </c:pt>
                <c:pt idx="70">
                  <c:v>236.88081285085102</c:v>
                </c:pt>
                <c:pt idx="71">
                  <c:v>241.37243624104892</c:v>
                </c:pt>
                <c:pt idx="72">
                  <c:v>245.89525996302274</c:v>
                </c:pt>
                <c:pt idx="73">
                  <c:v>250.44928401677242</c:v>
                </c:pt>
                <c:pt idx="74">
                  <c:v>255.03450840229792</c:v>
                </c:pt>
                <c:pt idx="75">
                  <c:v>259.65093311959942</c:v>
                </c:pt>
                <c:pt idx="76">
                  <c:v>264.29855816867666</c:v>
                </c:pt>
                <c:pt idx="77">
                  <c:v>268.97738354952975</c:v>
                </c:pt>
                <c:pt idx="78">
                  <c:v>273.68740926215872</c:v>
                </c:pt>
                <c:pt idx="79">
                  <c:v>278.42863530656359</c:v>
                </c:pt>
                <c:pt idx="80">
                  <c:v>283.20106168274418</c:v>
                </c:pt>
                <c:pt idx="81">
                  <c:v>288.00468839070072</c:v>
                </c:pt>
                <c:pt idx="82">
                  <c:v>292.8395154304331</c:v>
                </c:pt>
                <c:pt idx="83">
                  <c:v>297.70554280194142</c:v>
                </c:pt>
                <c:pt idx="84">
                  <c:v>302.60277050522552</c:v>
                </c:pt>
                <c:pt idx="85">
                  <c:v>307.53119854028546</c:v>
                </c:pt>
                <c:pt idx="86">
                  <c:v>312.49082690712129</c:v>
                </c:pt>
                <c:pt idx="87">
                  <c:v>317.48165560573295</c:v>
                </c:pt>
                <c:pt idx="88">
                  <c:v>322.50368463612045</c:v>
                </c:pt>
                <c:pt idx="89">
                  <c:v>327.5569139982839</c:v>
                </c:pt>
                <c:pt idx="90">
                  <c:v>332.64134369222313</c:v>
                </c:pt>
                <c:pt idx="91">
                  <c:v>337.75697371793825</c:v>
                </c:pt>
                <c:pt idx="92">
                  <c:v>342.65398028691465</c:v>
                </c:pt>
                <c:pt idx="93">
                  <c:v>345.51455685876664</c:v>
                </c:pt>
                <c:pt idx="94">
                  <c:v>348.36780671460201</c:v>
                </c:pt>
                <c:pt idx="95">
                  <c:v>351.21387056664145</c:v>
                </c:pt>
                <c:pt idx="96">
                  <c:v>354.05288554678782</c:v>
                </c:pt>
                <c:pt idx="97">
                  <c:v>356.88498531977922</c:v>
                </c:pt>
                <c:pt idx="98">
                  <c:v>359.7103001920778</c:v>
                </c:pt>
                <c:pt idx="99">
                  <c:v>362.52895721668125</c:v>
                </c:pt>
                <c:pt idx="100">
                  <c:v>365.34108029403228</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72.197029386874021</c:v>
                </c:pt>
                <c:pt idx="13">
                  <c:v>79.831208299903068</c:v>
                </c:pt>
                <c:pt idx="14">
                  <c:v>86.695126053871917</c:v>
                </c:pt>
                <c:pt idx="15">
                  <c:v>88.684555225777046</c:v>
                </c:pt>
                <c:pt idx="16">
                  <c:v>90.672821496982422</c:v>
                </c:pt>
                <c:pt idx="17">
                  <c:v>92.662076978678485</c:v>
                </c:pt>
                <c:pt idx="18">
                  <c:v>94.654108923275274</c:v>
                </c:pt>
                <c:pt idx="19">
                  <c:v>96.65041448959299</c:v>
                </c:pt>
                <c:pt idx="20">
                  <c:v>98.652257386891065</c:v>
                </c:pt>
                <c:pt idx="21">
                  <c:v>100.66071143628687</c:v>
                </c:pt>
                <c:pt idx="22">
                  <c:v>102.67669452065904</c:v>
                </c:pt>
                <c:pt idx="23">
                  <c:v>104.70099536199072</c:v>
                </c:pt>
                <c:pt idx="24">
                  <c:v>106.73429487047287</c:v>
                </c:pt>
                <c:pt idx="25">
                  <c:v>108.77718333294769</c:v>
                </c:pt>
                <c:pt idx="26">
                  <c:v>110.83017437523948</c:v>
                </c:pt>
                <c:pt idx="27">
                  <c:v>112.89371639650922</c:v>
                </c:pt>
                <c:pt idx="28">
                  <c:v>114.96820200347416</c:v>
                </c:pt>
                <c:pt idx="29">
                  <c:v>117.05397584800865</c:v>
                </c:pt>
                <c:pt idx="30">
                  <c:v>119.15134117975288</c:v>
                </c:pt>
                <c:pt idx="31">
                  <c:v>121.26056535666362</c:v>
                </c:pt>
                <c:pt idx="32">
                  <c:v>123.38188450454786</c:v>
                </c:pt>
                <c:pt idx="33">
                  <c:v>122.7135826798459</c:v>
                </c:pt>
                <c:pt idx="34">
                  <c:v>121.21565517653241</c:v>
                </c:pt>
                <c:pt idx="35">
                  <c:v>119.8138194901252</c:v>
                </c:pt>
                <c:pt idx="36">
                  <c:v>118.50017724090071</c:v>
                </c:pt>
                <c:pt idx="37">
                  <c:v>117.26766944196697</c:v>
                </c:pt>
                <c:pt idx="38">
                  <c:v>116.10996765933972</c:v>
                </c:pt>
                <c:pt idx="39">
                  <c:v>115.02138171448524</c:v>
                </c:pt>
                <c:pt idx="40">
                  <c:v>113.99678106358959</c:v>
                </c:pt>
                <c:pt idx="41">
                  <c:v>113.03152754220744</c:v>
                </c:pt>
                <c:pt idx="42">
                  <c:v>112.12141760041487</c:v>
                </c:pt>
                <c:pt idx="43">
                  <c:v>148.43877655486216</c:v>
                </c:pt>
                <c:pt idx="44">
                  <c:v>150.70599079916303</c:v>
                </c:pt>
                <c:pt idx="45">
                  <c:v>153.08017252573819</c:v>
                </c:pt>
                <c:pt idx="46">
                  <c:v>155.55929874159867</c:v>
                </c:pt>
                <c:pt idx="47">
                  <c:v>158.1415419479579</c:v>
                </c:pt>
                <c:pt idx="48">
                  <c:v>160.82525036542171</c:v>
                </c:pt>
                <c:pt idx="49">
                  <c:v>163.6089305861947</c:v>
                </c:pt>
                <c:pt idx="50">
                  <c:v>166.49123231367622</c:v>
                </c:pt>
                <c:pt idx="51">
                  <c:v>169.47093490309288</c:v>
                </c:pt>
                <c:pt idx="52">
                  <c:v>172.54693546087449</c:v>
                </c:pt>
                <c:pt idx="53">
                  <c:v>175.71823829705218</c:v>
                </c:pt>
                <c:pt idx="54">
                  <c:v>178.98394555543908</c:v>
                </c:pt>
                <c:pt idx="55">
                  <c:v>182.34324887184653</c:v>
                </c:pt>
                <c:pt idx="56">
                  <c:v>185.79542193198066</c:v>
                </c:pt>
                <c:pt idx="57">
                  <c:v>189.33981381868406</c:v>
                </c:pt>
                <c:pt idx="58">
                  <c:v>192.97584305340925</c:v>
                </c:pt>
                <c:pt idx="59">
                  <c:v>196.70299224970523</c:v>
                </c:pt>
                <c:pt idx="60">
                  <c:v>200.52080330747029</c:v>
                </c:pt>
                <c:pt idx="61">
                  <c:v>204.42887308606487</c:v>
                </c:pt>
                <c:pt idx="62">
                  <c:v>208.42684950237174</c:v>
                </c:pt>
                <c:pt idx="63">
                  <c:v>212.51442800673985</c:v>
                </c:pt>
                <c:pt idx="64">
                  <c:v>216.69134839563182</c:v>
                </c:pt>
                <c:pt idx="65">
                  <c:v>220.95739192486801</c:v>
                </c:pt>
                <c:pt idx="66">
                  <c:v>225.31237869173896</c:v>
                </c:pt>
                <c:pt idx="67">
                  <c:v>229.75616525804921</c:v>
                </c:pt>
                <c:pt idx="68">
                  <c:v>234.28864248944501</c:v>
                </c:pt>
                <c:pt idx="69">
                  <c:v>238.90973358923881</c:v>
                </c:pt>
                <c:pt idx="70">
                  <c:v>243.61939230743826</c:v>
                </c:pt>
                <c:pt idx="71">
                  <c:v>248.4176013078598</c:v>
                </c:pt>
                <c:pt idx="72">
                  <c:v>253.304370678119</c:v>
                </c:pt>
                <c:pt idx="73">
                  <c:v>258.27973656895159</c:v>
                </c:pt>
                <c:pt idx="74">
                  <c:v>263.34375995079381</c:v>
                </c:pt>
                <c:pt idx="75">
                  <c:v>268.49652547683689</c:v>
                </c:pt>
                <c:pt idx="76">
                  <c:v>273.73814044291129</c:v>
                </c:pt>
                <c:pt idx="77">
                  <c:v>279.06873383555927</c:v>
                </c:pt>
                <c:pt idx="78">
                  <c:v>284.48845546054832</c:v>
                </c:pt>
                <c:pt idx="79">
                  <c:v>289.99747514486108</c:v>
                </c:pt>
                <c:pt idx="80">
                  <c:v>295.59598200589926</c:v>
                </c:pt>
                <c:pt idx="81">
                  <c:v>301.28418378226235</c:v>
                </c:pt>
                <c:pt idx="82">
                  <c:v>307.06230622101396</c:v>
                </c:pt>
                <c:pt idx="83">
                  <c:v>312.93059251684303</c:v>
                </c:pt>
                <c:pt idx="84">
                  <c:v>318.88930279896704</c:v>
                </c:pt>
                <c:pt idx="85">
                  <c:v>324.93871366202222</c:v>
                </c:pt>
                <c:pt idx="86">
                  <c:v>331.07911773753455</c:v>
                </c:pt>
                <c:pt idx="87">
                  <c:v>337.31082330288621</c:v>
                </c:pt>
                <c:pt idx="88">
                  <c:v>343.63415392497262</c:v>
                </c:pt>
                <c:pt idx="89">
                  <c:v>350.04944813600702</c:v>
                </c:pt>
                <c:pt idx="90">
                  <c:v>356.55705913915034</c:v>
                </c:pt>
                <c:pt idx="91">
                  <c:v>363.15735454186535</c:v>
                </c:pt>
                <c:pt idx="92">
                  <c:v>368.85489009321867</c:v>
                </c:pt>
                <c:pt idx="93">
                  <c:v>366.45575302650803</c:v>
                </c:pt>
                <c:pt idx="94">
                  <c:v>364.0889637693208</c:v>
                </c:pt>
                <c:pt idx="95">
                  <c:v>361.7538724793842</c:v>
                </c:pt>
                <c:pt idx="96">
                  <c:v>359.44984660507282</c:v>
                </c:pt>
                <c:pt idx="97">
                  <c:v>357.17627031413411</c:v>
                </c:pt>
                <c:pt idx="98">
                  <c:v>354.93254394491328</c:v>
                </c:pt>
                <c:pt idx="99">
                  <c:v>352.71808347905409</c:v>
                </c:pt>
                <c:pt idx="100">
                  <c:v>350.53232003469736</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15.483974185794409</c:v>
                </c:pt>
                <c:pt idx="1">
                  <c:v>20.727825315101743</c:v>
                </c:pt>
                <c:pt idx="2">
                  <c:v>29.39553768570098</c:v>
                </c:pt>
                <c:pt idx="3">
                  <c:v>38.063253556706904</c:v>
                </c:pt>
                <c:pt idx="4">
                  <c:v>46.730972928236881</c:v>
                </c:pt>
                <c:pt idx="5">
                  <c:v>55.398695800408298</c:v>
                </c:pt>
                <c:pt idx="6">
                  <c:v>64.066422173338495</c:v>
                </c:pt>
                <c:pt idx="7">
                  <c:v>72.734152047144875</c:v>
                </c:pt>
                <c:pt idx="8">
                  <c:v>81.40188542194484</c:v>
                </c:pt>
                <c:pt idx="9">
                  <c:v>90.06962229785573</c:v>
                </c:pt>
                <c:pt idx="10">
                  <c:v>98.737362674995012</c:v>
                </c:pt>
                <c:pt idx="11">
                  <c:v>107.40510655348</c:v>
                </c:pt>
                <c:pt idx="12">
                  <c:v>119.71685062142896</c:v>
                </c:pt>
                <c:pt idx="13">
                  <c:v>139.4740770125762</c:v>
                </c:pt>
                <c:pt idx="14">
                  <c:v>158.9244624468507</c:v>
                </c:pt>
                <c:pt idx="15">
                  <c:v>170.38538442526908</c:v>
                </c:pt>
                <c:pt idx="16">
                  <c:v>181.857141695872</c:v>
                </c:pt>
                <c:pt idx="17">
                  <c:v>193.33940427209453</c:v>
                </c:pt>
                <c:pt idx="18">
                  <c:v>204.8318721279243</c:v>
                </c:pt>
                <c:pt idx="19">
                  <c:v>216.33427096149381</c:v>
                </c:pt>
                <c:pt idx="20">
                  <c:v>227.84634875232774</c:v>
                </c:pt>
                <c:pt idx="21">
                  <c:v>239.36787293074264</c:v>
                </c:pt>
                <c:pt idx="22">
                  <c:v>250.89862802618956</c:v>
                </c:pt>
                <c:pt idx="23">
                  <c:v>262.43841369513814</c:v>
                </c:pt>
                <c:pt idx="24">
                  <c:v>273.98704305320842</c:v>
                </c:pt>
                <c:pt idx="25">
                  <c:v>285.54434125374922</c:v>
                </c:pt>
                <c:pt idx="26">
                  <c:v>297.11014426793702</c:v>
                </c:pt>
                <c:pt idx="27">
                  <c:v>308.6842978310965</c:v>
                </c:pt>
                <c:pt idx="28">
                  <c:v>320.26665652721528</c:v>
                </c:pt>
                <c:pt idx="29">
                  <c:v>331.85708298919297</c:v>
                </c:pt>
                <c:pt idx="30">
                  <c:v>343.45544719667413</c:v>
                </c:pt>
                <c:pt idx="31">
                  <c:v>355.06162585667323</c:v>
                </c:pt>
                <c:pt idx="32">
                  <c:v>366.67550185485408</c:v>
                </c:pt>
                <c:pt idx="33">
                  <c:v>370.45334023031967</c:v>
                </c:pt>
                <c:pt idx="34">
                  <c:v>371.6480477220008</c:v>
                </c:pt>
                <c:pt idx="35">
                  <c:v>372.84072930034927</c:v>
                </c:pt>
                <c:pt idx="36">
                  <c:v>374.03147878096183</c:v>
                </c:pt>
                <c:pt idx="37">
                  <c:v>375.22038349707594</c:v>
                </c:pt>
                <c:pt idx="38">
                  <c:v>376.4075249094297</c:v>
                </c:pt>
                <c:pt idx="39">
                  <c:v>377.59297914430044</c:v>
                </c:pt>
                <c:pt idx="40">
                  <c:v>378.77681746979977</c:v>
                </c:pt>
                <c:pt idx="41">
                  <c:v>379.9591067188673</c:v>
                </c:pt>
                <c:pt idx="42">
                  <c:v>381.13990966607588</c:v>
                </c:pt>
                <c:pt idx="43">
                  <c:v>570.35135418941411</c:v>
                </c:pt>
                <c:pt idx="44">
                  <c:v>585.71875785207669</c:v>
                </c:pt>
                <c:pt idx="45">
                  <c:v>601.18367917801572</c:v>
                </c:pt>
                <c:pt idx="46">
                  <c:v>616.74629166439126</c:v>
                </c:pt>
                <c:pt idx="47">
                  <c:v>632.40677297592663</c:v>
                </c:pt>
                <c:pt idx="48">
                  <c:v>648.16530496330836</c:v>
                </c:pt>
                <c:pt idx="49">
                  <c:v>664.02207368204427</c:v>
                </c:pt>
                <c:pt idx="50">
                  <c:v>679.97726941178257</c:v>
                </c:pt>
                <c:pt idx="51">
                  <c:v>696.03108667609774</c:v>
                </c:pt>
                <c:pt idx="52">
                  <c:v>712.18372426274595</c:v>
                </c:pt>
                <c:pt idx="53">
                  <c:v>728.43538524439566</c:v>
                </c:pt>
                <c:pt idx="54">
                  <c:v>744.78627699983224</c:v>
                </c:pt>
                <c:pt idx="55">
                  <c:v>761.23661123564909</c:v>
                </c:pt>
                <c:pt idx="56">
                  <c:v>777.78660400842284</c:v>
                </c:pt>
                <c:pt idx="57">
                  <c:v>794.43647574737781</c:v>
                </c:pt>
                <c:pt idx="58">
                  <c:v>811.18645127755053</c:v>
                </c:pt>
                <c:pt idx="59">
                  <c:v>828.0367598434467</c:v>
                </c:pt>
                <c:pt idx="60">
                  <c:v>844.98763513321035</c:v>
                </c:pt>
                <c:pt idx="61">
                  <c:v>862.03931530329658</c:v>
                </c:pt>
                <c:pt idx="62">
                  <c:v>879.19204300366198</c:v>
                </c:pt>
                <c:pt idx="63">
                  <c:v>896.44606540347115</c:v>
                </c:pt>
                <c:pt idx="64">
                  <c:v>913.80163421733346</c:v>
                </c:pt>
                <c:pt idx="65">
                  <c:v>931.2590057320607</c:v>
                </c:pt>
                <c:pt idx="66">
                  <c:v>948.81844083396788</c:v>
                </c:pt>
                <c:pt idx="67">
                  <c:v>966.4802050367116</c:v>
                </c:pt>
                <c:pt idx="68">
                  <c:v>984.2445685096734</c:v>
                </c:pt>
                <c:pt idx="69">
                  <c:v>1002.1118061068979</c:v>
                </c:pt>
                <c:pt idx="70">
                  <c:v>1020.082197396587</c:v>
                </c:pt>
                <c:pt idx="71">
                  <c:v>1038.1560266911574</c:v>
                </c:pt>
                <c:pt idx="72">
                  <c:v>1056.3335830778717</c:v>
                </c:pt>
                <c:pt idx="73">
                  <c:v>1074.615160450041</c:v>
                </c:pt>
                <c:pt idx="74">
                  <c:v>1093.0010575388153</c:v>
                </c:pt>
                <c:pt idx="75">
                  <c:v>1111.4915779455587</c:v>
                </c:pt>
                <c:pt idx="76">
                  <c:v>1130.0870301748253</c:v>
                </c:pt>
                <c:pt idx="77">
                  <c:v>1148.787727667931</c:v>
                </c:pt>
                <c:pt idx="78">
                  <c:v>1167.5939888371454</c:v>
                </c:pt>
                <c:pt idx="79">
                  <c:v>1186.5061371004906</c:v>
                </c:pt>
                <c:pt idx="80">
                  <c:v>1205.5245009171708</c:v>
                </c:pt>
                <c:pt idx="81">
                  <c:v>1224.6494138236296</c:v>
                </c:pt>
                <c:pt idx="82">
                  <c:v>1243.881214470249</c:v>
                </c:pt>
                <c:pt idx="83">
                  <c:v>1263.2202466586953</c:v>
                </c:pt>
                <c:pt idx="84">
                  <c:v>1282.6668593799168</c:v>
                </c:pt>
                <c:pt idx="85">
                  <c:v>1302.2214068528101</c:v>
                </c:pt>
                <c:pt idx="86">
                  <c:v>1321.8842485635507</c:v>
                </c:pt>
                <c:pt idx="87">
                  <c:v>1341.6557493056084</c:v>
                </c:pt>
                <c:pt idx="88">
                  <c:v>1361.5362792204473</c:v>
                </c:pt>
                <c:pt idx="89">
                  <c:v>1381.5262138389271</c:v>
                </c:pt>
                <c:pt idx="90">
                  <c:v>1401.6259341234002</c:v>
                </c:pt>
                <c:pt idx="91">
                  <c:v>1421.8358265105398</c:v>
                </c:pt>
                <c:pt idx="92">
                  <c:v>1439.163425030345</c:v>
                </c:pt>
                <c:pt idx="93">
                  <c:v>1432.0783463176415</c:v>
                </c:pt>
                <c:pt idx="94">
                  <c:v>1425.0846200967537</c:v>
                </c:pt>
                <c:pt idx="95">
                  <c:v>1418.1804908788722</c:v>
                </c:pt>
                <c:pt idx="96">
                  <c:v>1411.3642478685431</c:v>
                </c:pt>
                <c:pt idx="97">
                  <c:v>1404.6342235503355</c:v>
                </c:pt>
                <c:pt idx="98">
                  <c:v>1397.9887923288077</c:v>
                </c:pt>
                <c:pt idx="99">
                  <c:v>1391.4263692194354</c:v>
                </c:pt>
                <c:pt idx="100">
                  <c:v>1384.9454085882926</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11"/>
</file>

<file path=xl/ctrlProps/ctrlProp3.xml><?xml version="1.0" encoding="utf-8"?>
<formControlPr xmlns="http://schemas.microsoft.com/office/spreadsheetml/2009/9/main" objectType="Drop" dropStyle="combo" dx="22" fmlaLink="'Variable Mgmt'!$J$64" fmlaRange="'Variable Mgmt'!$I$62:$I$63" noThreeD="1" sel="1" val="0"/>
</file>

<file path=xl/ctrlProps/ctrlProp4.xml><?xml version="1.0" encoding="utf-8"?>
<formControlPr xmlns="http://schemas.microsoft.com/office/spreadsheetml/2009/9/main" objectType="Drop" dropLines="2" dropStyle="combo" dx="22" fmlaLink="'Variable Mgmt'!$G$64" fmlaRange="'Variable Mgmt'!$F$62:$F$63" noThreeD="1" sel="1" val="0"/>
</file>

<file path=xl/ctrlProps/ctrlProp5.xml><?xml version="1.0" encoding="utf-8"?>
<formControlPr xmlns="http://schemas.microsoft.com/office/spreadsheetml/2009/9/main" objectType="Drop" dropLines="10" dropStyle="combo" dx="22" fmlaLink="'Variable Mgmt'!$S$45" fmlaRange="'Variable Mgmt'!$R$28:$R$43" noThreeD="1" sel="13" val="6"/>
</file>

<file path=xl/ctrlProps/ctrlProp6.xml><?xml version="1.0" encoding="utf-8"?>
<formControlPr xmlns="http://schemas.microsoft.com/office/spreadsheetml/2009/9/main" objectType="Drop" dropStyle="combo" dx="22" fmlaLink="'Variable Mgmt'!$G$58" fmlaRange="'Variable Mgmt'!$F$56:$F$57" noThreeD="1" sel="1"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5"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144780</xdr:colOff>
          <xdr:row>0</xdr:row>
          <xdr:rowOff>381000</xdr:rowOff>
        </xdr:from>
        <xdr:to>
          <xdr:col>24</xdr:col>
          <xdr:colOff>525780</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661"/>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662"/>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100µF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22µF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0.5A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129540</xdr:colOff>
          <xdr:row>6</xdr:row>
          <xdr:rowOff>15240</xdr:rowOff>
        </xdr:from>
        <xdr:to>
          <xdr:col>5</xdr:col>
          <xdr:colOff>304800</xdr:colOff>
          <xdr:row>7</xdr:row>
          <xdr:rowOff>30480</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196kΩ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9V...13V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15240</xdr:colOff>
          <xdr:row>28</xdr:row>
          <xdr:rowOff>0</xdr:rowOff>
        </xdr:from>
        <xdr:to>
          <xdr:col>5</xdr:col>
          <xdr:colOff>281940</xdr:colOff>
          <xdr:row>29</xdr:row>
          <xdr:rowOff>30480</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Rtc</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787kΩ</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15240</xdr:colOff>
          <xdr:row>34</xdr:row>
          <xdr:rowOff>0</xdr:rowOff>
        </xdr:from>
        <xdr:to>
          <xdr:col>5</xdr:col>
          <xdr:colOff>259080</xdr:colOff>
          <xdr:row>35</xdr:row>
          <xdr:rowOff>2540</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Ruv1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Ruv2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15240</xdr:colOff>
          <xdr:row>11</xdr:row>
          <xdr:rowOff>0</xdr:rowOff>
        </xdr:from>
        <xdr:to>
          <xdr:col>12</xdr:col>
          <xdr:colOff>68580</xdr:colOff>
          <xdr:row>12</xdr:row>
          <xdr:rowOff>15240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15240</xdr:rowOff>
        </xdr:from>
        <xdr:to>
          <xdr:col>5</xdr:col>
          <xdr:colOff>266700</xdr:colOff>
          <xdr:row>32</xdr:row>
          <xdr:rowOff>15240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80.2%</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663"/>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4</xdr:row>
          <xdr:rowOff>15240</xdr:rowOff>
        </xdr:from>
        <xdr:to>
          <xdr:col>5</xdr:col>
          <xdr:colOff>403860</xdr:colOff>
          <xdr:row>5</xdr:row>
          <xdr:rowOff>1129</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9.75V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15240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15240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15240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15240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15240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15240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15240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15240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15240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15240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15240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15240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15240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379"/>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100µF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22µF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0.5A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196kΩ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9V...13V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Rtc</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787kΩ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Ruv1</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Ruv2</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899160</xdr:colOff>
          <xdr:row>32</xdr:row>
          <xdr:rowOff>15240</xdr:rowOff>
        </xdr:from>
        <xdr:to>
          <xdr:col>6</xdr:col>
          <xdr:colOff>868680</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15240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129540</xdr:rowOff>
        </xdr:from>
        <xdr:to>
          <xdr:col>1</xdr:col>
          <xdr:colOff>396240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182880</xdr:colOff>
          <xdr:row>111</xdr:row>
          <xdr:rowOff>144780</xdr:rowOff>
        </xdr:from>
        <xdr:to>
          <xdr:col>36</xdr:col>
          <xdr:colOff>15240</xdr:colOff>
          <xdr:row>125</xdr:row>
          <xdr:rowOff>144780</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80.2%</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80.2%</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80.2%</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80.2%</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11"/>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534"/>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909000" y="65171955"/>
          <a:ext cx="0" cy="433768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topLeftCell="H3" zoomScale="85" zoomScaleNormal="85" zoomScaleSheetLayoutView="70" workbookViewId="0">
      <selection activeCell="E33" sqref="E33"/>
    </sheetView>
  </sheetViews>
  <sheetFormatPr defaultColWidth="9.21875" defaultRowHeight="13.8" x14ac:dyDescent="0.3"/>
  <cols>
    <col min="1" max="1" width="8.21875" style="86" customWidth="1"/>
    <col min="2" max="2" width="8.21875" style="35" customWidth="1"/>
    <col min="3" max="3" width="13.5546875" style="35" customWidth="1"/>
    <col min="4" max="4" width="9.77734375" style="35" customWidth="1"/>
    <col min="5" max="5" width="9.21875" style="35" customWidth="1"/>
    <col min="6" max="6" width="8.77734375" style="35" customWidth="1"/>
    <col min="7" max="7" width="2.77734375" style="35" customWidth="1"/>
    <col min="8" max="9" width="8.21875" style="35" customWidth="1"/>
    <col min="10" max="10" width="13.77734375" style="35" customWidth="1"/>
    <col min="11" max="11" width="10" style="35" customWidth="1"/>
    <col min="12" max="12" width="9.44140625" style="35" customWidth="1"/>
    <col min="13" max="13" width="8.77734375" style="35" customWidth="1"/>
    <col min="14" max="15" width="9.21875" style="35"/>
    <col min="16" max="18" width="10.21875" style="35" customWidth="1"/>
    <col min="19" max="19" width="10" style="35" bestFit="1" customWidth="1"/>
    <col min="20" max="25" width="9.21875" style="35"/>
    <col min="26" max="26" width="29" style="35" customWidth="1"/>
    <col min="27" max="27" width="3.21875" style="35" customWidth="1"/>
    <col min="28" max="16384" width="9.21875" style="35"/>
  </cols>
  <sheetData>
    <row r="1" spans="1:27" ht="47.25" customHeight="1" x14ac:dyDescent="0.3">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55000000000000004">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05" customHeight="1" x14ac:dyDescent="0.55000000000000004">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4">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4">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3">
      <c r="A6" s="119"/>
      <c r="B6" s="120"/>
      <c r="C6" s="121"/>
      <c r="D6" s="122" t="s">
        <v>370</v>
      </c>
      <c r="E6" s="123">
        <v>9</v>
      </c>
      <c r="F6" s="369" t="s">
        <v>0</v>
      </c>
      <c r="G6" s="71"/>
      <c r="H6" s="394"/>
      <c r="I6" s="441"/>
      <c r="J6" s="181"/>
      <c r="K6" s="442" t="s">
        <v>675</v>
      </c>
      <c r="L6" s="627">
        <f>Lmin</f>
        <v>3.9701219512195127</v>
      </c>
      <c r="M6" s="548" t="s">
        <v>96</v>
      </c>
      <c r="N6" s="38"/>
      <c r="O6" s="38"/>
      <c r="P6" s="38"/>
      <c r="Q6" s="38"/>
      <c r="R6" s="58"/>
      <c r="S6" s="58"/>
      <c r="T6" s="58"/>
      <c r="U6" s="58"/>
      <c r="V6" s="58"/>
      <c r="W6" s="58"/>
      <c r="X6" s="58"/>
      <c r="Y6" s="58"/>
      <c r="Z6" s="439"/>
      <c r="AA6" s="349"/>
    </row>
    <row r="7" spans="1:27" ht="14.25" customHeight="1" x14ac:dyDescent="0.35">
      <c r="A7" s="113"/>
      <c r="B7" s="112"/>
      <c r="C7" s="114"/>
      <c r="D7" s="124" t="s">
        <v>371</v>
      </c>
      <c r="E7" s="125">
        <v>11.1</v>
      </c>
      <c r="F7" s="370" t="s">
        <v>0</v>
      </c>
      <c r="G7" s="71"/>
      <c r="H7" s="69"/>
      <c r="I7" s="70"/>
      <c r="J7" s="68"/>
      <c r="K7" s="79" t="s">
        <v>368</v>
      </c>
      <c r="L7" s="125">
        <v>9</v>
      </c>
      <c r="M7" s="370" t="s">
        <v>96</v>
      </c>
      <c r="N7" s="38"/>
      <c r="O7" s="38"/>
      <c r="P7" s="38"/>
      <c r="Q7" s="38"/>
      <c r="R7" s="58"/>
      <c r="S7" s="58"/>
      <c r="T7" s="58"/>
      <c r="U7" s="58"/>
      <c r="V7" s="58"/>
      <c r="W7" s="58"/>
      <c r="X7" s="58"/>
      <c r="Y7" s="58"/>
      <c r="Z7" s="439"/>
      <c r="AA7" s="349"/>
    </row>
    <row r="8" spans="1:27" ht="15.75" customHeight="1" x14ac:dyDescent="0.3">
      <c r="A8" s="113"/>
      <c r="B8" s="112"/>
      <c r="C8" s="114"/>
      <c r="D8" s="124" t="s">
        <v>372</v>
      </c>
      <c r="E8" s="125">
        <v>13</v>
      </c>
      <c r="F8" s="370" t="s">
        <v>0</v>
      </c>
      <c r="G8" s="71"/>
      <c r="H8" s="69"/>
      <c r="I8" s="70"/>
      <c r="J8" s="68"/>
      <c r="K8" s="79" t="s">
        <v>537</v>
      </c>
      <c r="L8" s="125">
        <v>85</v>
      </c>
      <c r="M8" s="370" t="s">
        <v>20</v>
      </c>
      <c r="N8" s="38"/>
      <c r="O8" s="38"/>
      <c r="P8" s="38"/>
      <c r="Q8" s="38"/>
      <c r="R8" s="58"/>
      <c r="S8" s="58"/>
      <c r="T8" s="58"/>
      <c r="U8" s="58"/>
      <c r="V8" s="58"/>
      <c r="W8" s="58"/>
      <c r="X8" s="58"/>
      <c r="Y8" s="58"/>
      <c r="Z8" s="439"/>
      <c r="AA8" s="349"/>
    </row>
    <row r="9" spans="1:27" ht="15.75" customHeight="1" x14ac:dyDescent="0.3">
      <c r="A9" s="113"/>
      <c r="B9" s="112"/>
      <c r="C9" s="114"/>
      <c r="D9" s="124" t="s">
        <v>369</v>
      </c>
      <c r="E9" s="506"/>
      <c r="F9" s="126"/>
      <c r="G9" s="71"/>
      <c r="H9" s="69"/>
      <c r="I9" s="70"/>
      <c r="J9" s="68"/>
      <c r="K9" s="79" t="str">
        <f>CHOOSE(MODE, "Secondary Winding DCR", "Secondary Winding #1 DCR")</f>
        <v>Secondary Winding DCR</v>
      </c>
      <c r="L9" s="125">
        <v>190</v>
      </c>
      <c r="M9" s="370" t="s">
        <v>20</v>
      </c>
      <c r="N9" s="38"/>
      <c r="O9" s="38"/>
      <c r="P9" s="38"/>
      <c r="Q9" s="38"/>
      <c r="R9" s="58"/>
      <c r="S9" s="58"/>
      <c r="T9" s="58"/>
      <c r="U9" s="58"/>
      <c r="V9" s="58"/>
      <c r="W9" s="58"/>
      <c r="X9" s="58"/>
      <c r="Y9" s="58"/>
      <c r="Z9" s="439"/>
      <c r="AA9" s="349"/>
    </row>
    <row r="10" spans="1:27" ht="15.75" customHeight="1" x14ac:dyDescent="0.3">
      <c r="A10" s="113"/>
      <c r="B10" s="112"/>
      <c r="C10" s="114"/>
      <c r="D10" s="124" t="str">
        <f>CHOOSE(MODE, "Output Voltage, VOUT ", "Output Voltage, VOUT1")</f>
        <v xml:space="preserve">Output Voltage, VOUT </v>
      </c>
      <c r="E10" s="125">
        <v>15</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35">
      <c r="A11" s="116"/>
      <c r="B11" s="132"/>
      <c r="C11" s="440"/>
      <c r="D11" s="444" t="str">
        <f>CHOOSE(MODE, "Rated Output Current, IOUT ", "Rated Output Current, IOUT1")</f>
        <v xml:space="preserve">Rated Output Current, IOUT </v>
      </c>
      <c r="E11" s="445">
        <v>0.5</v>
      </c>
      <c r="F11" s="446" t="s">
        <v>1</v>
      </c>
      <c r="G11" s="71"/>
      <c r="H11" s="69"/>
      <c r="I11" s="58"/>
      <c r="J11" s="58"/>
      <c r="K11" s="79" t="s">
        <v>679</v>
      </c>
      <c r="L11" s="125">
        <v>1000</v>
      </c>
      <c r="M11" s="370" t="s">
        <v>678</v>
      </c>
      <c r="N11" s="38"/>
      <c r="O11" s="38"/>
      <c r="P11" s="38"/>
      <c r="Q11" s="38"/>
      <c r="R11" s="58"/>
      <c r="S11" s="58"/>
      <c r="T11" s="58"/>
      <c r="U11" s="58"/>
      <c r="V11" s="58"/>
      <c r="W11" s="58"/>
      <c r="X11" s="58"/>
      <c r="Y11" s="58"/>
      <c r="Z11" s="439"/>
      <c r="AA11" s="349"/>
    </row>
    <row r="12" spans="1:27" ht="15.75" customHeight="1" x14ac:dyDescent="0.3">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3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21</v>
      </c>
      <c r="M13" s="82" t="str">
        <f>CHOOSE(MODE, "V", "")</f>
        <v>V</v>
      </c>
      <c r="N13" s="38"/>
      <c r="O13" s="38"/>
      <c r="P13" s="38"/>
      <c r="Q13" s="38"/>
      <c r="R13" s="58"/>
      <c r="S13" s="58"/>
      <c r="T13" s="58"/>
      <c r="U13" s="58"/>
      <c r="V13" s="58"/>
      <c r="W13" s="58"/>
      <c r="X13" s="58"/>
      <c r="Y13" s="58"/>
      <c r="Z13" s="439"/>
      <c r="AA13" s="349"/>
    </row>
    <row r="14" spans="1:27" ht="15.75" customHeight="1" x14ac:dyDescent="0.3">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3">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0.51270504201680678</v>
      </c>
      <c r="M15" s="550" t="str">
        <f>CHOOSE(MODE, "A", "W")</f>
        <v>A</v>
      </c>
      <c r="N15" s="38"/>
      <c r="O15" s="38"/>
      <c r="P15" s="38"/>
      <c r="Q15" s="38"/>
      <c r="R15" s="58"/>
      <c r="S15" s="58"/>
      <c r="T15" s="58"/>
      <c r="U15" s="58"/>
      <c r="V15" s="58"/>
      <c r="W15" s="58"/>
      <c r="X15" s="58"/>
      <c r="Y15" s="58"/>
      <c r="Z15" s="439"/>
      <c r="AA15" s="349"/>
    </row>
    <row r="16" spans="1:27" ht="16.5" customHeight="1" thickBot="1" x14ac:dyDescent="0.4">
      <c r="A16" s="85" t="s">
        <v>297</v>
      </c>
      <c r="B16" s="73"/>
      <c r="C16" s="74"/>
      <c r="D16" s="74"/>
      <c r="E16" s="75"/>
      <c r="F16" s="74"/>
      <c r="G16" s="71"/>
      <c r="H16" s="625"/>
      <c r="I16" s="38"/>
      <c r="J16" s="38"/>
      <c r="K16" s="182" t="s">
        <v>673</v>
      </c>
      <c r="L16" s="635">
        <f>Don_Vinmin*100</f>
        <v>46.107784431137731</v>
      </c>
      <c r="M16" s="550" t="s">
        <v>674</v>
      </c>
      <c r="N16" s="38"/>
      <c r="O16" s="38"/>
      <c r="P16" s="38"/>
      <c r="Q16" s="38"/>
      <c r="R16" s="58"/>
      <c r="S16" s="58"/>
      <c r="T16" s="58"/>
      <c r="U16" s="58"/>
      <c r="V16" s="58"/>
      <c r="W16" s="58"/>
      <c r="X16" s="58"/>
      <c r="Y16" s="58"/>
      <c r="Z16" s="439"/>
      <c r="AA16" s="349"/>
    </row>
    <row r="17" spans="1:27" ht="15.75" customHeight="1" x14ac:dyDescent="0.3">
      <c r="A17" s="329"/>
      <c r="B17" s="501"/>
      <c r="C17" s="443"/>
      <c r="D17" s="181" t="s">
        <v>315</v>
      </c>
      <c r="E17" s="529">
        <f>'Variable Mgmt'!B127</f>
        <v>5.8444865980091505</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35">
      <c r="A18" s="76"/>
      <c r="B18" s="70"/>
      <c r="C18" s="74"/>
      <c r="D18" s="79" t="s">
        <v>141</v>
      </c>
      <c r="E18" s="77">
        <v>22</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3">
      <c r="A19" s="76"/>
      <c r="B19" s="70"/>
      <c r="C19" s="129"/>
      <c r="D19" s="124" t="s">
        <v>104</v>
      </c>
      <c r="E19" s="125">
        <v>3</v>
      </c>
      <c r="F19" s="370" t="s">
        <v>20</v>
      </c>
      <c r="G19" s="71"/>
      <c r="H19" s="70"/>
      <c r="I19" s="38"/>
      <c r="J19" s="38"/>
      <c r="K19" s="630" t="s">
        <v>809</v>
      </c>
      <c r="L19" s="631">
        <f>'Calculations - Single'!U105</f>
        <v>3.6773065493692116</v>
      </c>
      <c r="M19" s="70" t="s">
        <v>1</v>
      </c>
      <c r="N19" s="38"/>
      <c r="O19" s="38"/>
      <c r="P19" s="38"/>
      <c r="Q19" s="38"/>
      <c r="R19" s="58"/>
      <c r="S19" s="58"/>
      <c r="T19" s="58"/>
      <c r="U19" s="58"/>
      <c r="V19" s="58"/>
      <c r="W19" s="58"/>
      <c r="X19" s="58"/>
      <c r="Y19" s="58"/>
      <c r="Z19" s="439"/>
      <c r="AA19" s="349"/>
    </row>
    <row r="20" spans="1:27" ht="15.75" customHeight="1" thickBot="1" x14ac:dyDescent="0.4">
      <c r="A20" s="80"/>
      <c r="B20" s="81"/>
      <c r="C20" s="87"/>
      <c r="D20" s="182" t="s">
        <v>506</v>
      </c>
      <c r="E20" s="183">
        <f>Vinripple2</f>
        <v>149.69270961111945</v>
      </c>
      <c r="F20" s="84" t="s">
        <v>103</v>
      </c>
      <c r="G20" s="71"/>
      <c r="H20" s="70"/>
      <c r="I20" s="38"/>
      <c r="J20" s="38"/>
      <c r="K20" s="632" t="s">
        <v>810</v>
      </c>
      <c r="L20" s="633">
        <f>Nps*L19</f>
        <v>1.8386532746846058</v>
      </c>
      <c r="M20" s="83" t="s">
        <v>1</v>
      </c>
      <c r="N20" s="38"/>
      <c r="O20" s="38"/>
      <c r="P20" s="38"/>
      <c r="Q20" s="38"/>
      <c r="R20" s="58"/>
      <c r="S20" s="58"/>
      <c r="T20" s="58"/>
      <c r="U20" s="58"/>
      <c r="V20" s="58"/>
      <c r="W20" s="58"/>
      <c r="X20" s="58"/>
      <c r="Y20" s="58"/>
      <c r="Z20" s="439"/>
      <c r="AA20" s="349"/>
    </row>
    <row r="21" spans="1:27" ht="15.75" customHeight="1" thickBot="1" x14ac:dyDescent="0.35">
      <c r="A21" s="364"/>
      <c r="B21" s="365"/>
      <c r="C21" s="366"/>
      <c r="D21" s="366" t="str">
        <f>CHOOSE(MODE, "Minimum Output Capacitance", "Minimum Output Capacitance, Output #1")</f>
        <v>Minimum Output Capacitance</v>
      </c>
      <c r="E21" s="629">
        <f>'Variable Mgmt'!B102</f>
        <v>17.910795069528412</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3">
      <c r="A22" s="69"/>
      <c r="B22" s="70"/>
      <c r="C22" s="114"/>
      <c r="D22" s="130" t="s">
        <v>140</v>
      </c>
      <c r="E22" s="125">
        <v>100</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3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4">
      <c r="A24" s="80"/>
      <c r="B24" s="83"/>
      <c r="C24" s="83"/>
      <c r="D24" s="182" t="str">
        <f>CHOOSE(MODE, "Resulting Output Voltage Ripple", "Resulting Output Voltage Ripple, Output #1")</f>
        <v>Resulting Output Voltage Ripple</v>
      </c>
      <c r="E24" s="183">
        <f>Vripple1_actual</f>
        <v>18.495773070367665</v>
      </c>
      <c r="F24" s="84" t="s">
        <v>103</v>
      </c>
      <c r="G24" s="510"/>
      <c r="H24" s="83"/>
      <c r="I24" s="437"/>
      <c r="J24" s="436"/>
      <c r="K24" s="182" t="str">
        <f>CHOOSE(MODE, "", "Resulting Output Voltage Ripple, Output #2")</f>
        <v/>
      </c>
      <c r="L24" s="183">
        <f>Vripple2_actual</f>
        <v>3.4875494107962228</v>
      </c>
      <c r="M24" s="84" t="s">
        <v>103</v>
      </c>
      <c r="N24" s="38"/>
      <c r="O24" s="38"/>
      <c r="P24" s="38"/>
      <c r="Q24" s="38"/>
      <c r="R24" s="58"/>
      <c r="S24" s="58"/>
      <c r="T24" s="58"/>
      <c r="U24" s="58"/>
      <c r="V24" s="58"/>
      <c r="W24" s="58"/>
      <c r="X24" s="58"/>
      <c r="Y24" s="58"/>
      <c r="Z24" s="439"/>
      <c r="AA24" s="349"/>
    </row>
    <row r="25" spans="1:27" ht="13.5" customHeight="1" x14ac:dyDescent="0.3">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3">
      <c r="A27" s="119"/>
      <c r="B27" s="120"/>
      <c r="C27" s="181"/>
      <c r="D27" s="181" t="s">
        <v>374</v>
      </c>
      <c r="E27" s="503">
        <f>Rfb_recommend</f>
        <v>76.599999999999994</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35">
      <c r="A28" s="113"/>
      <c r="B28" s="112"/>
      <c r="C28" s="114"/>
      <c r="D28" s="130" t="s">
        <v>373</v>
      </c>
      <c r="E28" s="131">
        <v>196</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3">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3">
      <c r="A30" s="113"/>
      <c r="B30" s="112"/>
      <c r="C30" s="112"/>
      <c r="D30" s="128" t="str">
        <f>CHOOSE(MODE_SS,"Soft-Start Time","*Leave SS Pin Open or Supply by Ext. Bias")</f>
        <v>Soft-Start Time</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4">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3">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3">
      <c r="A33" s="113"/>
      <c r="B33" s="112"/>
      <c r="C33" s="112"/>
      <c r="D33" s="67" t="str">
        <f>CHOOSE(TC,"Diode Voltage Drop Thermal Coefficient","*Leave TC Pin Open")</f>
        <v>Diode Voltage Drop Thermal Coefficient</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35">
      <c r="A34" s="116"/>
      <c r="B34" s="132"/>
      <c r="C34" s="132"/>
      <c r="D34" s="440" t="s">
        <v>388</v>
      </c>
      <c r="E34" s="457">
        <f>RTC</f>
        <v>787</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3">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3">
      <c r="A36" s="113"/>
      <c r="B36" s="112"/>
      <c r="C36" s="129"/>
      <c r="D36" s="130" t="str">
        <f>CHOOSE(MODE_UVLO, "Input UVLO Turn-On Threshold", "*Connect EN pin to VIN or Logic HIGH")</f>
        <v>Input UVLO Turn-On Threshold</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35">
      <c r="A37" s="116"/>
      <c r="B37" s="132"/>
      <c r="C37" s="132"/>
      <c r="D37" s="374" t="str">
        <f>CHOOSE(MODE_UVLO, "Input UVLO Turn-Off Threshold", "")</f>
        <v>Input UVLO Turn-Off Threshold</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3">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3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3">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3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3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3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3">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3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5">
      <c r="A46" s="69"/>
      <c r="B46" s="70"/>
      <c r="C46" s="70"/>
      <c r="D46" s="68" t="s">
        <v>798</v>
      </c>
      <c r="E46" s="316">
        <f>CHOOSE(MODE, 'Calculations - Single'!BP105, 'Calculations - Dual'!BO105)</f>
        <v>309.50182057576768</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4">
      <c r="A47" s="80"/>
      <c r="B47" s="81"/>
      <c r="C47" s="81"/>
      <c r="D47" s="318" t="s">
        <v>799</v>
      </c>
      <c r="E47" s="447">
        <f>E45+E46/1000*ThetaJA</f>
        <v>67.689574643606477</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3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3">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3">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3">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3">
      <c r="A52" s="658"/>
      <c r="B52" s="70"/>
      <c r="C52" s="70"/>
      <c r="D52" s="68" t="s">
        <v>853</v>
      </c>
      <c r="E52" s="316">
        <f>(VIN_max/Npri_sec1+E10)*1.5</f>
        <v>61.5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3">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3">
      <c r="A54" s="650"/>
      <c r="B54" s="651"/>
      <c r="C54" s="651"/>
      <c r="D54" s="669" t="s">
        <v>854</v>
      </c>
      <c r="E54" s="670">
        <f>E52*E52*E51*0.000000000001*350000*4</f>
        <v>0.11649330000000001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3">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3">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3">
      <c r="A57" s="654"/>
      <c r="B57" s="655"/>
      <c r="C57" s="655"/>
      <c r="D57" s="656" t="str">
        <f>CHOOSE(MODE, "Min Load Current, IOUTmin ", "Min Load Current, IOUT1min")</f>
        <v xml:space="preserve">Min Load Current, IOUTmin </v>
      </c>
      <c r="E57" s="673">
        <v>0.01</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3">
      <c r="A58" s="658"/>
      <c r="B58" s="70"/>
      <c r="C58" s="70"/>
      <c r="D58" s="67" t="str">
        <f>CHOOSE(MODE,"Max Output Voltage Limit, VOUTmax","Max Output Voltage Limit, VOUT1max")</f>
        <v>Max Output Voltage Limit, VOUTmax</v>
      </c>
      <c r="E58" s="674">
        <v>18</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3">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3">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3">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3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3">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3">
      <c r="A64" s="35"/>
      <c r="R64" s="18"/>
      <c r="S64" s="18"/>
      <c r="T64" s="18"/>
      <c r="W64" s="18"/>
      <c r="X64" s="18"/>
      <c r="Y64" s="18"/>
      <c r="AB64" s="18"/>
      <c r="AC64" s="18"/>
      <c r="AD64" s="18"/>
      <c r="AG64" s="18"/>
      <c r="AH64" s="18"/>
      <c r="AI64" s="18"/>
    </row>
    <row r="65" spans="18:35" x14ac:dyDescent="0.3">
      <c r="R65" s="18"/>
      <c r="S65" s="18"/>
      <c r="T65" s="18"/>
      <c r="W65" s="18"/>
      <c r="X65" s="18"/>
      <c r="Y65" s="18"/>
      <c r="AB65" s="18"/>
      <c r="AC65" s="18"/>
      <c r="AD65" s="18"/>
      <c r="AG65" s="18"/>
      <c r="AH65" s="18"/>
      <c r="AI65" s="18"/>
    </row>
    <row r="66" spans="18:35" x14ac:dyDescent="0.3">
      <c r="R66" s="18"/>
      <c r="S66" s="18"/>
      <c r="T66" s="18"/>
      <c r="W66" s="18"/>
      <c r="X66" s="18"/>
      <c r="Y66" s="18"/>
      <c r="AB66" s="18"/>
      <c r="AC66" s="18"/>
      <c r="AD66" s="18"/>
      <c r="AG66" s="18"/>
      <c r="AH66" s="18"/>
      <c r="AI66" s="18"/>
    </row>
    <row r="67" spans="18:35" x14ac:dyDescent="0.3">
      <c r="R67" s="18"/>
      <c r="S67" s="18"/>
      <c r="T67" s="18"/>
      <c r="W67" s="18"/>
      <c r="X67" s="18"/>
      <c r="Y67" s="18"/>
      <c r="AB67" s="18"/>
      <c r="AC67" s="18"/>
      <c r="AD67" s="18"/>
      <c r="AG67" s="18"/>
      <c r="AH67" s="18"/>
      <c r="AI67" s="18"/>
    </row>
    <row r="68" spans="18:35" x14ac:dyDescent="0.3">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144780</xdr:colOff>
                    <xdr:row>0</xdr:row>
                    <xdr:rowOff>381000</xdr:rowOff>
                  </from>
                  <to>
                    <xdr:col>24</xdr:col>
                    <xdr:colOff>525780</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129540</xdr:colOff>
                    <xdr:row>6</xdr:row>
                    <xdr:rowOff>15240</xdr:rowOff>
                  </from>
                  <to>
                    <xdr:col>5</xdr:col>
                    <xdr:colOff>304800</xdr:colOff>
                    <xdr:row>7</xdr:row>
                    <xdr:rowOff>30480</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15240</xdr:colOff>
                    <xdr:row>28</xdr:row>
                    <xdr:rowOff>0</xdr:rowOff>
                  </from>
                  <to>
                    <xdr:col>5</xdr:col>
                    <xdr:colOff>281940</xdr:colOff>
                    <xdr:row>29</xdr:row>
                    <xdr:rowOff>30480</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15240</xdr:colOff>
                    <xdr:row>34</xdr:row>
                    <xdr:rowOff>0</xdr:rowOff>
                  </from>
                  <to>
                    <xdr:col>5</xdr:col>
                    <xdr:colOff>259080</xdr:colOff>
                    <xdr:row>34</xdr:row>
                    <xdr:rowOff>205740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15240</xdr:colOff>
                    <xdr:row>11</xdr:row>
                    <xdr:rowOff>0</xdr:rowOff>
                  </from>
                  <to>
                    <xdr:col>12</xdr:col>
                    <xdr:colOff>68580</xdr:colOff>
                    <xdr:row>12</xdr:row>
                    <xdr:rowOff>15240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15240</xdr:rowOff>
                  </from>
                  <to>
                    <xdr:col>5</xdr:col>
                    <xdr:colOff>266700</xdr:colOff>
                    <xdr:row>32</xdr:row>
                    <xdr:rowOff>15240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30480</xdr:colOff>
                    <xdr:row>4</xdr:row>
                    <xdr:rowOff>15240</xdr:rowOff>
                  </from>
                  <to>
                    <xdr:col>5</xdr:col>
                    <xdr:colOff>403860</xdr:colOff>
                    <xdr:row>4</xdr:row>
                    <xdr:rowOff>243840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topLeftCell="A25" zoomScale="109" zoomScaleNormal="70" workbookViewId="0">
      <selection activeCell="J20" sqref="J20"/>
    </sheetView>
  </sheetViews>
  <sheetFormatPr defaultRowHeight="13.2" x14ac:dyDescent="0.25"/>
  <cols>
    <col min="1" max="1" width="9.5546875" style="92" customWidth="1"/>
    <col min="2" max="2" width="11.44140625" style="92" customWidth="1"/>
    <col min="3" max="3" width="13.44140625" style="92" customWidth="1"/>
    <col min="4" max="4" width="20.21875" style="92" customWidth="1"/>
    <col min="5" max="5" width="17.21875" style="92" customWidth="1"/>
    <col min="6" max="6" width="13.5546875" style="92" customWidth="1"/>
    <col min="7" max="7" width="16.21875" style="92" customWidth="1"/>
    <col min="8" max="8" width="18.21875" style="92" customWidth="1"/>
    <col min="9" max="9" width="10.77734375" style="92" customWidth="1"/>
    <col min="10" max="10" width="15.77734375" style="92" customWidth="1"/>
    <col min="11" max="11" width="11.77734375" style="401" customWidth="1"/>
    <col min="12" max="12" width="7.77734375" style="400" customWidth="1"/>
    <col min="13" max="13" width="11.77734375" style="92" customWidth="1"/>
    <col min="14" max="254" width="9.21875" style="92"/>
    <col min="255" max="255" width="8.77734375" style="92" bestFit="1" customWidth="1"/>
    <col min="256" max="256" width="13.21875" style="92" customWidth="1"/>
    <col min="257" max="257" width="16.21875" style="92" bestFit="1" customWidth="1"/>
    <col min="258" max="258" width="23.5546875" style="92" customWidth="1"/>
    <col min="259" max="259" width="17.21875" style="92" customWidth="1"/>
    <col min="260" max="260" width="20.5546875" style="92" bestFit="1" customWidth="1"/>
    <col min="261" max="261" width="17.21875" style="92" customWidth="1"/>
    <col min="262" max="262" width="21.77734375" style="92" bestFit="1" customWidth="1"/>
    <col min="263" max="263" width="17.21875" style="92" bestFit="1" customWidth="1"/>
    <col min="264" max="264" width="18.21875" style="92" bestFit="1" customWidth="1"/>
    <col min="265" max="265" width="26.44140625" style="92" customWidth="1"/>
    <col min="266" max="510" width="9.21875" style="92"/>
    <col min="511" max="511" width="8.77734375" style="92" bestFit="1" customWidth="1"/>
    <col min="512" max="512" width="13.21875" style="92" customWidth="1"/>
    <col min="513" max="513" width="16.21875" style="92" bestFit="1" customWidth="1"/>
    <col min="514" max="514" width="23.5546875" style="92" customWidth="1"/>
    <col min="515" max="515" width="17.21875" style="92" customWidth="1"/>
    <col min="516" max="516" width="20.5546875" style="92" bestFit="1" customWidth="1"/>
    <col min="517" max="517" width="17.21875" style="92" customWidth="1"/>
    <col min="518" max="518" width="21.77734375" style="92" bestFit="1" customWidth="1"/>
    <col min="519" max="519" width="17.21875" style="92" bestFit="1" customWidth="1"/>
    <col min="520" max="520" width="18.21875" style="92" bestFit="1" customWidth="1"/>
    <col min="521" max="521" width="26.44140625" style="92" customWidth="1"/>
    <col min="522" max="766" width="9.21875" style="92"/>
    <col min="767" max="767" width="8.77734375" style="92" bestFit="1" customWidth="1"/>
    <col min="768" max="768" width="13.21875" style="92" customWidth="1"/>
    <col min="769" max="769" width="16.21875" style="92" bestFit="1" customWidth="1"/>
    <col min="770" max="770" width="23.5546875" style="92" customWidth="1"/>
    <col min="771" max="771" width="17.21875" style="92" customWidth="1"/>
    <col min="772" max="772" width="20.5546875" style="92" bestFit="1" customWidth="1"/>
    <col min="773" max="773" width="17.21875" style="92" customWidth="1"/>
    <col min="774" max="774" width="21.77734375" style="92" bestFit="1" customWidth="1"/>
    <col min="775" max="775" width="17.21875" style="92" bestFit="1" customWidth="1"/>
    <col min="776" max="776" width="18.21875" style="92" bestFit="1" customWidth="1"/>
    <col min="777" max="777" width="26.44140625" style="92" customWidth="1"/>
    <col min="778" max="1022" width="9.21875" style="92"/>
    <col min="1023" max="1023" width="8.77734375" style="92" bestFit="1" customWidth="1"/>
    <col min="1024" max="1024" width="13.21875" style="92" customWidth="1"/>
    <col min="1025" max="1025" width="16.21875" style="92" bestFit="1" customWidth="1"/>
    <col min="1026" max="1026" width="23.5546875" style="92" customWidth="1"/>
    <col min="1027" max="1027" width="17.21875" style="92" customWidth="1"/>
    <col min="1028" max="1028" width="20.5546875" style="92" bestFit="1" customWidth="1"/>
    <col min="1029" max="1029" width="17.21875" style="92" customWidth="1"/>
    <col min="1030" max="1030" width="21.77734375" style="92" bestFit="1" customWidth="1"/>
    <col min="1031" max="1031" width="17.21875" style="92" bestFit="1" customWidth="1"/>
    <col min="1032" max="1032" width="18.21875" style="92" bestFit="1" customWidth="1"/>
    <col min="1033" max="1033" width="26.44140625" style="92" customWidth="1"/>
    <col min="1034" max="1278" width="9.21875" style="92"/>
    <col min="1279" max="1279" width="8.77734375" style="92" bestFit="1" customWidth="1"/>
    <col min="1280" max="1280" width="13.21875" style="92" customWidth="1"/>
    <col min="1281" max="1281" width="16.21875" style="92" bestFit="1" customWidth="1"/>
    <col min="1282" max="1282" width="23.5546875" style="92" customWidth="1"/>
    <col min="1283" max="1283" width="17.21875" style="92" customWidth="1"/>
    <col min="1284" max="1284" width="20.5546875" style="92" bestFit="1" customWidth="1"/>
    <col min="1285" max="1285" width="17.21875" style="92" customWidth="1"/>
    <col min="1286" max="1286" width="21.77734375" style="92" bestFit="1" customWidth="1"/>
    <col min="1287" max="1287" width="17.21875" style="92" bestFit="1" customWidth="1"/>
    <col min="1288" max="1288" width="18.21875" style="92" bestFit="1" customWidth="1"/>
    <col min="1289" max="1289" width="26.44140625" style="92" customWidth="1"/>
    <col min="1290" max="1534" width="9.21875" style="92"/>
    <col min="1535" max="1535" width="8.77734375" style="92" bestFit="1" customWidth="1"/>
    <col min="1536" max="1536" width="13.21875" style="92" customWidth="1"/>
    <col min="1537" max="1537" width="16.21875" style="92" bestFit="1" customWidth="1"/>
    <col min="1538" max="1538" width="23.5546875" style="92" customWidth="1"/>
    <col min="1539" max="1539" width="17.21875" style="92" customWidth="1"/>
    <col min="1540" max="1540" width="20.5546875" style="92" bestFit="1" customWidth="1"/>
    <col min="1541" max="1541" width="17.21875" style="92" customWidth="1"/>
    <col min="1542" max="1542" width="21.77734375" style="92" bestFit="1" customWidth="1"/>
    <col min="1543" max="1543" width="17.21875" style="92" bestFit="1" customWidth="1"/>
    <col min="1544" max="1544" width="18.21875" style="92" bestFit="1" customWidth="1"/>
    <col min="1545" max="1545" width="26.44140625" style="92" customWidth="1"/>
    <col min="1546" max="1790" width="9.21875" style="92"/>
    <col min="1791" max="1791" width="8.77734375" style="92" bestFit="1" customWidth="1"/>
    <col min="1792" max="1792" width="13.21875" style="92" customWidth="1"/>
    <col min="1793" max="1793" width="16.21875" style="92" bestFit="1" customWidth="1"/>
    <col min="1794" max="1794" width="23.5546875" style="92" customWidth="1"/>
    <col min="1795" max="1795" width="17.21875" style="92" customWidth="1"/>
    <col min="1796" max="1796" width="20.5546875" style="92" bestFit="1" customWidth="1"/>
    <col min="1797" max="1797" width="17.21875" style="92" customWidth="1"/>
    <col min="1798" max="1798" width="21.77734375" style="92" bestFit="1" customWidth="1"/>
    <col min="1799" max="1799" width="17.21875" style="92" bestFit="1" customWidth="1"/>
    <col min="1800" max="1800" width="18.21875" style="92" bestFit="1" customWidth="1"/>
    <col min="1801" max="1801" width="26.44140625" style="92" customWidth="1"/>
    <col min="1802" max="2046" width="9.21875" style="92"/>
    <col min="2047" max="2047" width="8.77734375" style="92" bestFit="1" customWidth="1"/>
    <col min="2048" max="2048" width="13.21875" style="92" customWidth="1"/>
    <col min="2049" max="2049" width="16.21875" style="92" bestFit="1" customWidth="1"/>
    <col min="2050" max="2050" width="23.5546875" style="92" customWidth="1"/>
    <col min="2051" max="2051" width="17.21875" style="92" customWidth="1"/>
    <col min="2052" max="2052" width="20.5546875" style="92" bestFit="1" customWidth="1"/>
    <col min="2053" max="2053" width="17.21875" style="92" customWidth="1"/>
    <col min="2054" max="2054" width="21.77734375" style="92" bestFit="1" customWidth="1"/>
    <col min="2055" max="2055" width="17.21875" style="92" bestFit="1" customWidth="1"/>
    <col min="2056" max="2056" width="18.21875" style="92" bestFit="1" customWidth="1"/>
    <col min="2057" max="2057" width="26.44140625" style="92" customWidth="1"/>
    <col min="2058" max="2302" width="9.21875" style="92"/>
    <col min="2303" max="2303" width="8.77734375" style="92" bestFit="1" customWidth="1"/>
    <col min="2304" max="2304" width="13.21875" style="92" customWidth="1"/>
    <col min="2305" max="2305" width="16.21875" style="92" bestFit="1" customWidth="1"/>
    <col min="2306" max="2306" width="23.5546875" style="92" customWidth="1"/>
    <col min="2307" max="2307" width="17.21875" style="92" customWidth="1"/>
    <col min="2308" max="2308" width="20.5546875" style="92" bestFit="1" customWidth="1"/>
    <col min="2309" max="2309" width="17.21875" style="92" customWidth="1"/>
    <col min="2310" max="2310" width="21.77734375" style="92" bestFit="1" customWidth="1"/>
    <col min="2311" max="2311" width="17.21875" style="92" bestFit="1" customWidth="1"/>
    <col min="2312" max="2312" width="18.21875" style="92" bestFit="1" customWidth="1"/>
    <col min="2313" max="2313" width="26.44140625" style="92" customWidth="1"/>
    <col min="2314" max="2558" width="9.21875" style="92"/>
    <col min="2559" max="2559" width="8.77734375" style="92" bestFit="1" customWidth="1"/>
    <col min="2560" max="2560" width="13.21875" style="92" customWidth="1"/>
    <col min="2561" max="2561" width="16.21875" style="92" bestFit="1" customWidth="1"/>
    <col min="2562" max="2562" width="23.5546875" style="92" customWidth="1"/>
    <col min="2563" max="2563" width="17.21875" style="92" customWidth="1"/>
    <col min="2564" max="2564" width="20.5546875" style="92" bestFit="1" customWidth="1"/>
    <col min="2565" max="2565" width="17.21875" style="92" customWidth="1"/>
    <col min="2566" max="2566" width="21.77734375" style="92" bestFit="1" customWidth="1"/>
    <col min="2567" max="2567" width="17.21875" style="92" bestFit="1" customWidth="1"/>
    <col min="2568" max="2568" width="18.21875" style="92" bestFit="1" customWidth="1"/>
    <col min="2569" max="2569" width="26.44140625" style="92" customWidth="1"/>
    <col min="2570" max="2814" width="9.21875" style="92"/>
    <col min="2815" max="2815" width="8.77734375" style="92" bestFit="1" customWidth="1"/>
    <col min="2816" max="2816" width="13.21875" style="92" customWidth="1"/>
    <col min="2817" max="2817" width="16.21875" style="92" bestFit="1" customWidth="1"/>
    <col min="2818" max="2818" width="23.5546875" style="92" customWidth="1"/>
    <col min="2819" max="2819" width="17.21875" style="92" customWidth="1"/>
    <col min="2820" max="2820" width="20.5546875" style="92" bestFit="1" customWidth="1"/>
    <col min="2821" max="2821" width="17.21875" style="92" customWidth="1"/>
    <col min="2822" max="2822" width="21.77734375" style="92" bestFit="1" customWidth="1"/>
    <col min="2823" max="2823" width="17.21875" style="92" bestFit="1" customWidth="1"/>
    <col min="2824" max="2824" width="18.21875" style="92" bestFit="1" customWidth="1"/>
    <col min="2825" max="2825" width="26.44140625" style="92" customWidth="1"/>
    <col min="2826" max="3070" width="9.21875" style="92"/>
    <col min="3071" max="3071" width="8.77734375" style="92" bestFit="1" customWidth="1"/>
    <col min="3072" max="3072" width="13.21875" style="92" customWidth="1"/>
    <col min="3073" max="3073" width="16.21875" style="92" bestFit="1" customWidth="1"/>
    <col min="3074" max="3074" width="23.5546875" style="92" customWidth="1"/>
    <col min="3075" max="3075" width="17.21875" style="92" customWidth="1"/>
    <col min="3076" max="3076" width="20.5546875" style="92" bestFit="1" customWidth="1"/>
    <col min="3077" max="3077" width="17.21875" style="92" customWidth="1"/>
    <col min="3078" max="3078" width="21.77734375" style="92" bestFit="1" customWidth="1"/>
    <col min="3079" max="3079" width="17.21875" style="92" bestFit="1" customWidth="1"/>
    <col min="3080" max="3080" width="18.21875" style="92" bestFit="1" customWidth="1"/>
    <col min="3081" max="3081" width="26.44140625" style="92" customWidth="1"/>
    <col min="3082" max="3326" width="9.21875" style="92"/>
    <col min="3327" max="3327" width="8.77734375" style="92" bestFit="1" customWidth="1"/>
    <col min="3328" max="3328" width="13.21875" style="92" customWidth="1"/>
    <col min="3329" max="3329" width="16.21875" style="92" bestFit="1" customWidth="1"/>
    <col min="3330" max="3330" width="23.5546875" style="92" customWidth="1"/>
    <col min="3331" max="3331" width="17.21875" style="92" customWidth="1"/>
    <col min="3332" max="3332" width="20.5546875" style="92" bestFit="1" customWidth="1"/>
    <col min="3333" max="3333" width="17.21875" style="92" customWidth="1"/>
    <col min="3334" max="3334" width="21.77734375" style="92" bestFit="1" customWidth="1"/>
    <col min="3335" max="3335" width="17.21875" style="92" bestFit="1" customWidth="1"/>
    <col min="3336" max="3336" width="18.21875" style="92" bestFit="1" customWidth="1"/>
    <col min="3337" max="3337" width="26.44140625" style="92" customWidth="1"/>
    <col min="3338" max="3582" width="9.21875" style="92"/>
    <col min="3583" max="3583" width="8.77734375" style="92" bestFit="1" customWidth="1"/>
    <col min="3584" max="3584" width="13.21875" style="92" customWidth="1"/>
    <col min="3585" max="3585" width="16.21875" style="92" bestFit="1" customWidth="1"/>
    <col min="3586" max="3586" width="23.5546875" style="92" customWidth="1"/>
    <col min="3587" max="3587" width="17.21875" style="92" customWidth="1"/>
    <col min="3588" max="3588" width="20.5546875" style="92" bestFit="1" customWidth="1"/>
    <col min="3589" max="3589" width="17.21875" style="92" customWidth="1"/>
    <col min="3590" max="3590" width="21.77734375" style="92" bestFit="1" customWidth="1"/>
    <col min="3591" max="3591" width="17.21875" style="92" bestFit="1" customWidth="1"/>
    <col min="3592" max="3592" width="18.21875" style="92" bestFit="1" customWidth="1"/>
    <col min="3593" max="3593" width="26.44140625" style="92" customWidth="1"/>
    <col min="3594" max="3838" width="9.21875" style="92"/>
    <col min="3839" max="3839" width="8.77734375" style="92" bestFit="1" customWidth="1"/>
    <col min="3840" max="3840" width="13.21875" style="92" customWidth="1"/>
    <col min="3841" max="3841" width="16.21875" style="92" bestFit="1" customWidth="1"/>
    <col min="3842" max="3842" width="23.5546875" style="92" customWidth="1"/>
    <col min="3843" max="3843" width="17.21875" style="92" customWidth="1"/>
    <col min="3844" max="3844" width="20.5546875" style="92" bestFit="1" customWidth="1"/>
    <col min="3845" max="3845" width="17.21875" style="92" customWidth="1"/>
    <col min="3846" max="3846" width="21.77734375" style="92" bestFit="1" customWidth="1"/>
    <col min="3847" max="3847" width="17.21875" style="92" bestFit="1" customWidth="1"/>
    <col min="3848" max="3848" width="18.21875" style="92" bestFit="1" customWidth="1"/>
    <col min="3849" max="3849" width="26.44140625" style="92" customWidth="1"/>
    <col min="3850" max="4094" width="9.21875" style="92"/>
    <col min="4095" max="4095" width="8.77734375" style="92" bestFit="1" customWidth="1"/>
    <col min="4096" max="4096" width="13.21875" style="92" customWidth="1"/>
    <col min="4097" max="4097" width="16.21875" style="92" bestFit="1" customWidth="1"/>
    <col min="4098" max="4098" width="23.5546875" style="92" customWidth="1"/>
    <col min="4099" max="4099" width="17.21875" style="92" customWidth="1"/>
    <col min="4100" max="4100" width="20.5546875" style="92" bestFit="1" customWidth="1"/>
    <col min="4101" max="4101" width="17.21875" style="92" customWidth="1"/>
    <col min="4102" max="4102" width="21.77734375" style="92" bestFit="1" customWidth="1"/>
    <col min="4103" max="4103" width="17.21875" style="92" bestFit="1" customWidth="1"/>
    <col min="4104" max="4104" width="18.21875" style="92" bestFit="1" customWidth="1"/>
    <col min="4105" max="4105" width="26.44140625" style="92" customWidth="1"/>
    <col min="4106" max="4350" width="9.21875" style="92"/>
    <col min="4351" max="4351" width="8.77734375" style="92" bestFit="1" customWidth="1"/>
    <col min="4352" max="4352" width="13.21875" style="92" customWidth="1"/>
    <col min="4353" max="4353" width="16.21875" style="92" bestFit="1" customWidth="1"/>
    <col min="4354" max="4354" width="23.5546875" style="92" customWidth="1"/>
    <col min="4355" max="4355" width="17.21875" style="92" customWidth="1"/>
    <col min="4356" max="4356" width="20.5546875" style="92" bestFit="1" customWidth="1"/>
    <col min="4357" max="4357" width="17.21875" style="92" customWidth="1"/>
    <col min="4358" max="4358" width="21.77734375" style="92" bestFit="1" customWidth="1"/>
    <col min="4359" max="4359" width="17.21875" style="92" bestFit="1" customWidth="1"/>
    <col min="4360" max="4360" width="18.21875" style="92" bestFit="1" customWidth="1"/>
    <col min="4361" max="4361" width="26.44140625" style="92" customWidth="1"/>
    <col min="4362" max="4606" width="9.21875" style="92"/>
    <col min="4607" max="4607" width="8.77734375" style="92" bestFit="1" customWidth="1"/>
    <col min="4608" max="4608" width="13.21875" style="92" customWidth="1"/>
    <col min="4609" max="4609" width="16.21875" style="92" bestFit="1" customWidth="1"/>
    <col min="4610" max="4610" width="23.5546875" style="92" customWidth="1"/>
    <col min="4611" max="4611" width="17.21875" style="92" customWidth="1"/>
    <col min="4612" max="4612" width="20.5546875" style="92" bestFit="1" customWidth="1"/>
    <col min="4613" max="4613" width="17.21875" style="92" customWidth="1"/>
    <col min="4614" max="4614" width="21.77734375" style="92" bestFit="1" customWidth="1"/>
    <col min="4615" max="4615" width="17.21875" style="92" bestFit="1" customWidth="1"/>
    <col min="4616" max="4616" width="18.21875" style="92" bestFit="1" customWidth="1"/>
    <col min="4617" max="4617" width="26.44140625" style="92" customWidth="1"/>
    <col min="4618" max="4862" width="9.21875" style="92"/>
    <col min="4863" max="4863" width="8.77734375" style="92" bestFit="1" customWidth="1"/>
    <col min="4864" max="4864" width="13.21875" style="92" customWidth="1"/>
    <col min="4865" max="4865" width="16.21875" style="92" bestFit="1" customWidth="1"/>
    <col min="4866" max="4866" width="23.5546875" style="92" customWidth="1"/>
    <col min="4867" max="4867" width="17.21875" style="92" customWidth="1"/>
    <col min="4868" max="4868" width="20.5546875" style="92" bestFit="1" customWidth="1"/>
    <col min="4869" max="4869" width="17.21875" style="92" customWidth="1"/>
    <col min="4870" max="4870" width="21.77734375" style="92" bestFit="1" customWidth="1"/>
    <col min="4871" max="4871" width="17.21875" style="92" bestFit="1" customWidth="1"/>
    <col min="4872" max="4872" width="18.21875" style="92" bestFit="1" customWidth="1"/>
    <col min="4873" max="4873" width="26.44140625" style="92" customWidth="1"/>
    <col min="4874" max="5118" width="9.21875" style="92"/>
    <col min="5119" max="5119" width="8.77734375" style="92" bestFit="1" customWidth="1"/>
    <col min="5120" max="5120" width="13.21875" style="92" customWidth="1"/>
    <col min="5121" max="5121" width="16.21875" style="92" bestFit="1" customWidth="1"/>
    <col min="5122" max="5122" width="23.5546875" style="92" customWidth="1"/>
    <col min="5123" max="5123" width="17.21875" style="92" customWidth="1"/>
    <col min="5124" max="5124" width="20.5546875" style="92" bestFit="1" customWidth="1"/>
    <col min="5125" max="5125" width="17.21875" style="92" customWidth="1"/>
    <col min="5126" max="5126" width="21.77734375" style="92" bestFit="1" customWidth="1"/>
    <col min="5127" max="5127" width="17.21875" style="92" bestFit="1" customWidth="1"/>
    <col min="5128" max="5128" width="18.21875" style="92" bestFit="1" customWidth="1"/>
    <col min="5129" max="5129" width="26.44140625" style="92" customWidth="1"/>
    <col min="5130" max="5374" width="9.21875" style="92"/>
    <col min="5375" max="5375" width="8.77734375" style="92" bestFit="1" customWidth="1"/>
    <col min="5376" max="5376" width="13.21875" style="92" customWidth="1"/>
    <col min="5377" max="5377" width="16.21875" style="92" bestFit="1" customWidth="1"/>
    <col min="5378" max="5378" width="23.5546875" style="92" customWidth="1"/>
    <col min="5379" max="5379" width="17.21875" style="92" customWidth="1"/>
    <col min="5380" max="5380" width="20.5546875" style="92" bestFit="1" customWidth="1"/>
    <col min="5381" max="5381" width="17.21875" style="92" customWidth="1"/>
    <col min="5382" max="5382" width="21.77734375" style="92" bestFit="1" customWidth="1"/>
    <col min="5383" max="5383" width="17.21875" style="92" bestFit="1" customWidth="1"/>
    <col min="5384" max="5384" width="18.21875" style="92" bestFit="1" customWidth="1"/>
    <col min="5385" max="5385" width="26.44140625" style="92" customWidth="1"/>
    <col min="5386" max="5630" width="9.21875" style="92"/>
    <col min="5631" max="5631" width="8.77734375" style="92" bestFit="1" customWidth="1"/>
    <col min="5632" max="5632" width="13.21875" style="92" customWidth="1"/>
    <col min="5633" max="5633" width="16.21875" style="92" bestFit="1" customWidth="1"/>
    <col min="5634" max="5634" width="23.5546875" style="92" customWidth="1"/>
    <col min="5635" max="5635" width="17.21875" style="92" customWidth="1"/>
    <col min="5636" max="5636" width="20.5546875" style="92" bestFit="1" customWidth="1"/>
    <col min="5637" max="5637" width="17.21875" style="92" customWidth="1"/>
    <col min="5638" max="5638" width="21.77734375" style="92" bestFit="1" customWidth="1"/>
    <col min="5639" max="5639" width="17.21875" style="92" bestFit="1" customWidth="1"/>
    <col min="5640" max="5640" width="18.21875" style="92" bestFit="1" customWidth="1"/>
    <col min="5641" max="5641" width="26.44140625" style="92" customWidth="1"/>
    <col min="5642" max="5886" width="9.21875" style="92"/>
    <col min="5887" max="5887" width="8.77734375" style="92" bestFit="1" customWidth="1"/>
    <col min="5888" max="5888" width="13.21875" style="92" customWidth="1"/>
    <col min="5889" max="5889" width="16.21875" style="92" bestFit="1" customWidth="1"/>
    <col min="5890" max="5890" width="23.5546875" style="92" customWidth="1"/>
    <col min="5891" max="5891" width="17.21875" style="92" customWidth="1"/>
    <col min="5892" max="5892" width="20.5546875" style="92" bestFit="1" customWidth="1"/>
    <col min="5893" max="5893" width="17.21875" style="92" customWidth="1"/>
    <col min="5894" max="5894" width="21.77734375" style="92" bestFit="1" customWidth="1"/>
    <col min="5895" max="5895" width="17.21875" style="92" bestFit="1" customWidth="1"/>
    <col min="5896" max="5896" width="18.21875" style="92" bestFit="1" customWidth="1"/>
    <col min="5897" max="5897" width="26.44140625" style="92" customWidth="1"/>
    <col min="5898" max="6142" width="9.21875" style="92"/>
    <col min="6143" max="6143" width="8.77734375" style="92" bestFit="1" customWidth="1"/>
    <col min="6144" max="6144" width="13.21875" style="92" customWidth="1"/>
    <col min="6145" max="6145" width="16.21875" style="92" bestFit="1" customWidth="1"/>
    <col min="6146" max="6146" width="23.5546875" style="92" customWidth="1"/>
    <col min="6147" max="6147" width="17.21875" style="92" customWidth="1"/>
    <col min="6148" max="6148" width="20.5546875" style="92" bestFit="1" customWidth="1"/>
    <col min="6149" max="6149" width="17.21875" style="92" customWidth="1"/>
    <col min="6150" max="6150" width="21.77734375" style="92" bestFit="1" customWidth="1"/>
    <col min="6151" max="6151" width="17.21875" style="92" bestFit="1" customWidth="1"/>
    <col min="6152" max="6152" width="18.21875" style="92" bestFit="1" customWidth="1"/>
    <col min="6153" max="6153" width="26.44140625" style="92" customWidth="1"/>
    <col min="6154" max="6398" width="9.21875" style="92"/>
    <col min="6399" max="6399" width="8.77734375" style="92" bestFit="1" customWidth="1"/>
    <col min="6400" max="6400" width="13.21875" style="92" customWidth="1"/>
    <col min="6401" max="6401" width="16.21875" style="92" bestFit="1" customWidth="1"/>
    <col min="6402" max="6402" width="23.5546875" style="92" customWidth="1"/>
    <col min="6403" max="6403" width="17.21875" style="92" customWidth="1"/>
    <col min="6404" max="6404" width="20.5546875" style="92" bestFit="1" customWidth="1"/>
    <col min="6405" max="6405" width="17.21875" style="92" customWidth="1"/>
    <col min="6406" max="6406" width="21.77734375" style="92" bestFit="1" customWidth="1"/>
    <col min="6407" max="6407" width="17.21875" style="92" bestFit="1" customWidth="1"/>
    <col min="6408" max="6408" width="18.21875" style="92" bestFit="1" customWidth="1"/>
    <col min="6409" max="6409" width="26.44140625" style="92" customWidth="1"/>
    <col min="6410" max="6654" width="9.21875" style="92"/>
    <col min="6655" max="6655" width="8.77734375" style="92" bestFit="1" customWidth="1"/>
    <col min="6656" max="6656" width="13.21875" style="92" customWidth="1"/>
    <col min="6657" max="6657" width="16.21875" style="92" bestFit="1" customWidth="1"/>
    <col min="6658" max="6658" width="23.5546875" style="92" customWidth="1"/>
    <col min="6659" max="6659" width="17.21875" style="92" customWidth="1"/>
    <col min="6660" max="6660" width="20.5546875" style="92" bestFit="1" customWidth="1"/>
    <col min="6661" max="6661" width="17.21875" style="92" customWidth="1"/>
    <col min="6662" max="6662" width="21.77734375" style="92" bestFit="1" customWidth="1"/>
    <col min="6663" max="6663" width="17.21875" style="92" bestFit="1" customWidth="1"/>
    <col min="6664" max="6664" width="18.21875" style="92" bestFit="1" customWidth="1"/>
    <col min="6665" max="6665" width="26.44140625" style="92" customWidth="1"/>
    <col min="6666" max="6910" width="9.21875" style="92"/>
    <col min="6911" max="6911" width="8.77734375" style="92" bestFit="1" customWidth="1"/>
    <col min="6912" max="6912" width="13.21875" style="92" customWidth="1"/>
    <col min="6913" max="6913" width="16.21875" style="92" bestFit="1" customWidth="1"/>
    <col min="6914" max="6914" width="23.5546875" style="92" customWidth="1"/>
    <col min="6915" max="6915" width="17.21875" style="92" customWidth="1"/>
    <col min="6916" max="6916" width="20.5546875" style="92" bestFit="1" customWidth="1"/>
    <col min="6917" max="6917" width="17.21875" style="92" customWidth="1"/>
    <col min="6918" max="6918" width="21.77734375" style="92" bestFit="1" customWidth="1"/>
    <col min="6919" max="6919" width="17.21875" style="92" bestFit="1" customWidth="1"/>
    <col min="6920" max="6920" width="18.21875" style="92" bestFit="1" customWidth="1"/>
    <col min="6921" max="6921" width="26.44140625" style="92" customWidth="1"/>
    <col min="6922" max="7166" width="9.21875" style="92"/>
    <col min="7167" max="7167" width="8.77734375" style="92" bestFit="1" customWidth="1"/>
    <col min="7168" max="7168" width="13.21875" style="92" customWidth="1"/>
    <col min="7169" max="7169" width="16.21875" style="92" bestFit="1" customWidth="1"/>
    <col min="7170" max="7170" width="23.5546875" style="92" customWidth="1"/>
    <col min="7171" max="7171" width="17.21875" style="92" customWidth="1"/>
    <col min="7172" max="7172" width="20.5546875" style="92" bestFit="1" customWidth="1"/>
    <col min="7173" max="7173" width="17.21875" style="92" customWidth="1"/>
    <col min="7174" max="7174" width="21.77734375" style="92" bestFit="1" customWidth="1"/>
    <col min="7175" max="7175" width="17.21875" style="92" bestFit="1" customWidth="1"/>
    <col min="7176" max="7176" width="18.21875" style="92" bestFit="1" customWidth="1"/>
    <col min="7177" max="7177" width="26.44140625" style="92" customWidth="1"/>
    <col min="7178" max="7422" width="9.21875" style="92"/>
    <col min="7423" max="7423" width="8.77734375" style="92" bestFit="1" customWidth="1"/>
    <col min="7424" max="7424" width="13.21875" style="92" customWidth="1"/>
    <col min="7425" max="7425" width="16.21875" style="92" bestFit="1" customWidth="1"/>
    <col min="7426" max="7426" width="23.5546875" style="92" customWidth="1"/>
    <col min="7427" max="7427" width="17.21875" style="92" customWidth="1"/>
    <col min="7428" max="7428" width="20.5546875" style="92" bestFit="1" customWidth="1"/>
    <col min="7429" max="7429" width="17.21875" style="92" customWidth="1"/>
    <col min="7430" max="7430" width="21.77734375" style="92" bestFit="1" customWidth="1"/>
    <col min="7431" max="7431" width="17.21875" style="92" bestFit="1" customWidth="1"/>
    <col min="7432" max="7432" width="18.21875" style="92" bestFit="1" customWidth="1"/>
    <col min="7433" max="7433" width="26.44140625" style="92" customWidth="1"/>
    <col min="7434" max="7678" width="9.21875" style="92"/>
    <col min="7679" max="7679" width="8.77734375" style="92" bestFit="1" customWidth="1"/>
    <col min="7680" max="7680" width="13.21875" style="92" customWidth="1"/>
    <col min="7681" max="7681" width="16.21875" style="92" bestFit="1" customWidth="1"/>
    <col min="7682" max="7682" width="23.5546875" style="92" customWidth="1"/>
    <col min="7683" max="7683" width="17.21875" style="92" customWidth="1"/>
    <col min="7684" max="7684" width="20.5546875" style="92" bestFit="1" customWidth="1"/>
    <col min="7685" max="7685" width="17.21875" style="92" customWidth="1"/>
    <col min="7686" max="7686" width="21.77734375" style="92" bestFit="1" customWidth="1"/>
    <col min="7687" max="7687" width="17.21875" style="92" bestFit="1" customWidth="1"/>
    <col min="7688" max="7688" width="18.21875" style="92" bestFit="1" customWidth="1"/>
    <col min="7689" max="7689" width="26.44140625" style="92" customWidth="1"/>
    <col min="7690" max="7934" width="9.21875" style="92"/>
    <col min="7935" max="7935" width="8.77734375" style="92" bestFit="1" customWidth="1"/>
    <col min="7936" max="7936" width="13.21875" style="92" customWidth="1"/>
    <col min="7937" max="7937" width="16.21875" style="92" bestFit="1" customWidth="1"/>
    <col min="7938" max="7938" width="23.5546875" style="92" customWidth="1"/>
    <col min="7939" max="7939" width="17.21875" style="92" customWidth="1"/>
    <col min="7940" max="7940" width="20.5546875" style="92" bestFit="1" customWidth="1"/>
    <col min="7941" max="7941" width="17.21875" style="92" customWidth="1"/>
    <col min="7942" max="7942" width="21.77734375" style="92" bestFit="1" customWidth="1"/>
    <col min="7943" max="7943" width="17.21875" style="92" bestFit="1" customWidth="1"/>
    <col min="7944" max="7944" width="18.21875" style="92" bestFit="1" customWidth="1"/>
    <col min="7945" max="7945" width="26.44140625" style="92" customWidth="1"/>
    <col min="7946" max="8190" width="9.21875" style="92"/>
    <col min="8191" max="8191" width="8.77734375" style="92" bestFit="1" customWidth="1"/>
    <col min="8192" max="8192" width="13.21875" style="92" customWidth="1"/>
    <col min="8193" max="8193" width="16.21875" style="92" bestFit="1" customWidth="1"/>
    <col min="8194" max="8194" width="23.5546875" style="92" customWidth="1"/>
    <col min="8195" max="8195" width="17.21875" style="92" customWidth="1"/>
    <col min="8196" max="8196" width="20.5546875" style="92" bestFit="1" customWidth="1"/>
    <col min="8197" max="8197" width="17.21875" style="92" customWidth="1"/>
    <col min="8198" max="8198" width="21.77734375" style="92" bestFit="1" customWidth="1"/>
    <col min="8199" max="8199" width="17.21875" style="92" bestFit="1" customWidth="1"/>
    <col min="8200" max="8200" width="18.21875" style="92" bestFit="1" customWidth="1"/>
    <col min="8201" max="8201" width="26.44140625" style="92" customWidth="1"/>
    <col min="8202" max="8446" width="9.21875" style="92"/>
    <col min="8447" max="8447" width="8.77734375" style="92" bestFit="1" customWidth="1"/>
    <col min="8448" max="8448" width="13.21875" style="92" customWidth="1"/>
    <col min="8449" max="8449" width="16.21875" style="92" bestFit="1" customWidth="1"/>
    <col min="8450" max="8450" width="23.5546875" style="92" customWidth="1"/>
    <col min="8451" max="8451" width="17.21875" style="92" customWidth="1"/>
    <col min="8452" max="8452" width="20.5546875" style="92" bestFit="1" customWidth="1"/>
    <col min="8453" max="8453" width="17.21875" style="92" customWidth="1"/>
    <col min="8454" max="8454" width="21.77734375" style="92" bestFit="1" customWidth="1"/>
    <col min="8455" max="8455" width="17.21875" style="92" bestFit="1" customWidth="1"/>
    <col min="8456" max="8456" width="18.21875" style="92" bestFit="1" customWidth="1"/>
    <col min="8457" max="8457" width="26.44140625" style="92" customWidth="1"/>
    <col min="8458" max="8702" width="9.21875" style="92"/>
    <col min="8703" max="8703" width="8.77734375" style="92" bestFit="1" customWidth="1"/>
    <col min="8704" max="8704" width="13.21875" style="92" customWidth="1"/>
    <col min="8705" max="8705" width="16.21875" style="92" bestFit="1" customWidth="1"/>
    <col min="8706" max="8706" width="23.5546875" style="92" customWidth="1"/>
    <col min="8707" max="8707" width="17.21875" style="92" customWidth="1"/>
    <col min="8708" max="8708" width="20.5546875" style="92" bestFit="1" customWidth="1"/>
    <col min="8709" max="8709" width="17.21875" style="92" customWidth="1"/>
    <col min="8710" max="8710" width="21.77734375" style="92" bestFit="1" customWidth="1"/>
    <col min="8711" max="8711" width="17.21875" style="92" bestFit="1" customWidth="1"/>
    <col min="8712" max="8712" width="18.21875" style="92" bestFit="1" customWidth="1"/>
    <col min="8713" max="8713" width="26.44140625" style="92" customWidth="1"/>
    <col min="8714" max="8958" width="9.21875" style="92"/>
    <col min="8959" max="8959" width="8.77734375" style="92" bestFit="1" customWidth="1"/>
    <col min="8960" max="8960" width="13.21875" style="92" customWidth="1"/>
    <col min="8961" max="8961" width="16.21875" style="92" bestFit="1" customWidth="1"/>
    <col min="8962" max="8962" width="23.5546875" style="92" customWidth="1"/>
    <col min="8963" max="8963" width="17.21875" style="92" customWidth="1"/>
    <col min="8964" max="8964" width="20.5546875" style="92" bestFit="1" customWidth="1"/>
    <col min="8965" max="8965" width="17.21875" style="92" customWidth="1"/>
    <col min="8966" max="8966" width="21.77734375" style="92" bestFit="1" customWidth="1"/>
    <col min="8967" max="8967" width="17.21875" style="92" bestFit="1" customWidth="1"/>
    <col min="8968" max="8968" width="18.21875" style="92" bestFit="1" customWidth="1"/>
    <col min="8969" max="8969" width="26.44140625" style="92" customWidth="1"/>
    <col min="8970" max="9214" width="9.21875" style="92"/>
    <col min="9215" max="9215" width="8.77734375" style="92" bestFit="1" customWidth="1"/>
    <col min="9216" max="9216" width="13.21875" style="92" customWidth="1"/>
    <col min="9217" max="9217" width="16.21875" style="92" bestFit="1" customWidth="1"/>
    <col min="9218" max="9218" width="23.5546875" style="92" customWidth="1"/>
    <col min="9219" max="9219" width="17.21875" style="92" customWidth="1"/>
    <col min="9220" max="9220" width="20.5546875" style="92" bestFit="1" customWidth="1"/>
    <col min="9221" max="9221" width="17.21875" style="92" customWidth="1"/>
    <col min="9222" max="9222" width="21.77734375" style="92" bestFit="1" customWidth="1"/>
    <col min="9223" max="9223" width="17.21875" style="92" bestFit="1" customWidth="1"/>
    <col min="9224" max="9224" width="18.21875" style="92" bestFit="1" customWidth="1"/>
    <col min="9225" max="9225" width="26.44140625" style="92" customWidth="1"/>
    <col min="9226" max="9470" width="9.21875" style="92"/>
    <col min="9471" max="9471" width="8.77734375" style="92" bestFit="1" customWidth="1"/>
    <col min="9472" max="9472" width="13.21875" style="92" customWidth="1"/>
    <col min="9473" max="9473" width="16.21875" style="92" bestFit="1" customWidth="1"/>
    <col min="9474" max="9474" width="23.5546875" style="92" customWidth="1"/>
    <col min="9475" max="9475" width="17.21875" style="92" customWidth="1"/>
    <col min="9476" max="9476" width="20.5546875" style="92" bestFit="1" customWidth="1"/>
    <col min="9477" max="9477" width="17.21875" style="92" customWidth="1"/>
    <col min="9478" max="9478" width="21.77734375" style="92" bestFit="1" customWidth="1"/>
    <col min="9479" max="9479" width="17.21875" style="92" bestFit="1" customWidth="1"/>
    <col min="9480" max="9480" width="18.21875" style="92" bestFit="1" customWidth="1"/>
    <col min="9481" max="9481" width="26.44140625" style="92" customWidth="1"/>
    <col min="9482" max="9726" width="9.21875" style="92"/>
    <col min="9727" max="9727" width="8.77734375" style="92" bestFit="1" customWidth="1"/>
    <col min="9728" max="9728" width="13.21875" style="92" customWidth="1"/>
    <col min="9729" max="9729" width="16.21875" style="92" bestFit="1" customWidth="1"/>
    <col min="9730" max="9730" width="23.5546875" style="92" customWidth="1"/>
    <col min="9731" max="9731" width="17.21875" style="92" customWidth="1"/>
    <col min="9732" max="9732" width="20.5546875" style="92" bestFit="1" customWidth="1"/>
    <col min="9733" max="9733" width="17.21875" style="92" customWidth="1"/>
    <col min="9734" max="9734" width="21.77734375" style="92" bestFit="1" customWidth="1"/>
    <col min="9735" max="9735" width="17.21875" style="92" bestFit="1" customWidth="1"/>
    <col min="9736" max="9736" width="18.21875" style="92" bestFit="1" customWidth="1"/>
    <col min="9737" max="9737" width="26.44140625" style="92" customWidth="1"/>
    <col min="9738" max="9982" width="9.21875" style="92"/>
    <col min="9983" max="9983" width="8.77734375" style="92" bestFit="1" customWidth="1"/>
    <col min="9984" max="9984" width="13.21875" style="92" customWidth="1"/>
    <col min="9985" max="9985" width="16.21875" style="92" bestFit="1" customWidth="1"/>
    <col min="9986" max="9986" width="23.5546875" style="92" customWidth="1"/>
    <col min="9987" max="9987" width="17.21875" style="92" customWidth="1"/>
    <col min="9988" max="9988" width="20.5546875" style="92" bestFit="1" customWidth="1"/>
    <col min="9989" max="9989" width="17.21875" style="92" customWidth="1"/>
    <col min="9990" max="9990" width="21.77734375" style="92" bestFit="1" customWidth="1"/>
    <col min="9991" max="9991" width="17.21875" style="92" bestFit="1" customWidth="1"/>
    <col min="9992" max="9992" width="18.21875" style="92" bestFit="1" customWidth="1"/>
    <col min="9993" max="9993" width="26.44140625" style="92" customWidth="1"/>
    <col min="9994" max="10238" width="9.21875" style="92"/>
    <col min="10239" max="10239" width="8.77734375" style="92" bestFit="1" customWidth="1"/>
    <col min="10240" max="10240" width="13.21875" style="92" customWidth="1"/>
    <col min="10241" max="10241" width="16.21875" style="92" bestFit="1" customWidth="1"/>
    <col min="10242" max="10242" width="23.5546875" style="92" customWidth="1"/>
    <col min="10243" max="10243" width="17.21875" style="92" customWidth="1"/>
    <col min="10244" max="10244" width="20.5546875" style="92" bestFit="1" customWidth="1"/>
    <col min="10245" max="10245" width="17.21875" style="92" customWidth="1"/>
    <col min="10246" max="10246" width="21.77734375" style="92" bestFit="1" customWidth="1"/>
    <col min="10247" max="10247" width="17.21875" style="92" bestFit="1" customWidth="1"/>
    <col min="10248" max="10248" width="18.21875" style="92" bestFit="1" customWidth="1"/>
    <col min="10249" max="10249" width="26.44140625" style="92" customWidth="1"/>
    <col min="10250" max="10494" width="9.21875" style="92"/>
    <col min="10495" max="10495" width="8.77734375" style="92" bestFit="1" customWidth="1"/>
    <col min="10496" max="10496" width="13.21875" style="92" customWidth="1"/>
    <col min="10497" max="10497" width="16.21875" style="92" bestFit="1" customWidth="1"/>
    <col min="10498" max="10498" width="23.5546875" style="92" customWidth="1"/>
    <col min="10499" max="10499" width="17.21875" style="92" customWidth="1"/>
    <col min="10500" max="10500" width="20.5546875" style="92" bestFit="1" customWidth="1"/>
    <col min="10501" max="10501" width="17.21875" style="92" customWidth="1"/>
    <col min="10502" max="10502" width="21.77734375" style="92" bestFit="1" customWidth="1"/>
    <col min="10503" max="10503" width="17.21875" style="92" bestFit="1" customWidth="1"/>
    <col min="10504" max="10504" width="18.21875" style="92" bestFit="1" customWidth="1"/>
    <col min="10505" max="10505" width="26.44140625" style="92" customWidth="1"/>
    <col min="10506" max="10750" width="9.21875" style="92"/>
    <col min="10751" max="10751" width="8.77734375" style="92" bestFit="1" customWidth="1"/>
    <col min="10752" max="10752" width="13.21875" style="92" customWidth="1"/>
    <col min="10753" max="10753" width="16.21875" style="92" bestFit="1" customWidth="1"/>
    <col min="10754" max="10754" width="23.5546875" style="92" customWidth="1"/>
    <col min="10755" max="10755" width="17.21875" style="92" customWidth="1"/>
    <col min="10756" max="10756" width="20.5546875" style="92" bestFit="1" customWidth="1"/>
    <col min="10757" max="10757" width="17.21875" style="92" customWidth="1"/>
    <col min="10758" max="10758" width="21.77734375" style="92" bestFit="1" customWidth="1"/>
    <col min="10759" max="10759" width="17.21875" style="92" bestFit="1" customWidth="1"/>
    <col min="10760" max="10760" width="18.21875" style="92" bestFit="1" customWidth="1"/>
    <col min="10761" max="10761" width="26.44140625" style="92" customWidth="1"/>
    <col min="10762" max="11006" width="9.21875" style="92"/>
    <col min="11007" max="11007" width="8.77734375" style="92" bestFit="1" customWidth="1"/>
    <col min="11008" max="11008" width="13.21875" style="92" customWidth="1"/>
    <col min="11009" max="11009" width="16.21875" style="92" bestFit="1" customWidth="1"/>
    <col min="11010" max="11010" width="23.5546875" style="92" customWidth="1"/>
    <col min="11011" max="11011" width="17.21875" style="92" customWidth="1"/>
    <col min="11012" max="11012" width="20.5546875" style="92" bestFit="1" customWidth="1"/>
    <col min="11013" max="11013" width="17.21875" style="92" customWidth="1"/>
    <col min="11014" max="11014" width="21.77734375" style="92" bestFit="1" customWidth="1"/>
    <col min="11015" max="11015" width="17.21875" style="92" bestFit="1" customWidth="1"/>
    <col min="11016" max="11016" width="18.21875" style="92" bestFit="1" customWidth="1"/>
    <col min="11017" max="11017" width="26.44140625" style="92" customWidth="1"/>
    <col min="11018" max="11262" width="9.21875" style="92"/>
    <col min="11263" max="11263" width="8.77734375" style="92" bestFit="1" customWidth="1"/>
    <col min="11264" max="11264" width="13.21875" style="92" customWidth="1"/>
    <col min="11265" max="11265" width="16.21875" style="92" bestFit="1" customWidth="1"/>
    <col min="11266" max="11266" width="23.5546875" style="92" customWidth="1"/>
    <col min="11267" max="11267" width="17.21875" style="92" customWidth="1"/>
    <col min="11268" max="11268" width="20.5546875" style="92" bestFit="1" customWidth="1"/>
    <col min="11269" max="11269" width="17.21875" style="92" customWidth="1"/>
    <col min="11270" max="11270" width="21.77734375" style="92" bestFit="1" customWidth="1"/>
    <col min="11271" max="11271" width="17.21875" style="92" bestFit="1" customWidth="1"/>
    <col min="11272" max="11272" width="18.21875" style="92" bestFit="1" customWidth="1"/>
    <col min="11273" max="11273" width="26.44140625" style="92" customWidth="1"/>
    <col min="11274" max="11518" width="9.21875" style="92"/>
    <col min="11519" max="11519" width="8.77734375" style="92" bestFit="1" customWidth="1"/>
    <col min="11520" max="11520" width="13.21875" style="92" customWidth="1"/>
    <col min="11521" max="11521" width="16.21875" style="92" bestFit="1" customWidth="1"/>
    <col min="11522" max="11522" width="23.5546875" style="92" customWidth="1"/>
    <col min="11523" max="11523" width="17.21875" style="92" customWidth="1"/>
    <col min="11524" max="11524" width="20.5546875" style="92" bestFit="1" customWidth="1"/>
    <col min="11525" max="11525" width="17.21875" style="92" customWidth="1"/>
    <col min="11526" max="11526" width="21.77734375" style="92" bestFit="1" customWidth="1"/>
    <col min="11527" max="11527" width="17.21875" style="92" bestFit="1" customWidth="1"/>
    <col min="11528" max="11528" width="18.21875" style="92" bestFit="1" customWidth="1"/>
    <col min="11529" max="11529" width="26.44140625" style="92" customWidth="1"/>
    <col min="11530" max="11774" width="9.21875" style="92"/>
    <col min="11775" max="11775" width="8.77734375" style="92" bestFit="1" customWidth="1"/>
    <col min="11776" max="11776" width="13.21875" style="92" customWidth="1"/>
    <col min="11777" max="11777" width="16.21875" style="92" bestFit="1" customWidth="1"/>
    <col min="11778" max="11778" width="23.5546875" style="92" customWidth="1"/>
    <col min="11779" max="11779" width="17.21875" style="92" customWidth="1"/>
    <col min="11780" max="11780" width="20.5546875" style="92" bestFit="1" customWidth="1"/>
    <col min="11781" max="11781" width="17.21875" style="92" customWidth="1"/>
    <col min="11782" max="11782" width="21.77734375" style="92" bestFit="1" customWidth="1"/>
    <col min="11783" max="11783" width="17.21875" style="92" bestFit="1" customWidth="1"/>
    <col min="11784" max="11784" width="18.21875" style="92" bestFit="1" customWidth="1"/>
    <col min="11785" max="11785" width="26.44140625" style="92" customWidth="1"/>
    <col min="11786" max="12030" width="9.21875" style="92"/>
    <col min="12031" max="12031" width="8.77734375" style="92" bestFit="1" customWidth="1"/>
    <col min="12032" max="12032" width="13.21875" style="92" customWidth="1"/>
    <col min="12033" max="12033" width="16.21875" style="92" bestFit="1" customWidth="1"/>
    <col min="12034" max="12034" width="23.5546875" style="92" customWidth="1"/>
    <col min="12035" max="12035" width="17.21875" style="92" customWidth="1"/>
    <col min="12036" max="12036" width="20.5546875" style="92" bestFit="1" customWidth="1"/>
    <col min="12037" max="12037" width="17.21875" style="92" customWidth="1"/>
    <col min="12038" max="12038" width="21.77734375" style="92" bestFit="1" customWidth="1"/>
    <col min="12039" max="12039" width="17.21875" style="92" bestFit="1" customWidth="1"/>
    <col min="12040" max="12040" width="18.21875" style="92" bestFit="1" customWidth="1"/>
    <col min="12041" max="12041" width="26.44140625" style="92" customWidth="1"/>
    <col min="12042" max="12286" width="9.21875" style="92"/>
    <col min="12287" max="12287" width="8.77734375" style="92" bestFit="1" customWidth="1"/>
    <col min="12288" max="12288" width="13.21875" style="92" customWidth="1"/>
    <col min="12289" max="12289" width="16.21875" style="92" bestFit="1" customWidth="1"/>
    <col min="12290" max="12290" width="23.5546875" style="92" customWidth="1"/>
    <col min="12291" max="12291" width="17.21875" style="92" customWidth="1"/>
    <col min="12292" max="12292" width="20.5546875" style="92" bestFit="1" customWidth="1"/>
    <col min="12293" max="12293" width="17.21875" style="92" customWidth="1"/>
    <col min="12294" max="12294" width="21.77734375" style="92" bestFit="1" customWidth="1"/>
    <col min="12295" max="12295" width="17.21875" style="92" bestFit="1" customWidth="1"/>
    <col min="12296" max="12296" width="18.21875" style="92" bestFit="1" customWidth="1"/>
    <col min="12297" max="12297" width="26.44140625" style="92" customWidth="1"/>
    <col min="12298" max="12542" width="9.21875" style="92"/>
    <col min="12543" max="12543" width="8.77734375" style="92" bestFit="1" customWidth="1"/>
    <col min="12544" max="12544" width="13.21875" style="92" customWidth="1"/>
    <col min="12545" max="12545" width="16.21875" style="92" bestFit="1" customWidth="1"/>
    <col min="12546" max="12546" width="23.5546875" style="92" customWidth="1"/>
    <col min="12547" max="12547" width="17.21875" style="92" customWidth="1"/>
    <col min="12548" max="12548" width="20.5546875" style="92" bestFit="1" customWidth="1"/>
    <col min="12549" max="12549" width="17.21875" style="92" customWidth="1"/>
    <col min="12550" max="12550" width="21.77734375" style="92" bestFit="1" customWidth="1"/>
    <col min="12551" max="12551" width="17.21875" style="92" bestFit="1" customWidth="1"/>
    <col min="12552" max="12552" width="18.21875" style="92" bestFit="1" customWidth="1"/>
    <col min="12553" max="12553" width="26.44140625" style="92" customWidth="1"/>
    <col min="12554" max="12798" width="9.21875" style="92"/>
    <col min="12799" max="12799" width="8.77734375" style="92" bestFit="1" customWidth="1"/>
    <col min="12800" max="12800" width="13.21875" style="92" customWidth="1"/>
    <col min="12801" max="12801" width="16.21875" style="92" bestFit="1" customWidth="1"/>
    <col min="12802" max="12802" width="23.5546875" style="92" customWidth="1"/>
    <col min="12803" max="12803" width="17.21875" style="92" customWidth="1"/>
    <col min="12804" max="12804" width="20.5546875" style="92" bestFit="1" customWidth="1"/>
    <col min="12805" max="12805" width="17.21875" style="92" customWidth="1"/>
    <col min="12806" max="12806" width="21.77734375" style="92" bestFit="1" customWidth="1"/>
    <col min="12807" max="12807" width="17.21875" style="92" bestFit="1" customWidth="1"/>
    <col min="12808" max="12808" width="18.21875" style="92" bestFit="1" customWidth="1"/>
    <col min="12809" max="12809" width="26.44140625" style="92" customWidth="1"/>
    <col min="12810" max="13054" width="9.21875" style="92"/>
    <col min="13055" max="13055" width="8.77734375" style="92" bestFit="1" customWidth="1"/>
    <col min="13056" max="13056" width="13.21875" style="92" customWidth="1"/>
    <col min="13057" max="13057" width="16.21875" style="92" bestFit="1" customWidth="1"/>
    <col min="13058" max="13058" width="23.5546875" style="92" customWidth="1"/>
    <col min="13059" max="13059" width="17.21875" style="92" customWidth="1"/>
    <col min="13060" max="13060" width="20.5546875" style="92" bestFit="1" customWidth="1"/>
    <col min="13061" max="13061" width="17.21875" style="92" customWidth="1"/>
    <col min="13062" max="13062" width="21.77734375" style="92" bestFit="1" customWidth="1"/>
    <col min="13063" max="13063" width="17.21875" style="92" bestFit="1" customWidth="1"/>
    <col min="13064" max="13064" width="18.21875" style="92" bestFit="1" customWidth="1"/>
    <col min="13065" max="13065" width="26.44140625" style="92" customWidth="1"/>
    <col min="13066" max="13310" width="9.21875" style="92"/>
    <col min="13311" max="13311" width="8.77734375" style="92" bestFit="1" customWidth="1"/>
    <col min="13312" max="13312" width="13.21875" style="92" customWidth="1"/>
    <col min="13313" max="13313" width="16.21875" style="92" bestFit="1" customWidth="1"/>
    <col min="13314" max="13314" width="23.5546875" style="92" customWidth="1"/>
    <col min="13315" max="13315" width="17.21875" style="92" customWidth="1"/>
    <col min="13316" max="13316" width="20.5546875" style="92" bestFit="1" customWidth="1"/>
    <col min="13317" max="13317" width="17.21875" style="92" customWidth="1"/>
    <col min="13318" max="13318" width="21.77734375" style="92" bestFit="1" customWidth="1"/>
    <col min="13319" max="13319" width="17.21875" style="92" bestFit="1" customWidth="1"/>
    <col min="13320" max="13320" width="18.21875" style="92" bestFit="1" customWidth="1"/>
    <col min="13321" max="13321" width="26.44140625" style="92" customWidth="1"/>
    <col min="13322" max="13566" width="9.21875" style="92"/>
    <col min="13567" max="13567" width="8.77734375" style="92" bestFit="1" customWidth="1"/>
    <col min="13568" max="13568" width="13.21875" style="92" customWidth="1"/>
    <col min="13569" max="13569" width="16.21875" style="92" bestFit="1" customWidth="1"/>
    <col min="13570" max="13570" width="23.5546875" style="92" customWidth="1"/>
    <col min="13571" max="13571" width="17.21875" style="92" customWidth="1"/>
    <col min="13572" max="13572" width="20.5546875" style="92" bestFit="1" customWidth="1"/>
    <col min="13573" max="13573" width="17.21875" style="92" customWidth="1"/>
    <col min="13574" max="13574" width="21.77734375" style="92" bestFit="1" customWidth="1"/>
    <col min="13575" max="13575" width="17.21875" style="92" bestFit="1" customWidth="1"/>
    <col min="13576" max="13576" width="18.21875" style="92" bestFit="1" customWidth="1"/>
    <col min="13577" max="13577" width="26.44140625" style="92" customWidth="1"/>
    <col min="13578" max="13822" width="9.21875" style="92"/>
    <col min="13823" max="13823" width="8.77734375" style="92" bestFit="1" customWidth="1"/>
    <col min="13824" max="13824" width="13.21875" style="92" customWidth="1"/>
    <col min="13825" max="13825" width="16.21875" style="92" bestFit="1" customWidth="1"/>
    <col min="13826" max="13826" width="23.5546875" style="92" customWidth="1"/>
    <col min="13827" max="13827" width="17.21875" style="92" customWidth="1"/>
    <col min="13828" max="13828" width="20.5546875" style="92" bestFit="1" customWidth="1"/>
    <col min="13829" max="13829" width="17.21875" style="92" customWidth="1"/>
    <col min="13830" max="13830" width="21.77734375" style="92" bestFit="1" customWidth="1"/>
    <col min="13831" max="13831" width="17.21875" style="92" bestFit="1" customWidth="1"/>
    <col min="13832" max="13832" width="18.21875" style="92" bestFit="1" customWidth="1"/>
    <col min="13833" max="13833" width="26.44140625" style="92" customWidth="1"/>
    <col min="13834" max="14078" width="9.21875" style="92"/>
    <col min="14079" max="14079" width="8.77734375" style="92" bestFit="1" customWidth="1"/>
    <col min="14080" max="14080" width="13.21875" style="92" customWidth="1"/>
    <col min="14081" max="14081" width="16.21875" style="92" bestFit="1" customWidth="1"/>
    <col min="14082" max="14082" width="23.5546875" style="92" customWidth="1"/>
    <col min="14083" max="14083" width="17.21875" style="92" customWidth="1"/>
    <col min="14084" max="14084" width="20.5546875" style="92" bestFit="1" customWidth="1"/>
    <col min="14085" max="14085" width="17.21875" style="92" customWidth="1"/>
    <col min="14086" max="14086" width="21.77734375" style="92" bestFit="1" customWidth="1"/>
    <col min="14087" max="14087" width="17.21875" style="92" bestFit="1" customWidth="1"/>
    <col min="14088" max="14088" width="18.21875" style="92" bestFit="1" customWidth="1"/>
    <col min="14089" max="14089" width="26.44140625" style="92" customWidth="1"/>
    <col min="14090" max="14334" width="9.21875" style="92"/>
    <col min="14335" max="14335" width="8.77734375" style="92" bestFit="1" customWidth="1"/>
    <col min="14336" max="14336" width="13.21875" style="92" customWidth="1"/>
    <col min="14337" max="14337" width="16.21875" style="92" bestFit="1" customWidth="1"/>
    <col min="14338" max="14338" width="23.5546875" style="92" customWidth="1"/>
    <col min="14339" max="14339" width="17.21875" style="92" customWidth="1"/>
    <col min="14340" max="14340" width="20.5546875" style="92" bestFit="1" customWidth="1"/>
    <col min="14341" max="14341" width="17.21875" style="92" customWidth="1"/>
    <col min="14342" max="14342" width="21.77734375" style="92" bestFit="1" customWidth="1"/>
    <col min="14343" max="14343" width="17.21875" style="92" bestFit="1" customWidth="1"/>
    <col min="14344" max="14344" width="18.21875" style="92" bestFit="1" customWidth="1"/>
    <col min="14345" max="14345" width="26.44140625" style="92" customWidth="1"/>
    <col min="14346" max="14590" width="9.21875" style="92"/>
    <col min="14591" max="14591" width="8.77734375" style="92" bestFit="1" customWidth="1"/>
    <col min="14592" max="14592" width="13.21875" style="92" customWidth="1"/>
    <col min="14593" max="14593" width="16.21875" style="92" bestFit="1" customWidth="1"/>
    <col min="14594" max="14594" width="23.5546875" style="92" customWidth="1"/>
    <col min="14595" max="14595" width="17.21875" style="92" customWidth="1"/>
    <col min="14596" max="14596" width="20.5546875" style="92" bestFit="1" customWidth="1"/>
    <col min="14597" max="14597" width="17.21875" style="92" customWidth="1"/>
    <col min="14598" max="14598" width="21.77734375" style="92" bestFit="1" customWidth="1"/>
    <col min="14599" max="14599" width="17.21875" style="92" bestFit="1" customWidth="1"/>
    <col min="14600" max="14600" width="18.21875" style="92" bestFit="1" customWidth="1"/>
    <col min="14601" max="14601" width="26.44140625" style="92" customWidth="1"/>
    <col min="14602" max="14846" width="9.21875" style="92"/>
    <col min="14847" max="14847" width="8.77734375" style="92" bestFit="1" customWidth="1"/>
    <col min="14848" max="14848" width="13.21875" style="92" customWidth="1"/>
    <col min="14849" max="14849" width="16.21875" style="92" bestFit="1" customWidth="1"/>
    <col min="14850" max="14850" width="23.5546875" style="92" customWidth="1"/>
    <col min="14851" max="14851" width="17.21875" style="92" customWidth="1"/>
    <col min="14852" max="14852" width="20.5546875" style="92" bestFit="1" customWidth="1"/>
    <col min="14853" max="14853" width="17.21875" style="92" customWidth="1"/>
    <col min="14854" max="14854" width="21.77734375" style="92" bestFit="1" customWidth="1"/>
    <col min="14855" max="14855" width="17.21875" style="92" bestFit="1" customWidth="1"/>
    <col min="14856" max="14856" width="18.21875" style="92" bestFit="1" customWidth="1"/>
    <col min="14857" max="14857" width="26.44140625" style="92" customWidth="1"/>
    <col min="14858" max="15102" width="9.21875" style="92"/>
    <col min="15103" max="15103" width="8.77734375" style="92" bestFit="1" customWidth="1"/>
    <col min="15104" max="15104" width="13.21875" style="92" customWidth="1"/>
    <col min="15105" max="15105" width="16.21875" style="92" bestFit="1" customWidth="1"/>
    <col min="15106" max="15106" width="23.5546875" style="92" customWidth="1"/>
    <col min="15107" max="15107" width="17.21875" style="92" customWidth="1"/>
    <col min="15108" max="15108" width="20.5546875" style="92" bestFit="1" customWidth="1"/>
    <col min="15109" max="15109" width="17.21875" style="92" customWidth="1"/>
    <col min="15110" max="15110" width="21.77734375" style="92" bestFit="1" customWidth="1"/>
    <col min="15111" max="15111" width="17.21875" style="92" bestFit="1" customWidth="1"/>
    <col min="15112" max="15112" width="18.21875" style="92" bestFit="1" customWidth="1"/>
    <col min="15113" max="15113" width="26.44140625" style="92" customWidth="1"/>
    <col min="15114" max="15358" width="9.21875" style="92"/>
    <col min="15359" max="15359" width="8.77734375" style="92" bestFit="1" customWidth="1"/>
    <col min="15360" max="15360" width="13.21875" style="92" customWidth="1"/>
    <col min="15361" max="15361" width="16.21875" style="92" bestFit="1" customWidth="1"/>
    <col min="15362" max="15362" width="23.5546875" style="92" customWidth="1"/>
    <col min="15363" max="15363" width="17.21875" style="92" customWidth="1"/>
    <col min="15364" max="15364" width="20.5546875" style="92" bestFit="1" customWidth="1"/>
    <col min="15365" max="15365" width="17.21875" style="92" customWidth="1"/>
    <col min="15366" max="15366" width="21.77734375" style="92" bestFit="1" customWidth="1"/>
    <col min="15367" max="15367" width="17.21875" style="92" bestFit="1" customWidth="1"/>
    <col min="15368" max="15368" width="18.21875" style="92" bestFit="1" customWidth="1"/>
    <col min="15369" max="15369" width="26.44140625" style="92" customWidth="1"/>
    <col min="15370" max="15614" width="9.21875" style="92"/>
    <col min="15615" max="15615" width="8.77734375" style="92" bestFit="1" customWidth="1"/>
    <col min="15616" max="15616" width="13.21875" style="92" customWidth="1"/>
    <col min="15617" max="15617" width="16.21875" style="92" bestFit="1" customWidth="1"/>
    <col min="15618" max="15618" width="23.5546875" style="92" customWidth="1"/>
    <col min="15619" max="15619" width="17.21875" style="92" customWidth="1"/>
    <col min="15620" max="15620" width="20.5546875" style="92" bestFit="1" customWidth="1"/>
    <col min="15621" max="15621" width="17.21875" style="92" customWidth="1"/>
    <col min="15622" max="15622" width="21.77734375" style="92" bestFit="1" customWidth="1"/>
    <col min="15623" max="15623" width="17.21875" style="92" bestFit="1" customWidth="1"/>
    <col min="15624" max="15624" width="18.21875" style="92" bestFit="1" customWidth="1"/>
    <col min="15625" max="15625" width="26.44140625" style="92" customWidth="1"/>
    <col min="15626" max="15870" width="9.21875" style="92"/>
    <col min="15871" max="15871" width="8.77734375" style="92" bestFit="1" customWidth="1"/>
    <col min="15872" max="15872" width="13.21875" style="92" customWidth="1"/>
    <col min="15873" max="15873" width="16.21875" style="92" bestFit="1" customWidth="1"/>
    <col min="15874" max="15874" width="23.5546875" style="92" customWidth="1"/>
    <col min="15875" max="15875" width="17.21875" style="92" customWidth="1"/>
    <col min="15876" max="15876" width="20.5546875" style="92" bestFit="1" customWidth="1"/>
    <col min="15877" max="15877" width="17.21875" style="92" customWidth="1"/>
    <col min="15878" max="15878" width="21.77734375" style="92" bestFit="1" customWidth="1"/>
    <col min="15879" max="15879" width="17.21875" style="92" bestFit="1" customWidth="1"/>
    <col min="15880" max="15880" width="18.21875" style="92" bestFit="1" customWidth="1"/>
    <col min="15881" max="15881" width="26.44140625" style="92" customWidth="1"/>
    <col min="15882" max="16126" width="9.21875" style="92"/>
    <col min="16127" max="16127" width="8.77734375" style="92" bestFit="1" customWidth="1"/>
    <col min="16128" max="16128" width="13.21875" style="92" customWidth="1"/>
    <col min="16129" max="16129" width="16.21875" style="92" bestFit="1" customWidth="1"/>
    <col min="16130" max="16130" width="23.5546875" style="92" customWidth="1"/>
    <col min="16131" max="16131" width="17.21875" style="92" customWidth="1"/>
    <col min="16132" max="16132" width="20.5546875" style="92" bestFit="1" customWidth="1"/>
    <col min="16133" max="16133" width="17.21875" style="92" customWidth="1"/>
    <col min="16134" max="16134" width="21.77734375" style="92" bestFit="1" customWidth="1"/>
    <col min="16135" max="16135" width="17.21875" style="92" bestFit="1" customWidth="1"/>
    <col min="16136" max="16136" width="18.21875" style="92" bestFit="1" customWidth="1"/>
    <col min="16137" max="16137" width="26.44140625" style="92" customWidth="1"/>
    <col min="16138" max="16384" width="9.21875" style="92"/>
  </cols>
  <sheetData>
    <row r="1" spans="11:12" s="110" customFormat="1" x14ac:dyDescent="0.25">
      <c r="K1" s="409"/>
      <c r="L1" s="408"/>
    </row>
    <row r="2" spans="11:12" s="110" customFormat="1" x14ac:dyDescent="0.25">
      <c r="K2" s="409"/>
      <c r="L2" s="408"/>
    </row>
    <row r="3" spans="11:12" s="110" customFormat="1" x14ac:dyDescent="0.25">
      <c r="K3" s="409"/>
      <c r="L3" s="408"/>
    </row>
    <row r="4" spans="11:12" s="110" customFormat="1" x14ac:dyDescent="0.25">
      <c r="K4" s="409"/>
      <c r="L4" s="408"/>
    </row>
    <row r="5" spans="11:12" s="110" customFormat="1" x14ac:dyDescent="0.25">
      <c r="K5" s="409"/>
      <c r="L5" s="408"/>
    </row>
    <row r="6" spans="11:12" s="110" customFormat="1" x14ac:dyDescent="0.25">
      <c r="K6" s="409"/>
      <c r="L6" s="408"/>
    </row>
    <row r="7" spans="11:12" s="110" customFormat="1" x14ac:dyDescent="0.25">
      <c r="K7" s="409"/>
      <c r="L7" s="408"/>
    </row>
    <row r="8" spans="11:12" s="110" customFormat="1" x14ac:dyDescent="0.25">
      <c r="K8" s="409"/>
      <c r="L8" s="408"/>
    </row>
    <row r="9" spans="11:12" s="110" customFormat="1" x14ac:dyDescent="0.25">
      <c r="K9" s="409"/>
      <c r="L9" s="408"/>
    </row>
    <row r="10" spans="11:12" s="110" customFormat="1" x14ac:dyDescent="0.25">
      <c r="K10" s="409"/>
      <c r="L10" s="408"/>
    </row>
    <row r="11" spans="11:12" s="110" customFormat="1" x14ac:dyDescent="0.25">
      <c r="K11" s="409"/>
      <c r="L11" s="408"/>
    </row>
    <row r="12" spans="11:12" s="110" customFormat="1" x14ac:dyDescent="0.25">
      <c r="K12" s="409"/>
      <c r="L12" s="408"/>
    </row>
    <row r="13" spans="11:12" s="110" customFormat="1" x14ac:dyDescent="0.25">
      <c r="K13" s="409"/>
      <c r="L13" s="408"/>
    </row>
    <row r="14" spans="11:12" s="110" customFormat="1" x14ac:dyDescent="0.25">
      <c r="K14" s="409"/>
      <c r="L14" s="408"/>
    </row>
    <row r="15" spans="11:12" s="110" customFormat="1" x14ac:dyDescent="0.25">
      <c r="K15" s="409"/>
      <c r="L15" s="408"/>
    </row>
    <row r="16" spans="11:12" s="110" customFormat="1" x14ac:dyDescent="0.25">
      <c r="K16" s="409"/>
      <c r="L16" s="408"/>
    </row>
    <row r="17" spans="1:21" s="110" customFormat="1" x14ac:dyDescent="0.25">
      <c r="K17" s="409"/>
      <c r="L17" s="408"/>
    </row>
    <row r="18" spans="1:21" s="110" customFormat="1" x14ac:dyDescent="0.25">
      <c r="K18" s="409"/>
      <c r="L18" s="408"/>
    </row>
    <row r="19" spans="1:21" s="110" customFormat="1" x14ac:dyDescent="0.25">
      <c r="K19" s="409"/>
      <c r="L19" s="408"/>
    </row>
    <row r="20" spans="1:21" s="110" customFormat="1" x14ac:dyDescent="0.25">
      <c r="K20" s="409"/>
      <c r="L20" s="408"/>
    </row>
    <row r="21" spans="1:21" s="110" customFormat="1" x14ac:dyDescent="0.25">
      <c r="K21" s="409"/>
      <c r="L21" s="408"/>
    </row>
    <row r="22" spans="1:21" s="110" customFormat="1" x14ac:dyDescent="0.25">
      <c r="K22" s="409"/>
      <c r="L22" s="408"/>
    </row>
    <row r="23" spans="1:21" s="110" customFormat="1" x14ac:dyDescent="0.25">
      <c r="K23" s="409"/>
      <c r="L23" s="408"/>
    </row>
    <row r="24" spans="1:21" s="110" customFormat="1" x14ac:dyDescent="0.25">
      <c r="K24" s="409"/>
      <c r="L24" s="408"/>
    </row>
    <row r="25" spans="1:21" s="110" customFormat="1" x14ac:dyDescent="0.25">
      <c r="K25" s="409"/>
      <c r="L25" s="408"/>
      <c r="O25" s="636"/>
      <c r="P25" s="636"/>
      <c r="Q25" s="636"/>
      <c r="R25" s="636"/>
      <c r="S25" s="636"/>
      <c r="T25" s="636"/>
      <c r="U25" s="636"/>
    </row>
    <row r="26" spans="1:21" s="110" customFormat="1" x14ac:dyDescent="0.25">
      <c r="K26" s="409"/>
      <c r="L26" s="408"/>
      <c r="O26" s="636"/>
      <c r="P26" s="636"/>
      <c r="Q26" s="636"/>
      <c r="R26" s="636"/>
      <c r="S26" s="636"/>
      <c r="T26" s="636"/>
      <c r="U26" s="636"/>
    </row>
    <row r="27" spans="1:21" s="110" customFormat="1" x14ac:dyDescent="0.25">
      <c r="K27" s="409"/>
      <c r="L27" s="408"/>
      <c r="O27" s="636"/>
      <c r="P27" s="636"/>
      <c r="Q27" s="636"/>
      <c r="R27" s="636"/>
      <c r="S27" s="636"/>
      <c r="T27" s="636"/>
      <c r="U27" s="636"/>
    </row>
    <row r="28" spans="1:21" s="110" customFormat="1" ht="24.75" customHeight="1" x14ac:dyDescent="0.3">
      <c r="A28" s="431" t="str">
        <f>CHOOSE(MODE, 'Variable Mgmt'!K7,'Variable Mgmt'!K8)</f>
        <v>SINGLE Output PSR Flyback Converter, VIN = 11.1 V, VOUT = 15 V, IOUT = 0.5 A</v>
      </c>
      <c r="K28" s="408"/>
      <c r="L28" s="408"/>
      <c r="O28" s="636"/>
      <c r="P28" s="636"/>
      <c r="Q28" s="636"/>
      <c r="R28" s="636"/>
      <c r="S28" s="636"/>
      <c r="T28" s="636"/>
      <c r="U28" s="636"/>
    </row>
    <row r="29" spans="1:21" ht="24.75" customHeight="1" thickBot="1" x14ac:dyDescent="0.3">
      <c r="A29" s="93" t="str">
        <f>CHOOSE(VARIANT,"LM5180 High Efficiency PSR Flyback Converter BOM","LM5181 High Efficiency PSR Flyback Converter BOM","LM25180 High Efficiency PSR Flyback Converter BOM","LM25183 High Efficiency PSR Flyback Converter BOM","LM25184 High Efficiency PSR Flyback Converter BOM")</f>
        <v>LM25184 High Efficiency PSR Flyback Converter BOM</v>
      </c>
      <c r="O29" s="637"/>
      <c r="P29" s="637"/>
      <c r="Q29" s="637"/>
      <c r="R29" s="637"/>
      <c r="S29" s="637"/>
      <c r="T29" s="637"/>
      <c r="U29" s="637"/>
    </row>
    <row r="30" spans="1:21" ht="18" customHeight="1" x14ac:dyDescent="0.25">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5">
      <c r="A31" s="94">
        <f>ROUNDUP('LM(2)518x PSR flyback converter'!E18/10,0)</f>
        <v>3</v>
      </c>
      <c r="B31" s="106" t="s">
        <v>120</v>
      </c>
      <c r="C31" s="109">
        <f>Cin</f>
        <v>22</v>
      </c>
      <c r="D31" s="680" t="str">
        <f>IF(VIN_max&gt;35, "Capacitor, Ceramic, "&amp;'Variable Mgmt'!B226&amp;", 100V, X7R, 10%", "Capacitor, Ceramic, "&amp;'Variable Mgmt'!B226&amp;", 50V, X7R, 10%")</f>
        <v>Capacitor, Ceramic, 22µF,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5">
      <c r="A32" s="94">
        <v>1</v>
      </c>
      <c r="B32" s="106" t="s">
        <v>121</v>
      </c>
      <c r="C32" s="109">
        <f>Cout</f>
        <v>100</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100µF,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5">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5">
      <c r="A34" s="96" t="str">
        <f>CHOOSE(MODE_SS, "1", "-", "1")</f>
        <v>1</v>
      </c>
      <c r="B34" s="97" t="str">
        <f>CHOOSE(MODE_SS, "Css", "-")</f>
        <v>Css</v>
      </c>
      <c r="C34" s="543" t="str">
        <f>CHOOSE(MODE_SS, 'Standard Value Calculator'!B4*1000000000&amp;"nF", "-", "100k")</f>
        <v>100nF</v>
      </c>
      <c r="D34" s="698" t="str">
        <f>CHOOSE(MODE_SS, "Capacitor, Ceramic, "&amp;'Standard Value Calculator'!B4*1000000000&amp;"nF"&amp;", 16V, X7R, 10%", "-")</f>
        <v>Capacitor, Ceramic, 100nF, 16V, X7R, 10%</v>
      </c>
      <c r="E34" s="699"/>
      <c r="F34" s="699"/>
      <c r="G34" s="99" t="s">
        <v>119</v>
      </c>
      <c r="H34" s="100" t="str">
        <f>CHOOSE(MODE_SS, "Std", "-")</f>
        <v>Std</v>
      </c>
      <c r="I34" s="414" t="str">
        <f>CHOOSE(MODE_SS, "Std", "-")</f>
        <v>Std</v>
      </c>
      <c r="J34" s="422" t="str">
        <f>CHOOSE(MODE_SS,CHOOSE(Q34,'Variable Mgmt'!T64,'Variable Mgmt'!T65,'Variable Mgmt'!T66),"-",CHOOSE(Q34,'Variable Mgmt'!T64,'Variable Mgmt'!T65,'Variable Mgmt'!T66))</f>
        <v>1.0 x 0.5</v>
      </c>
      <c r="K34" s="420">
        <f>CHOOSE(MODE_SS, CHOOSE(Q34,'Variable Mgmt'!U64,'Variable Mgmt'!U65,'Variable Mgmt'!U66), "-", CHOOSE(Q34,'Variable Mgmt'!U64,'Variable Mgmt'!U65,'Variable Mgmt'!U66))</f>
        <v>0.5</v>
      </c>
      <c r="L34" s="425"/>
      <c r="O34" s="639"/>
      <c r="P34" s="641"/>
      <c r="Q34" s="643">
        <v>1</v>
      </c>
      <c r="R34" s="639"/>
      <c r="S34" s="639"/>
      <c r="T34" s="639"/>
      <c r="U34" s="639"/>
    </row>
    <row r="35" spans="1:21" s="95" customFormat="1" ht="17.100000000000001" customHeight="1" x14ac:dyDescent="0.25">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5">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5">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5">
      <c r="A38" s="101">
        <v>1</v>
      </c>
      <c r="B38" s="102" t="s">
        <v>636</v>
      </c>
      <c r="C38" s="103" t="str">
        <f>Vout*Nps*1.3&amp;"V"</f>
        <v>9.75V</v>
      </c>
      <c r="D38" s="687" t="str">
        <f>"Clamp Circuit Diode, Zener, "&amp;ROUND(Vout*Nps*13,0)/10&amp;"V"</f>
        <v>Clamp Circuit Diode, Zener, 9.8V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5">
      <c r="A39" s="101">
        <v>1</v>
      </c>
      <c r="B39" s="102" t="s">
        <v>648</v>
      </c>
      <c r="C39" s="103" t="str">
        <f>Vout*1.1&amp;"V"</f>
        <v>16.5V</v>
      </c>
      <c r="D39" s="541" t="str">
        <f>"Output Clamp Diode, Zener, "&amp;(ROUND(Vout*11.25,0)/10)&amp;"V"</f>
        <v>Output Clamp Diode, Zener, 16.9V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5">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5">
      <c r="A41" s="96">
        <v>1</v>
      </c>
      <c r="B41" s="97" t="s">
        <v>536</v>
      </c>
      <c r="C41" s="98">
        <f>Rfb/1000</f>
        <v>196</v>
      </c>
      <c r="D41" s="685">
        <f>C41</f>
        <v>196</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5">
      <c r="A42" s="96" t="str">
        <f>CHOOSE(MODE_UVLO, "1", "-")</f>
        <v>1</v>
      </c>
      <c r="B42" s="97" t="s">
        <v>126</v>
      </c>
      <c r="C42" s="396" t="str">
        <f>CHOOSE(MODE_UVLO, 'Variable Mgmt'!H245, "-")</f>
        <v>46.4k</v>
      </c>
      <c r="D42" s="694" t="str">
        <f>CHOOSE(MODE_UVLO, "Resistor, Chip, "&amp;'Variable Mgmt'!C245&amp;", 1/16W, 1%", "-")</f>
        <v>Resistor, Chip, 46.4kΩ, 1/16W, 1%</v>
      </c>
      <c r="E42" s="695"/>
      <c r="F42" s="695"/>
      <c r="G42" s="99" t="s">
        <v>119</v>
      </c>
      <c r="H42" s="100" t="str">
        <f t="shared" ref="H42:I43" si="1">CHOOSE(MODE_UVLO, "Std", "-")</f>
        <v>Std</v>
      </c>
      <c r="I42" s="414" t="str">
        <f t="shared" si="1"/>
        <v>Std</v>
      </c>
      <c r="J42" s="422" t="str">
        <f>CHOOSE(MODE_UVLO, CHOOSE(Q42,'Variable Mgmt'!T64,'Variable Mgmt'!T65,'Variable Mgmt'!T66), "-")</f>
        <v>1.0 x 0.5</v>
      </c>
      <c r="K42" s="420">
        <f>CHOOSE(MODE_UVLO, CHOOSE(Q42,'Variable Mgmt'!U64,'Variable Mgmt'!U65,'Variable Mgmt'!U66,'Variable Mgmt'!U67,'Variable Mgmt'!U68),"-")</f>
        <v>0.5</v>
      </c>
      <c r="L42" s="425"/>
      <c r="O42" s="639"/>
      <c r="P42" s="641"/>
      <c r="Q42" s="643">
        <v>1</v>
      </c>
      <c r="R42" s="639"/>
      <c r="S42" s="639"/>
      <c r="T42" s="639"/>
      <c r="U42" s="639"/>
    </row>
    <row r="43" spans="1:21" s="95" customFormat="1" ht="17.100000000000001" customHeight="1" x14ac:dyDescent="0.25">
      <c r="A43" s="96" t="str">
        <f>CHOOSE(MODE_UVLO, "1", "-")</f>
        <v>1</v>
      </c>
      <c r="B43" s="97" t="s">
        <v>127</v>
      </c>
      <c r="C43" s="396" t="str">
        <f>CHOOSE(MODE_UVLO, 'Variable Mgmt'!H246, "-")</f>
        <v>10.7k</v>
      </c>
      <c r="D43" s="694" t="str">
        <f>CHOOSE(MODE_UVLO, "Resistor, Chip, "&amp;'Variable Mgmt'!C246&amp;", 1/16W, 1%", "-")</f>
        <v>Resistor, Chip, 10.7kΩ, 1/16W, 1%</v>
      </c>
      <c r="E43" s="695"/>
      <c r="F43" s="695"/>
      <c r="G43" s="99" t="s">
        <v>119</v>
      </c>
      <c r="H43" s="100" t="str">
        <f t="shared" si="1"/>
        <v>Std</v>
      </c>
      <c r="I43" s="414" t="str">
        <f t="shared" si="1"/>
        <v>Std</v>
      </c>
      <c r="J43" s="422" t="str">
        <f>CHOOSE(MODE_UVLO, CHOOSE(Q43,'Variable Mgmt'!T64,'Variable Mgmt'!T65,'Variable Mgmt'!T66), "-")</f>
        <v>1.0 x 0.5</v>
      </c>
      <c r="K43" s="420">
        <f>CHOOSE(MODE_UVLO, CHOOSE(Q43,'Variable Mgmt'!U64,'Variable Mgmt'!U65,'Variable Mgmt'!U66,'Variable Mgmt'!U67,'Variable Mgmt'!U68),"-")</f>
        <v>0.5</v>
      </c>
      <c r="L43" s="425"/>
      <c r="O43" s="639"/>
      <c r="P43" s="641"/>
      <c r="Q43" s="643">
        <v>1</v>
      </c>
      <c r="R43" s="639"/>
      <c r="S43" s="639"/>
      <c r="T43" s="639"/>
      <c r="U43" s="639"/>
    </row>
    <row r="44" spans="1:21" s="95" customFormat="1" ht="17.100000000000001" customHeight="1" x14ac:dyDescent="0.25">
      <c r="A44" s="96" t="str">
        <f>CHOOSE(MODE_TC, "1", "-")</f>
        <v>1</v>
      </c>
      <c r="B44" s="97" t="s">
        <v>527</v>
      </c>
      <c r="C44" s="98">
        <f>CHOOSE(MODE_TC, RTC, "-")</f>
        <v>787</v>
      </c>
      <c r="D44" s="685" t="str">
        <f>CHOOSE(MODE_TC, "Resistor, Chip, "&amp;'Variable Mgmt'!B241&amp;", 1/16W, 1%", "-")</f>
        <v>Resistor, Chip, 787kΩ, 1/16W, 1%</v>
      </c>
      <c r="E44" s="686"/>
      <c r="F44" s="686"/>
      <c r="G44" s="99" t="s">
        <v>119</v>
      </c>
      <c r="H44" s="100" t="str">
        <f>CHOOSE(MODE_TC, "Std", "-")</f>
        <v>Std</v>
      </c>
      <c r="I44" s="414" t="str">
        <f>CHOOSE(MODE_TC, "Std", "-")</f>
        <v>Std</v>
      </c>
      <c r="J44" s="422" t="str">
        <f>CHOOSE(MODE_TC, CHOOSE(Q44,'Variable Mgmt'!T64,'Variable Mgmt'!T385,'Variable Mgmt'!T66), "-")</f>
        <v>1.0 x 0.5</v>
      </c>
      <c r="K44" s="420">
        <f>CHOOSE(MODE_TC, CHOOSE(Q44,'Variable Mgmt'!U64,'Variable Mgmt'!U65,'Variable Mgmt'!U66,'Variable Mgmt'!U67,'Variable Mgmt'!U68),"-")</f>
        <v>0.5</v>
      </c>
      <c r="L44" s="425"/>
      <c r="O44" s="639"/>
      <c r="P44" s="641"/>
      <c r="Q44" s="643">
        <v>1</v>
      </c>
      <c r="R44" s="639"/>
      <c r="S44" s="639"/>
      <c r="T44" s="639"/>
      <c r="U44" s="639"/>
    </row>
    <row r="45" spans="1:21" s="540" customFormat="1" ht="16.5" customHeight="1" x14ac:dyDescent="0.25">
      <c r="A45" s="101">
        <v>1</v>
      </c>
      <c r="B45" s="102" t="s">
        <v>535</v>
      </c>
      <c r="C45" s="536">
        <f>'LM(2)518x PSR flyback converter'!L7</f>
        <v>9</v>
      </c>
      <c r="D45" s="691" t="str">
        <f>"Transformer, "&amp;L*1000000&amp;"µH, "&amp;'Variable Mgmt'!W52&amp;", "&amp;Rdcr_pri*1000&amp;"mΩ Pri DCR, "&amp;Isat&amp;"A Isat"</f>
        <v>Transformer, 9µH, 1 : 2, 85mΩ Pri DCR, 5A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5">
      <c r="A46" s="399">
        <v>1</v>
      </c>
      <c r="B46" s="404" t="s">
        <v>128</v>
      </c>
      <c r="C46" s="424" t="str">
        <f>CHOOSE(VARIANT, "LM5180", "LM5181", "LM25180", "LM25183", "LM25184")</f>
        <v>LM25184</v>
      </c>
      <c r="D46" s="405" t="str">
        <f>CHOOSE(VARIANT, "IC, LM5180, PSR Flyback Converter, 4.5V–65V Input", "IC, LM5181, PSR Flyback Converter, 4.5V–65V Input", "IC, LM25180, PSR Flyback Converter, 4.5V–42V Input", "IC, LM25183, PSR Flyback Converter, 4.5V–42V Input", "IC, LM25184, PSR Flyback Converter, 4.5V–42V Input")</f>
        <v>IC, LM25184, PSR Flyback Converter, 4.5V–42V Input</v>
      </c>
      <c r="E46" s="406"/>
      <c r="F46" s="407"/>
      <c r="G46" s="403" t="s">
        <v>534</v>
      </c>
      <c r="H46" s="403" t="str">
        <f>CHOOSE(VARIANT, "LM5180NGUR", "LM5181NGUR", "LM25180NGUR", "LM25183NGUR", "LM25184NGUR")</f>
        <v>LM25184NGUR</v>
      </c>
      <c r="I46" s="405" t="s">
        <v>357</v>
      </c>
      <c r="J46" s="423" t="s">
        <v>355</v>
      </c>
      <c r="K46" s="421">
        <v>16</v>
      </c>
      <c r="L46" s="402"/>
      <c r="M46" s="402"/>
      <c r="N46" s="95"/>
      <c r="Q46" s="432"/>
    </row>
    <row r="47" spans="1:21" ht="17.100000000000001" customHeight="1" x14ac:dyDescent="0.25">
      <c r="J47" s="95"/>
      <c r="K47" s="412"/>
      <c r="L47" s="402"/>
      <c r="M47" s="402"/>
      <c r="N47" s="95"/>
    </row>
    <row r="48" spans="1:21" ht="17.25" customHeight="1" x14ac:dyDescent="0.3">
      <c r="H48" s="679" t="s">
        <v>359</v>
      </c>
      <c r="I48" s="679"/>
      <c r="J48" s="679"/>
      <c r="K48" s="429">
        <f>SUM(K31:K46)*1.25</f>
        <v>202.25</v>
      </c>
      <c r="L48" s="433" t="s">
        <v>360</v>
      </c>
      <c r="M48" s="430">
        <f>K48/25.4/25.4</f>
        <v>0.313488126976254</v>
      </c>
      <c r="N48" s="433" t="s">
        <v>358</v>
      </c>
    </row>
    <row r="49" spans="1:14" ht="17.100000000000001" customHeight="1" x14ac:dyDescent="0.25">
      <c r="J49" s="416"/>
      <c r="K49" s="417"/>
      <c r="L49" s="418"/>
      <c r="M49" s="419"/>
      <c r="N49" s="418"/>
    </row>
    <row r="50" spans="1:14" ht="20.25" customHeight="1" x14ac:dyDescent="0.25">
      <c r="A50" s="411" t="s">
        <v>137</v>
      </c>
    </row>
    <row r="51" spans="1:14" x14ac:dyDescent="0.25">
      <c r="A51" s="92" t="s">
        <v>819</v>
      </c>
    </row>
    <row r="52" spans="1:14" x14ac:dyDescent="0.25">
      <c r="A52" s="92" t="s">
        <v>820</v>
      </c>
      <c r="K52" s="410"/>
    </row>
    <row r="53" spans="1:14" x14ac:dyDescent="0.25">
      <c r="A53" s="92" t="s">
        <v>821</v>
      </c>
    </row>
    <row r="54" spans="1:14" x14ac:dyDescent="0.25">
      <c r="A54" s="92" t="s">
        <v>822</v>
      </c>
    </row>
    <row r="55" spans="1:14" x14ac:dyDescent="0.25">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15240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15240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15240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15240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15240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15240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15240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15240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15240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15240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15240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15240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15240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899160</xdr:colOff>
                    <xdr:row>32</xdr:row>
                    <xdr:rowOff>15240</xdr:rowOff>
                  </from>
                  <to>
                    <xdr:col>6</xdr:col>
                    <xdr:colOff>868680</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15240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topLeftCell="A15" zoomScale="74" zoomScaleNormal="100" workbookViewId="0">
      <selection sqref="A1:Q1"/>
    </sheetView>
  </sheetViews>
  <sheetFormatPr defaultColWidth="9.21875" defaultRowHeight="13.2" x14ac:dyDescent="0.25"/>
  <cols>
    <col min="1" max="13" width="9.21875" style="65"/>
    <col min="14" max="14" width="11.77734375" style="65" customWidth="1"/>
    <col min="15" max="16" width="9.21875" style="65"/>
    <col min="17" max="17" width="15.77734375" style="65" customWidth="1"/>
    <col min="18" max="16384" width="9.21875" style="65"/>
  </cols>
  <sheetData>
    <row r="1" spans="1:25" s="58" customFormat="1" ht="47.25" customHeight="1" x14ac:dyDescent="0.3">
      <c r="A1" s="700" t="s">
        <v>817</v>
      </c>
      <c r="B1" s="701"/>
      <c r="C1" s="701"/>
      <c r="D1" s="701"/>
      <c r="E1" s="701"/>
      <c r="F1" s="701"/>
      <c r="G1" s="701"/>
      <c r="H1" s="701"/>
      <c r="I1" s="701"/>
      <c r="J1" s="701"/>
      <c r="K1" s="701"/>
      <c r="L1" s="701"/>
      <c r="M1" s="701"/>
      <c r="N1" s="701"/>
      <c r="O1" s="701"/>
      <c r="P1" s="701"/>
      <c r="Q1" s="701"/>
    </row>
    <row r="6" spans="1:25" ht="20.399999999999999" x14ac:dyDescent="0.35">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3.2" x14ac:dyDescent="0.25"/>
  <cols>
    <col min="1" max="1" width="40.44140625" customWidth="1"/>
    <col min="2" max="2" width="11.77734375" customWidth="1"/>
    <col min="3" max="3" width="9.44140625" style="3" customWidth="1"/>
    <col min="4" max="4" width="10.21875" customWidth="1"/>
    <col min="5" max="5" width="11.5546875" customWidth="1"/>
    <col min="6" max="6" width="14.77734375" customWidth="1"/>
    <col min="7" max="7" width="12.44140625" bestFit="1" customWidth="1"/>
    <col min="8" max="8" width="20.21875" customWidth="1"/>
    <col min="9" max="9" width="14.44140625" customWidth="1"/>
    <col min="10" max="10" width="12.44140625" bestFit="1" customWidth="1"/>
    <col min="11" max="11" width="12" customWidth="1"/>
    <col min="12" max="12" width="8.77734375" customWidth="1"/>
    <col min="13" max="13" width="7" customWidth="1"/>
    <col min="14" max="14" width="9.21875" customWidth="1"/>
    <col min="16" max="16" width="11.77734375" customWidth="1"/>
    <col min="17" max="17" width="11" customWidth="1"/>
    <col min="18" max="18" width="13.77734375" customWidth="1"/>
    <col min="19" max="19" width="5.44140625" customWidth="1"/>
    <col min="20" max="20" width="16.21875" customWidth="1"/>
    <col min="22" max="22" width="9.77734375" customWidth="1"/>
    <col min="23" max="23" width="11.21875" customWidth="1"/>
    <col min="24" max="24" width="5.77734375" customWidth="1"/>
    <col min="26" max="26" width="7.77734375" customWidth="1"/>
  </cols>
  <sheetData>
    <row r="1" spans="1:18" ht="30.75" customHeight="1" x14ac:dyDescent="0.5">
      <c r="A1" s="703" t="s">
        <v>171</v>
      </c>
      <c r="B1" s="703"/>
      <c r="C1" s="703"/>
      <c r="D1" s="703"/>
      <c r="E1" s="703"/>
      <c r="F1" s="703"/>
      <c r="G1" s="703"/>
      <c r="H1" s="703"/>
      <c r="I1" s="703"/>
    </row>
    <row r="2" spans="1:18" ht="12" customHeight="1" x14ac:dyDescent="0.25">
      <c r="A2" s="14"/>
      <c r="B2" s="14" t="s">
        <v>81</v>
      </c>
      <c r="C2" s="15"/>
      <c r="E2" s="14"/>
      <c r="F2" s="14"/>
      <c r="G2" s="14"/>
      <c r="H2" s="14"/>
      <c r="I2" s="14"/>
    </row>
    <row r="3" spans="1:18" ht="11.25" customHeight="1" x14ac:dyDescent="0.25">
      <c r="A3" s="14"/>
      <c r="B3" s="14" t="s">
        <v>100</v>
      </c>
      <c r="C3" s="16"/>
      <c r="E3" s="14"/>
      <c r="F3" s="14"/>
      <c r="G3" s="14"/>
      <c r="H3" s="14"/>
      <c r="I3" s="14"/>
    </row>
    <row r="4" spans="1:18" ht="11.25" customHeight="1" x14ac:dyDescent="0.25">
      <c r="A4" s="14"/>
      <c r="B4" s="14" t="s">
        <v>82</v>
      </c>
      <c r="C4" s="17"/>
      <c r="E4" s="14"/>
      <c r="F4" s="14"/>
      <c r="G4" s="14"/>
      <c r="H4" s="14"/>
      <c r="I4" s="14"/>
    </row>
    <row r="5" spans="1:18" x14ac:dyDescent="0.25">
      <c r="A5" s="3" t="s">
        <v>19</v>
      </c>
      <c r="B5" s="3" t="s">
        <v>6</v>
      </c>
      <c r="C5" s="3" t="s">
        <v>7</v>
      </c>
      <c r="E5" s="702" t="s">
        <v>9</v>
      </c>
      <c r="F5" s="702"/>
      <c r="G5" s="702"/>
      <c r="H5" s="702"/>
      <c r="I5" s="3" t="s">
        <v>173</v>
      </c>
    </row>
    <row r="6" spans="1:18" ht="16.2" thickBot="1" x14ac:dyDescent="0.35">
      <c r="A6" s="39" t="s">
        <v>61</v>
      </c>
      <c r="B6" s="3"/>
      <c r="D6" s="3"/>
      <c r="E6" s="14"/>
      <c r="F6" s="14"/>
      <c r="G6" s="14"/>
      <c r="H6" s="14"/>
      <c r="I6" s="3"/>
    </row>
    <row r="7" spans="1:18" x14ac:dyDescent="0.25">
      <c r="A7" s="88" t="s">
        <v>145</v>
      </c>
      <c r="B7" s="7">
        <f>'LM(2)518x PSR flyback converter'!E6</f>
        <v>9</v>
      </c>
      <c r="C7" s="26" t="s">
        <v>0</v>
      </c>
      <c r="D7" s="61" t="s">
        <v>146</v>
      </c>
      <c r="E7" s="26"/>
      <c r="F7" s="26"/>
      <c r="G7" s="26"/>
      <c r="H7" s="26"/>
      <c r="I7" s="27">
        <v>1</v>
      </c>
      <c r="K7" t="str">
        <f>'Variable Mgmt'!B59&amp;" Output PSR Flyback Converter, "&amp;"VIN = "&amp;Vin&amp;" V, VOUT = "&amp;Vout&amp;" V, IOUT = "&amp;Iout&amp;" A"</f>
        <v>SINGLE Output PSR Flyback Converter, VIN = 11.1 V, VOUT = 15 V, IOUT = 0.5 A</v>
      </c>
    </row>
    <row r="8" spans="1:18" x14ac:dyDescent="0.25">
      <c r="A8" s="89" t="s">
        <v>143</v>
      </c>
      <c r="B8" s="8">
        <f>'LM(2)518x PSR flyback converter'!E7</f>
        <v>11.1</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11.1 V, VOUT1 = 15 V, IOUT1 = 0.5 A, VOUT2 = -16 V, IOUT2 = -0.1 A</v>
      </c>
    </row>
    <row r="9" spans="1:18" x14ac:dyDescent="0.25">
      <c r="A9" s="89" t="s">
        <v>144</v>
      </c>
      <c r="B9" s="8">
        <f>'LM(2)518x PSR flyback converter'!E8</f>
        <v>13</v>
      </c>
      <c r="C9" t="s">
        <v>0</v>
      </c>
      <c r="D9" s="59" t="s">
        <v>147</v>
      </c>
      <c r="F9" s="141"/>
      <c r="I9" s="20"/>
    </row>
    <row r="10" spans="1:18" x14ac:dyDescent="0.25">
      <c r="A10" s="89"/>
      <c r="B10" s="180"/>
      <c r="C10"/>
      <c r="D10" s="59"/>
      <c r="I10" s="20"/>
      <c r="P10" s="135" t="s">
        <v>790</v>
      </c>
      <c r="Q10" s="141">
        <v>1</v>
      </c>
    </row>
    <row r="11" spans="1:18" x14ac:dyDescent="0.25">
      <c r="A11" s="19" t="s">
        <v>4</v>
      </c>
      <c r="B11" s="8">
        <f>'LM(2)518x PSR flyback converter'!E10</f>
        <v>15</v>
      </c>
      <c r="C11" t="s">
        <v>0</v>
      </c>
      <c r="D11" s="59" t="s">
        <v>576</v>
      </c>
      <c r="G11">
        <f>(Vout+Vfwd1)*Nps</f>
        <v>7.66</v>
      </c>
      <c r="I11" s="20">
        <v>1</v>
      </c>
      <c r="P11" s="135" t="s">
        <v>801</v>
      </c>
      <c r="Q11" s="141">
        <v>2</v>
      </c>
    </row>
    <row r="12" spans="1:18" x14ac:dyDescent="0.25">
      <c r="A12" s="19" t="s">
        <v>5</v>
      </c>
      <c r="B12" s="8">
        <f>'LM(2)518x PSR flyback converter'!E11</f>
        <v>0.5</v>
      </c>
      <c r="C12" s="59" t="s">
        <v>1</v>
      </c>
      <c r="D12" s="59" t="s">
        <v>663</v>
      </c>
      <c r="I12" s="20">
        <v>1</v>
      </c>
      <c r="L12" s="59"/>
      <c r="P12" s="135" t="s">
        <v>791</v>
      </c>
      <c r="Q12" s="141">
        <v>3</v>
      </c>
    </row>
    <row r="13" spans="1:18" x14ac:dyDescent="0.25">
      <c r="A13" s="89" t="s">
        <v>168</v>
      </c>
      <c r="B13" s="134">
        <f>Vout/Iout</f>
        <v>30</v>
      </c>
      <c r="C13" s="91" t="s">
        <v>45</v>
      </c>
      <c r="D13" s="59" t="s">
        <v>169</v>
      </c>
      <c r="I13" s="20"/>
      <c r="P13" s="135" t="s">
        <v>802</v>
      </c>
      <c r="Q13" s="141">
        <v>4</v>
      </c>
    </row>
    <row r="14" spans="1:18" x14ac:dyDescent="0.25">
      <c r="A14" s="89" t="s">
        <v>152</v>
      </c>
      <c r="B14" s="134">
        <f>Vout*Iout</f>
        <v>7.5</v>
      </c>
      <c r="C14" t="s">
        <v>45</v>
      </c>
      <c r="D14" s="59" t="s">
        <v>158</v>
      </c>
      <c r="I14" s="20"/>
      <c r="L14" s="59"/>
      <c r="P14" s="135" t="s">
        <v>803</v>
      </c>
      <c r="Q14" s="141">
        <v>5</v>
      </c>
    </row>
    <row r="15" spans="1:18" x14ac:dyDescent="0.25">
      <c r="B15" s="5"/>
      <c r="C15"/>
      <c r="D15" s="59"/>
      <c r="I15" s="20"/>
      <c r="L15" s="59"/>
      <c r="O15" s="319" t="s">
        <v>789</v>
      </c>
      <c r="P15" s="138" t="str">
        <f>CHOOSE(VARIANT, "LM5180", "LM5181", "LM25180", "LM25183", "LM25184")</f>
        <v>LM25184</v>
      </c>
      <c r="Q15" s="319">
        <v>5</v>
      </c>
      <c r="R15" s="5"/>
    </row>
    <row r="16" spans="1:18" x14ac:dyDescent="0.25">
      <c r="A16" s="89" t="s">
        <v>621</v>
      </c>
      <c r="B16" s="500">
        <f>ABS('LM(2)518x PSR flyback converter'!E12)</f>
        <v>16</v>
      </c>
      <c r="C16" t="s">
        <v>0</v>
      </c>
      <c r="D16" s="59" t="s">
        <v>578</v>
      </c>
      <c r="I16" s="20"/>
      <c r="L16" s="59"/>
      <c r="O16" s="319" t="s">
        <v>792</v>
      </c>
      <c r="P16" s="138">
        <f>CHOOSE(VARIANT, 65, 65, 42, 42, 42)</f>
        <v>42</v>
      </c>
      <c r="Q16" t="s">
        <v>0</v>
      </c>
    </row>
    <row r="17" spans="1:23" x14ac:dyDescent="0.25">
      <c r="A17" s="89" t="s">
        <v>622</v>
      </c>
      <c r="B17" s="534">
        <f>'LM(2)518x PSR flyback converter'!E12</f>
        <v>-16</v>
      </c>
      <c r="C17" t="s">
        <v>0</v>
      </c>
      <c r="D17" s="59"/>
      <c r="I17" s="20"/>
      <c r="L17" s="59"/>
      <c r="O17" s="384" t="s">
        <v>851</v>
      </c>
      <c r="P17">
        <f>CHOOSE(VARIANT, 100, 100, 70, 70, 70)</f>
        <v>70</v>
      </c>
      <c r="Q17" s="59" t="s">
        <v>0</v>
      </c>
    </row>
    <row r="18" spans="1:23" x14ac:dyDescent="0.25">
      <c r="A18" s="89" t="s">
        <v>508</v>
      </c>
      <c r="B18" s="500">
        <f>ABS('LM(2)518x PSR flyback converter'!E13)</f>
        <v>0.1</v>
      </c>
      <c r="C18" s="59" t="s">
        <v>1</v>
      </c>
      <c r="D18" s="59" t="s">
        <v>577</v>
      </c>
      <c r="I18" s="20"/>
      <c r="L18" s="59"/>
    </row>
    <row r="19" spans="1:23" x14ac:dyDescent="0.25">
      <c r="A19" s="59" t="s">
        <v>662</v>
      </c>
      <c r="B19">
        <f>Iout2*SIGN(Vout2_actual)</f>
        <v>-0.1</v>
      </c>
      <c r="C19" s="59" t="s">
        <v>1</v>
      </c>
      <c r="I19" s="20"/>
      <c r="L19" s="59"/>
      <c r="P19" s="3" t="s">
        <v>784</v>
      </c>
    </row>
    <row r="20" spans="1:23" x14ac:dyDescent="0.25">
      <c r="A20" s="89" t="s">
        <v>509</v>
      </c>
      <c r="B20" s="134">
        <f>ABS(Vout2/Iout2)</f>
        <v>160</v>
      </c>
      <c r="C20" s="91" t="s">
        <v>45</v>
      </c>
      <c r="D20" s="59" t="s">
        <v>511</v>
      </c>
      <c r="I20" s="20"/>
      <c r="K20" s="59" t="s">
        <v>542</v>
      </c>
      <c r="L20" s="59" t="s">
        <v>543</v>
      </c>
      <c r="P20" s="3" t="s">
        <v>783</v>
      </c>
      <c r="Q20">
        <v>1</v>
      </c>
    </row>
    <row r="21" spans="1:23" x14ac:dyDescent="0.25">
      <c r="A21" s="89" t="s">
        <v>510</v>
      </c>
      <c r="B21" s="134">
        <f>ABS(Vout2*Iout2)</f>
        <v>1.6</v>
      </c>
      <c r="C21" t="s">
        <v>45</v>
      </c>
      <c r="D21" s="59" t="s">
        <v>512</v>
      </c>
      <c r="I21" s="20"/>
      <c r="K21">
        <v>5</v>
      </c>
      <c r="L21" s="59">
        <v>-5</v>
      </c>
      <c r="P21" s="3" t="s">
        <v>782</v>
      </c>
      <c r="Q21">
        <v>2</v>
      </c>
    </row>
    <row r="22" spans="1:23" x14ac:dyDescent="0.25">
      <c r="A22" s="89" t="s">
        <v>513</v>
      </c>
      <c r="B22" s="134">
        <f>CHOOSE(MODE, Pout, Pout + Pout2)</f>
        <v>7.5</v>
      </c>
      <c r="C22" t="s">
        <v>45</v>
      </c>
      <c r="D22" s="59" t="s">
        <v>514</v>
      </c>
      <c r="I22" s="20"/>
      <c r="K22">
        <v>0.2</v>
      </c>
      <c r="L22" s="59">
        <v>0.2</v>
      </c>
      <c r="Q22" s="3">
        <v>2</v>
      </c>
    </row>
    <row r="23" spans="1:23" x14ac:dyDescent="0.25">
      <c r="A23" s="89"/>
      <c r="B23" s="5"/>
      <c r="C23"/>
      <c r="D23" s="59"/>
      <c r="I23" s="20"/>
      <c r="L23" s="59"/>
    </row>
    <row r="24" spans="1:23" x14ac:dyDescent="0.25">
      <c r="A24" s="29" t="str">
        <f>CHOOSE(MODE, "Turns Ratio, PRI : SEC", "Turns Ratio, PRI : SEC1")</f>
        <v>Turns Ratio, PRI : SEC</v>
      </c>
      <c r="B24" s="90" t="str">
        <f>Nps</f>
        <v>0.5</v>
      </c>
      <c r="C24"/>
      <c r="D24" s="59" t="str">
        <f>CHOOSE(MODE, "TR primary-secondary (single output) = Np/Ns", "TR primary-secondary1 (dual output) = Np/Nsec1")</f>
        <v>TR primary-secondary (single output) = Np/Ns</v>
      </c>
      <c r="I24" s="20"/>
      <c r="L24" s="59"/>
    </row>
    <row r="25" spans="1:23" x14ac:dyDescent="0.25">
      <c r="A25" s="29" t="s">
        <v>590</v>
      </c>
      <c r="B25" s="153">
        <f>Npri_sec2</f>
        <v>0.46936274509803921</v>
      </c>
      <c r="D25" s="59" t="s">
        <v>591</v>
      </c>
      <c r="I25" s="20"/>
      <c r="L25" s="59"/>
    </row>
    <row r="26" spans="1:23" x14ac:dyDescent="0.25">
      <c r="A26" s="29" t="s">
        <v>603</v>
      </c>
      <c r="B26" s="533">
        <f>Nsec1sec2</f>
        <v>1.0652741514360313</v>
      </c>
      <c r="D26" s="59" t="s">
        <v>592</v>
      </c>
      <c r="I26" s="20"/>
      <c r="L26" s="59"/>
      <c r="R26" s="138" t="s">
        <v>396</v>
      </c>
      <c r="V26" s="138" t="s">
        <v>396</v>
      </c>
    </row>
    <row r="27" spans="1:23" x14ac:dyDescent="0.25">
      <c r="I27" s="20"/>
      <c r="K27" s="138" t="s">
        <v>541</v>
      </c>
      <c r="R27" s="138" t="s">
        <v>585</v>
      </c>
      <c r="V27" s="138" t="s">
        <v>586</v>
      </c>
    </row>
    <row r="28" spans="1:23" x14ac:dyDescent="0.25">
      <c r="A28" s="59" t="s">
        <v>623</v>
      </c>
      <c r="B28" s="147">
        <f>Vout+VIN_max/Nps</f>
        <v>41</v>
      </c>
      <c r="C28" s="59" t="s">
        <v>0</v>
      </c>
      <c r="I28" s="20"/>
      <c r="K28" s="59" t="s">
        <v>538</v>
      </c>
      <c r="L28">
        <v>1</v>
      </c>
      <c r="R28" t="str">
        <f>"5 : 1"</f>
        <v>5 : 1</v>
      </c>
      <c r="S28">
        <v>1</v>
      </c>
      <c r="V28" t="str">
        <f>"5 : 1"</f>
        <v>5 : 1</v>
      </c>
      <c r="W28">
        <v>1</v>
      </c>
    </row>
    <row r="29" spans="1:23" x14ac:dyDescent="0.25">
      <c r="I29" s="20"/>
      <c r="K29" s="59" t="s">
        <v>539</v>
      </c>
      <c r="L29">
        <v>2</v>
      </c>
      <c r="R29" t="str">
        <f>"4 : 1"</f>
        <v>4 : 1</v>
      </c>
      <c r="S29">
        <v>2</v>
      </c>
      <c r="V29" t="str">
        <f>"4 : 1"</f>
        <v>4 : 1</v>
      </c>
      <c r="W29">
        <v>2</v>
      </c>
    </row>
    <row r="30" spans="1:23" x14ac:dyDescent="0.25">
      <c r="A30" s="89" t="s">
        <v>443</v>
      </c>
      <c r="B30" s="317">
        <f>1%*Vout*1000</f>
        <v>150</v>
      </c>
      <c r="C30" t="s">
        <v>149</v>
      </c>
      <c r="D30" s="59" t="s">
        <v>461</v>
      </c>
      <c r="I30" s="20"/>
      <c r="K30" s="59" t="s">
        <v>540</v>
      </c>
      <c r="L30">
        <v>3</v>
      </c>
      <c r="R30" t="str">
        <f>"3 : 1"</f>
        <v>3 : 1</v>
      </c>
      <c r="S30">
        <v>3</v>
      </c>
      <c r="V30" t="str">
        <f>"3 : 1"</f>
        <v>3 : 1</v>
      </c>
      <c r="W30">
        <v>3</v>
      </c>
    </row>
    <row r="31" spans="1:23" x14ac:dyDescent="0.25">
      <c r="A31" s="89"/>
      <c r="B31" s="317"/>
      <c r="C31"/>
      <c r="D31" s="59"/>
      <c r="I31" s="20"/>
      <c r="K31" s="59"/>
      <c r="R31" t="str">
        <f>"2.5 : 1"</f>
        <v>2.5 : 1</v>
      </c>
      <c r="S31">
        <v>4</v>
      </c>
      <c r="V31" t="str">
        <f>"2.5 : 1"</f>
        <v>2.5 : 1</v>
      </c>
      <c r="W31">
        <v>4</v>
      </c>
    </row>
    <row r="32" spans="1:23" x14ac:dyDescent="0.25">
      <c r="A32" s="89" t="s">
        <v>560</v>
      </c>
      <c r="B32" s="317">
        <f>1%*Vout2*1000</f>
        <v>160</v>
      </c>
      <c r="C32" t="s">
        <v>149</v>
      </c>
      <c r="D32" s="59" t="s">
        <v>559</v>
      </c>
      <c r="I32" s="20"/>
      <c r="Q32" s="453"/>
      <c r="R32" t="str">
        <f>"2 : 1"</f>
        <v>2 : 1</v>
      </c>
      <c r="S32">
        <v>5</v>
      </c>
      <c r="V32" t="str">
        <f>"2 : 1"</f>
        <v>2 : 1</v>
      </c>
      <c r="W32">
        <v>5</v>
      </c>
    </row>
    <row r="33" spans="1:23" x14ac:dyDescent="0.25">
      <c r="A33" s="59"/>
      <c r="B33" s="317"/>
      <c r="C33"/>
      <c r="D33" s="59"/>
      <c r="I33" s="20"/>
      <c r="Q33" s="453"/>
      <c r="R33" t="str">
        <f>"1.8 : 1"</f>
        <v>1.8 : 1</v>
      </c>
      <c r="S33">
        <v>6</v>
      </c>
      <c r="V33" t="str">
        <f>"1.8 : 1"</f>
        <v>1.8 : 1</v>
      </c>
      <c r="W33">
        <v>6</v>
      </c>
    </row>
    <row r="34" spans="1:23" x14ac:dyDescent="0.25">
      <c r="I34" s="20"/>
      <c r="R34" t="str">
        <f>"1.5 : 1"</f>
        <v>1.5 : 1</v>
      </c>
      <c r="S34">
        <v>7</v>
      </c>
      <c r="V34" t="str">
        <f>"1.5 : 1"</f>
        <v>1.5 : 1</v>
      </c>
      <c r="W34">
        <v>7</v>
      </c>
    </row>
    <row r="35" spans="1:23" x14ac:dyDescent="0.25">
      <c r="I35" s="20"/>
      <c r="R35" s="671" t="s">
        <v>856</v>
      </c>
      <c r="S35">
        <v>8</v>
      </c>
      <c r="V35" s="671" t="s">
        <v>856</v>
      </c>
      <c r="W35">
        <v>8</v>
      </c>
    </row>
    <row r="36" spans="1:23" x14ac:dyDescent="0.25">
      <c r="A36" s="89" t="s">
        <v>47</v>
      </c>
      <c r="B36" s="535">
        <v>0.9</v>
      </c>
      <c r="C36"/>
      <c r="D36" s="59" t="s">
        <v>175</v>
      </c>
      <c r="I36" s="20"/>
      <c r="R36" t="str">
        <f>"1 : 1"</f>
        <v>1 : 1</v>
      </c>
      <c r="S36">
        <v>9</v>
      </c>
      <c r="V36" t="str">
        <f>"1 : 1"</f>
        <v>1 : 1</v>
      </c>
      <c r="W36">
        <v>9</v>
      </c>
    </row>
    <row r="37" spans="1:23" x14ac:dyDescent="0.25">
      <c r="A37" s="89"/>
      <c r="B37" s="535"/>
      <c r="C37"/>
      <c r="D37" s="59"/>
      <c r="I37" s="20"/>
      <c r="R37" s="671" t="s">
        <v>857</v>
      </c>
      <c r="S37">
        <v>10</v>
      </c>
      <c r="V37" s="671" t="s">
        <v>857</v>
      </c>
      <c r="W37">
        <v>10</v>
      </c>
    </row>
    <row r="38" spans="1:23" x14ac:dyDescent="0.25">
      <c r="A38" s="89" t="s">
        <v>156</v>
      </c>
      <c r="B38" s="362">
        <f>Pout/Efficiency</f>
        <v>8.3333333333333339</v>
      </c>
      <c r="C38" t="s">
        <v>45</v>
      </c>
      <c r="D38" s="59" t="s">
        <v>462</v>
      </c>
      <c r="I38" s="20"/>
      <c r="R38" t="str">
        <f>"1 : 1.5"</f>
        <v>1 : 1.5</v>
      </c>
      <c r="S38">
        <v>11</v>
      </c>
      <c r="V38" t="str">
        <f>"1 : 1.5"</f>
        <v>1 : 1.5</v>
      </c>
      <c r="W38">
        <v>11</v>
      </c>
    </row>
    <row r="39" spans="1:23" x14ac:dyDescent="0.25">
      <c r="A39" s="89"/>
      <c r="B39" s="362"/>
      <c r="C39"/>
      <c r="D39" s="59"/>
      <c r="I39" s="20"/>
      <c r="R39" t="str">
        <f>"1 : 1.8"</f>
        <v>1 : 1.8</v>
      </c>
      <c r="S39">
        <v>12</v>
      </c>
      <c r="V39" t="str">
        <f>"1 : 1.8"</f>
        <v>1 : 1.8</v>
      </c>
      <c r="W39">
        <v>12</v>
      </c>
    </row>
    <row r="40" spans="1:23" x14ac:dyDescent="0.25">
      <c r="A40" s="89" t="s">
        <v>153</v>
      </c>
      <c r="B40" s="143">
        <f>Pin/VIN_min</f>
        <v>0.92592592592592604</v>
      </c>
      <c r="C40" t="s">
        <v>1</v>
      </c>
      <c r="D40" s="59"/>
      <c r="I40" s="20"/>
      <c r="R40" t="str">
        <f>"1 : 2"</f>
        <v>1 : 2</v>
      </c>
      <c r="S40">
        <v>13</v>
      </c>
      <c r="V40" t="str">
        <f>"1 : 2"</f>
        <v>1 : 2</v>
      </c>
      <c r="W40">
        <v>13</v>
      </c>
    </row>
    <row r="41" spans="1:23" x14ac:dyDescent="0.25">
      <c r="A41" s="89"/>
      <c r="B41" s="143"/>
      <c r="C41"/>
      <c r="D41" s="59"/>
      <c r="I41" s="20"/>
      <c r="R41" t="str">
        <f>"1 : 2.5"</f>
        <v>1 : 2.5</v>
      </c>
      <c r="S41">
        <v>14</v>
      </c>
      <c r="V41" t="str">
        <f>"1 : 2.5"</f>
        <v>1 : 2.5</v>
      </c>
      <c r="W41">
        <v>14</v>
      </c>
    </row>
    <row r="42" spans="1:23" x14ac:dyDescent="0.25">
      <c r="A42" s="89" t="s">
        <v>154</v>
      </c>
      <c r="B42" s="143">
        <f>Pin/VIN_nom</f>
        <v>0.75075075075075082</v>
      </c>
      <c r="C42" t="s">
        <v>1</v>
      </c>
      <c r="D42" s="59" t="s">
        <v>159</v>
      </c>
      <c r="I42" s="20">
        <v>1</v>
      </c>
      <c r="K42" s="59"/>
      <c r="R42" t="str">
        <f>"1 : 3"</f>
        <v>1 : 3</v>
      </c>
      <c r="S42">
        <v>15</v>
      </c>
      <c r="V42" t="str">
        <f>"1 : 3"</f>
        <v>1 : 3</v>
      </c>
      <c r="W42">
        <v>15</v>
      </c>
    </row>
    <row r="43" spans="1:23" x14ac:dyDescent="0.25">
      <c r="A43" s="89" t="s">
        <v>155</v>
      </c>
      <c r="B43" s="143">
        <f>Pin/VIN_max</f>
        <v>0.64102564102564108</v>
      </c>
      <c r="C43" t="s">
        <v>1</v>
      </c>
      <c r="D43" s="59"/>
      <c r="I43" s="20"/>
      <c r="R43" t="str">
        <f>"1 : 4"</f>
        <v>1 : 4</v>
      </c>
      <c r="S43">
        <v>16</v>
      </c>
      <c r="V43" t="str">
        <f>"1 : 4"</f>
        <v>1 : 4</v>
      </c>
      <c r="W43">
        <v>16</v>
      </c>
    </row>
    <row r="44" spans="1:23" x14ac:dyDescent="0.25">
      <c r="A44" s="89"/>
      <c r="B44" s="143"/>
      <c r="C44"/>
      <c r="D44" s="59"/>
      <c r="I44" s="20"/>
      <c r="R44" t="str">
        <f>"1 : 5"</f>
        <v>1 : 5</v>
      </c>
      <c r="S44">
        <v>17</v>
      </c>
      <c r="V44" t="str">
        <f>"1 : 5"</f>
        <v>1 : 5</v>
      </c>
      <c r="W44">
        <v>17</v>
      </c>
    </row>
    <row r="45" spans="1:23" x14ac:dyDescent="0.25">
      <c r="A45" s="89" t="s">
        <v>620</v>
      </c>
      <c r="B45" s="5">
        <f>CHOOSE(MODE, 'Calculations - Single'!N110, 'Calculations - Dual'!O110+'Calculations - Dual'!P110)</f>
        <v>7.6905756302521011</v>
      </c>
      <c r="C45" s="59" t="s">
        <v>45</v>
      </c>
      <c r="D45" s="59" t="b">
        <f>B45&lt;Pout_total</f>
        <v>0</v>
      </c>
      <c r="I45" s="20"/>
      <c r="Q45" s="490" t="s">
        <v>395</v>
      </c>
      <c r="R45" s="319" t="str">
        <f>CHOOSE(Turns_Ratio, "5 : 1", "4 : 1", "3 : 1", "2.5 : 1", "2 : 1", "1.8 : 1", "1.5 : 1", "1.2 : 1", "1 : 1", "1 : 1.2", "1 : 1.5", "1 : 1.8", "1 : 2",  "1 : 2.5","1 : 3", "1 : 4", "1 : 5")</f>
        <v>1 : 2</v>
      </c>
      <c r="S45" s="3">
        <v>13</v>
      </c>
      <c r="U45" s="490" t="s">
        <v>584</v>
      </c>
      <c r="V45" s="162" t="str">
        <f>CHOOSE(Turns_Ratio2, "5 : 1", "4 : 1", "3 : 1", "2.5 : 1", "2 : 1", "1.8 : 1","1.5 : 1", "1.2 : 1", "1 : 1", "1 : 1.2", "1 : 1.5", "1 : 2",  "1 : 2.5","1 : 3", "1 : 4", "1 : 5")</f>
        <v>1 : 1</v>
      </c>
      <c r="W45" s="3">
        <v>9</v>
      </c>
    </row>
    <row r="46" spans="1:23" x14ac:dyDescent="0.25">
      <c r="A46" s="89" t="s">
        <v>807</v>
      </c>
      <c r="B46" s="153">
        <f>CHOOSE(MODE, 'Calculations - Single'!N111, 'Calculations - Dual'!O111+'Calculations - Dual'!P111)/Vout</f>
        <v>0.51270504201680678</v>
      </c>
      <c r="C46" s="59" t="s">
        <v>1</v>
      </c>
      <c r="D46" s="59"/>
      <c r="I46" s="20"/>
      <c r="Q46" s="490"/>
      <c r="R46" s="319"/>
      <c r="S46" s="3"/>
      <c r="U46" s="490"/>
      <c r="V46" s="162"/>
      <c r="W46" s="3"/>
    </row>
    <row r="47" spans="1:23" x14ac:dyDescent="0.25">
      <c r="A47" s="89" t="s">
        <v>435</v>
      </c>
      <c r="B47" s="111">
        <v>350000</v>
      </c>
      <c r="C47" s="59" t="s">
        <v>8</v>
      </c>
      <c r="D47" s="59" t="s">
        <v>579</v>
      </c>
      <c r="I47" s="20"/>
    </row>
    <row r="48" spans="1:23" x14ac:dyDescent="0.25">
      <c r="A48" s="21" t="s">
        <v>18</v>
      </c>
      <c r="B48" s="22">
        <v>1.21</v>
      </c>
      <c r="C48" t="s">
        <v>0</v>
      </c>
      <c r="D48" s="59" t="s">
        <v>580</v>
      </c>
      <c r="I48" s="20"/>
      <c r="Q48" s="59" t="s">
        <v>454</v>
      </c>
      <c r="R48" s="319" t="str">
        <f>CHOOSE(Turns_Ratio, "5", "4 ", "3", "2.5", "2", "1.8", "1.5", "1.2", "1", "0.833",  "0.667", "0.556", "0.5", "0.4", "0.33", "0.25", "0.2")</f>
        <v>0.5</v>
      </c>
    </row>
    <row r="49" spans="1:23" x14ac:dyDescent="0.25">
      <c r="A49" s="89" t="s">
        <v>393</v>
      </c>
      <c r="B49" s="144">
        <f>'LM(2)518x PSR flyback converter'!E28*1000</f>
        <v>196000</v>
      </c>
      <c r="C49" s="91" t="s">
        <v>45</v>
      </c>
      <c r="D49" s="59" t="s">
        <v>581</v>
      </c>
      <c r="I49" s="20"/>
      <c r="Q49" s="59" t="s">
        <v>503</v>
      </c>
      <c r="R49" s="319" t="str">
        <f>CHOOSE(Turns_Ratio, "5", "4 ", "3", "2.5", "2", "1.8", "1.5", "1.2", "1", "0.833",  "0.667","0.556", "0.5", "0.4", "0.333", "0.25", "0.2")</f>
        <v>0.5</v>
      </c>
      <c r="V49" s="59" t="s">
        <v>588</v>
      </c>
      <c r="W49" s="138" t="str">
        <f>CHOOSE(Turns_Ratio, "1", "1", "1", "1", "1", "1", "1", "1", "1", "1.2", "1.5", "1.8",  "2", "2.5", "3", "4", "5")</f>
        <v>2</v>
      </c>
    </row>
    <row r="50" spans="1:23" x14ac:dyDescent="0.25">
      <c r="A50" s="89" t="s">
        <v>786</v>
      </c>
      <c r="B50" s="317">
        <f>VIN_max+Nps*(Vout+Vfwd2)</f>
        <v>20.7</v>
      </c>
      <c r="C50" s="59" t="s">
        <v>0</v>
      </c>
      <c r="D50" s="59" t="b">
        <f>B50&gt;F50</f>
        <v>0</v>
      </c>
      <c r="F50">
        <f>CHOOSE(VARIANT, 90, 90, 60, 60, 60)</f>
        <v>60</v>
      </c>
      <c r="I50" s="20"/>
      <c r="K50" s="59" t="s">
        <v>397</v>
      </c>
      <c r="Q50" s="59" t="s">
        <v>587</v>
      </c>
      <c r="R50" s="546">
        <f>ABS((Vout2+Vfwd1)/(Vout+Vfwd1))</f>
        <v>1.0652741514360313</v>
      </c>
      <c r="V50" s="59" t="s">
        <v>587</v>
      </c>
      <c r="W50" s="532">
        <f>Nsec1sec2</f>
        <v>1.0652741514360313</v>
      </c>
    </row>
    <row r="51" spans="1:23" ht="15.6" x14ac:dyDescent="0.35">
      <c r="A51" s="89" t="s">
        <v>394</v>
      </c>
      <c r="B51" s="153">
        <v>0.1</v>
      </c>
      <c r="C51" s="59" t="s">
        <v>45</v>
      </c>
      <c r="D51" s="59" t="s">
        <v>582</v>
      </c>
      <c r="F51" s="162" t="s">
        <v>583</v>
      </c>
      <c r="I51" s="20"/>
      <c r="Q51" s="330" t="s">
        <v>504</v>
      </c>
      <c r="R51" s="530">
        <f>Nps/Nsec1sec2</f>
        <v>0.46936274509803921</v>
      </c>
      <c r="V51" s="3"/>
      <c r="W51" s="531">
        <f>W49*W50</f>
        <v>2.1305483028720626</v>
      </c>
    </row>
    <row r="52" spans="1:23" ht="13.8" thickBot="1" x14ac:dyDescent="0.3">
      <c r="A52" s="23"/>
      <c r="B52" s="24"/>
      <c r="C52" s="62"/>
      <c r="D52" s="24"/>
      <c r="E52" s="24"/>
      <c r="F52" s="24"/>
      <c r="G52" s="24"/>
      <c r="H52" s="24"/>
      <c r="I52" s="25"/>
      <c r="K52" s="384" t="str">
        <f>"SCH_"&amp;B59&amp;"_"&amp;F64&amp;"_"&amp;I64&amp;"_"&amp;F58</f>
        <v>SCH_SINGLE_UVLOadj_SSadj_TCyes</v>
      </c>
      <c r="R52" s="60">
        <f>ROUND(Nsec1sec2,1)</f>
        <v>1.1000000000000001</v>
      </c>
      <c r="V52" s="138" t="s">
        <v>589</v>
      </c>
      <c r="W52" s="320" t="str">
        <f>CHOOSE(MODE, R45, R45&amp;" : "&amp;ROUND(W51,2))</f>
        <v>1 : 2</v>
      </c>
    </row>
    <row r="54" spans="1:23" ht="16.2" thickBot="1" x14ac:dyDescent="0.35">
      <c r="A54" s="39" t="s">
        <v>570</v>
      </c>
    </row>
    <row r="55" spans="1:23" ht="15.6" x14ac:dyDescent="0.3">
      <c r="A55" s="324"/>
      <c r="B55" s="325"/>
      <c r="C55" s="326"/>
      <c r="D55" s="325"/>
      <c r="E55" s="325"/>
      <c r="F55" s="325"/>
      <c r="G55" s="325"/>
      <c r="H55" s="325"/>
      <c r="I55" s="378"/>
      <c r="J55" s="378"/>
      <c r="K55" s="378"/>
      <c r="L55" s="378"/>
      <c r="M55" s="378"/>
      <c r="N55" s="378"/>
      <c r="O55" s="19"/>
    </row>
    <row r="56" spans="1:23" x14ac:dyDescent="0.25">
      <c r="A56" s="138" t="s">
        <v>363</v>
      </c>
      <c r="B56" s="59" t="s">
        <v>364</v>
      </c>
      <c r="C56" s="379">
        <v>1</v>
      </c>
      <c r="E56" s="138" t="s">
        <v>381</v>
      </c>
      <c r="F56" s="59" t="s">
        <v>366</v>
      </c>
      <c r="G56" s="141" t="b">
        <v>1</v>
      </c>
      <c r="I56" s="135" t="s">
        <v>301</v>
      </c>
      <c r="J56" s="141">
        <v>1</v>
      </c>
      <c r="K56" t="str">
        <f>B59&amp;", "&amp;F58&amp;", "&amp;I58&amp;", "&amp;F64&amp;", "&amp;I64</f>
        <v>SINGLE, TCyes, IlimRes, UVLOadj, SSadj</v>
      </c>
      <c r="O56" s="19"/>
      <c r="Q56" s="135" t="s">
        <v>334</v>
      </c>
      <c r="R56" s="3" t="s">
        <v>329</v>
      </c>
      <c r="S56" s="60">
        <v>1</v>
      </c>
    </row>
    <row r="57" spans="1:23" x14ac:dyDescent="0.25">
      <c r="A57" s="321"/>
      <c r="B57" s="59" t="s">
        <v>365</v>
      </c>
      <c r="C57" s="379">
        <v>2</v>
      </c>
      <c r="E57" s="11"/>
      <c r="F57" s="59" t="s">
        <v>367</v>
      </c>
      <c r="G57" s="141" t="b">
        <v>0</v>
      </c>
      <c r="I57" s="135" t="s">
        <v>302</v>
      </c>
      <c r="J57" s="141">
        <v>2</v>
      </c>
      <c r="K57" t="str">
        <f>C59&amp;", "&amp;G58&amp;", "&amp;J58&amp;", "&amp;G64&amp;", "&amp;J64</f>
        <v>1, 1, 2, 1, 1</v>
      </c>
      <c r="O57" s="19"/>
      <c r="Q57" s="135" t="s">
        <v>336</v>
      </c>
      <c r="R57" s="3" t="s">
        <v>330</v>
      </c>
      <c r="S57" s="60">
        <v>2</v>
      </c>
    </row>
    <row r="58" spans="1:23" x14ac:dyDescent="0.25">
      <c r="B58" s="59" t="s">
        <v>517</v>
      </c>
      <c r="C58" s="141">
        <v>3</v>
      </c>
      <c r="E58" s="383" t="s">
        <v>382</v>
      </c>
      <c r="F58" s="323" t="str">
        <f>CHOOSE(G58, "TCyes", "TCno")</f>
        <v>TCyes</v>
      </c>
      <c r="G58" s="319">
        <v>1</v>
      </c>
      <c r="H58" s="383" t="s">
        <v>300</v>
      </c>
      <c r="I58" s="323" t="str">
        <f>CHOOSE(J58, "IlimGND", "IlimRes")</f>
        <v>IlimRes</v>
      </c>
      <c r="J58" s="319">
        <f>IF(C64=4, 1, 2)</f>
        <v>2</v>
      </c>
      <c r="K58" t="str">
        <f>C59&amp;G58&amp;J58&amp;G64&amp;J64</f>
        <v>11211</v>
      </c>
      <c r="O58" s="19"/>
      <c r="Q58" s="135" t="s">
        <v>337</v>
      </c>
      <c r="R58" s="3" t="s">
        <v>331</v>
      </c>
      <c r="S58" s="60">
        <v>3</v>
      </c>
    </row>
    <row r="59" spans="1:23" x14ac:dyDescent="0.25">
      <c r="A59" s="381" t="s">
        <v>285</v>
      </c>
      <c r="B59" s="380" t="str">
        <f>CHOOSE(C59,"SINGLE", IF(Vout2_actual&gt;0, "DUAL", "BIPOLAR"))</f>
        <v>SINGLE</v>
      </c>
      <c r="C59" s="322">
        <v>1</v>
      </c>
      <c r="G59" s="60">
        <f>TC</f>
        <v>1</v>
      </c>
      <c r="I59" s="319"/>
      <c r="O59" s="19"/>
      <c r="Q59" s="135" t="s">
        <v>335</v>
      </c>
      <c r="R59" s="3" t="s">
        <v>332</v>
      </c>
      <c r="S59" s="60">
        <v>4</v>
      </c>
    </row>
    <row r="60" spans="1:23" x14ac:dyDescent="0.25">
      <c r="A60" s="321"/>
      <c r="B60" s="3" t="b">
        <f>CHOOSE(C59, TRUE, FALSE)</f>
        <v>1</v>
      </c>
      <c r="C60" s="60" t="str">
        <f>CHOOSE(C59,"1", IF(Vout2&gt;0, "2", "3"))</f>
        <v>1</v>
      </c>
      <c r="O60" s="19"/>
      <c r="Q60" s="135" t="s">
        <v>339</v>
      </c>
      <c r="R60" s="3" t="s">
        <v>338</v>
      </c>
      <c r="S60" s="60">
        <v>5</v>
      </c>
    </row>
    <row r="61" spans="1:23" x14ac:dyDescent="0.25">
      <c r="O61" s="19"/>
      <c r="Q61" s="383" t="s">
        <v>333</v>
      </c>
      <c r="R61" s="162" t="str">
        <f>CHOOSE(S61,"6.3V","10V","16V","25V","50V")</f>
        <v>25V</v>
      </c>
      <c r="S61" s="319">
        <f>IF(Vout&lt;=5, 1, IF(Vout&lt;=8, 2, IF(Vout&lt;=12, 3, IF(Vout&lt;=20, 4, 5))))</f>
        <v>4</v>
      </c>
    </row>
    <row r="62" spans="1:23" x14ac:dyDescent="0.25">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5">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5">
      <c r="A64" s="382" t="s">
        <v>286</v>
      </c>
      <c r="B64" s="380" t="str">
        <f>CHOOSE(C64, "YES", "NO")</f>
        <v>YES</v>
      </c>
      <c r="C64" s="322">
        <v>1</v>
      </c>
      <c r="E64" s="383" t="s">
        <v>305</v>
      </c>
      <c r="F64" s="323" t="str">
        <f>CHOOSE(G64, "UVLOadj", "UVLOint")</f>
        <v>UVLOadj</v>
      </c>
      <c r="G64" s="319">
        <v>1</v>
      </c>
      <c r="H64" s="383" t="s">
        <v>287</v>
      </c>
      <c r="I64" s="323" t="str">
        <f>CHOOSE(J64, "SSadj", "SSint")</f>
        <v>SSadj</v>
      </c>
      <c r="J64" s="319">
        <v>1</v>
      </c>
      <c r="L64" s="320" t="s">
        <v>298</v>
      </c>
      <c r="M64" s="319">
        <v>1</v>
      </c>
      <c r="O64" s="19"/>
      <c r="R64" s="398" t="s">
        <v>342</v>
      </c>
      <c r="S64" s="60">
        <v>1</v>
      </c>
      <c r="T64" s="59" t="s">
        <v>348</v>
      </c>
      <c r="U64" s="147">
        <v>0.5</v>
      </c>
    </row>
    <row r="65" spans="1:26" ht="13.8" thickBot="1" x14ac:dyDescent="0.3">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5">
      <c r="B66" t="b">
        <f>(CONFIG="2")</f>
        <v>0</v>
      </c>
      <c r="C66" s="3" t="str">
        <f>CONFIG</f>
        <v>1</v>
      </c>
      <c r="R66" s="398" t="s">
        <v>343</v>
      </c>
      <c r="S66" s="60">
        <v>3</v>
      </c>
      <c r="T66" s="59" t="s">
        <v>353</v>
      </c>
      <c r="U66" s="147">
        <v>2.5</v>
      </c>
    </row>
    <row r="67" spans="1:26" ht="16.2" thickBot="1" x14ac:dyDescent="0.35">
      <c r="A67" s="39" t="s">
        <v>571</v>
      </c>
      <c r="B67" s="3"/>
      <c r="R67" s="398" t="s">
        <v>344</v>
      </c>
      <c r="S67" s="60">
        <v>4</v>
      </c>
      <c r="T67" s="59" t="s">
        <v>351</v>
      </c>
      <c r="U67" s="147">
        <v>5.0999999999999996</v>
      </c>
    </row>
    <row r="68" spans="1:26" x14ac:dyDescent="0.25">
      <c r="A68" s="88"/>
      <c r="B68" s="516"/>
      <c r="C68" s="517"/>
      <c r="D68" s="133"/>
      <c r="E68" s="61"/>
      <c r="F68" s="26"/>
      <c r="G68" s="26"/>
      <c r="H68" s="26"/>
      <c r="I68" s="27">
        <v>1</v>
      </c>
      <c r="R68" s="398" t="s">
        <v>345</v>
      </c>
      <c r="S68" s="60">
        <v>5</v>
      </c>
      <c r="T68" s="59" t="s">
        <v>354</v>
      </c>
      <c r="U68" s="147">
        <v>8</v>
      </c>
    </row>
    <row r="69" spans="1:26" x14ac:dyDescent="0.25">
      <c r="A69" s="89" t="s">
        <v>150</v>
      </c>
      <c r="B69" s="142">
        <f>Nps*(Vout+Vfwd2)/(VIN_min+Nps*(Vout+Vfwd2))</f>
        <v>0.46107784431137727</v>
      </c>
      <c r="C69"/>
      <c r="D69" t="b">
        <f>B69&gt;0.75</f>
        <v>0</v>
      </c>
      <c r="E69" s="59"/>
      <c r="I69" s="20">
        <v>1</v>
      </c>
      <c r="Q69" s="383" t="s">
        <v>346</v>
      </c>
      <c r="R69" s="162" t="str">
        <f>CHOOSE(S69,"0402","0603","0805","1206","1210")</f>
        <v>1210</v>
      </c>
      <c r="S69" s="319">
        <v>5</v>
      </c>
      <c r="T69" s="162" t="str">
        <f>CHOOSE(S69,T64,T65, T66,T67,T68)</f>
        <v>3.2 x 2.5</v>
      </c>
    </row>
    <row r="70" spans="1:26" x14ac:dyDescent="0.25">
      <c r="A70" s="89" t="s">
        <v>157</v>
      </c>
      <c r="B70" s="142">
        <f>Nps*(Vout+Vfwd1)/(VIN_nom+Nps*(Vout+Vfwd1))</f>
        <v>0.40831556503198302</v>
      </c>
      <c r="C70"/>
      <c r="I70" s="20"/>
    </row>
    <row r="71" spans="1:26" x14ac:dyDescent="0.25">
      <c r="A71" s="89" t="s">
        <v>151</v>
      </c>
      <c r="B71" s="142">
        <f>Nps*(Vout+Vfwd1)/(VIN_max+Nps*(Vout+Vfwd1))</f>
        <v>0.37076476282671827</v>
      </c>
      <c r="C71"/>
      <c r="E71" s="59"/>
      <c r="I71" s="20"/>
    </row>
    <row r="72" spans="1:26" x14ac:dyDescent="0.25">
      <c r="A72" s="59"/>
      <c r="C72"/>
      <c r="E72" s="59"/>
      <c r="I72" s="20"/>
      <c r="R72" s="3" t="s">
        <v>645</v>
      </c>
      <c r="S72" s="3"/>
      <c r="T72" s="3" t="s">
        <v>116</v>
      </c>
      <c r="U72" s="3" t="s">
        <v>646</v>
      </c>
      <c r="W72" s="3" t="s">
        <v>645</v>
      </c>
      <c r="X72" s="3"/>
      <c r="Y72" s="3" t="s">
        <v>116</v>
      </c>
      <c r="Z72" s="3" t="s">
        <v>646</v>
      </c>
    </row>
    <row r="73" spans="1:26" x14ac:dyDescent="0.25">
      <c r="A73" s="89"/>
      <c r="B73" s="551"/>
      <c r="C73" s="59"/>
      <c r="D73" s="59"/>
      <c r="I73" s="20"/>
      <c r="R73" s="59" t="s">
        <v>349</v>
      </c>
      <c r="S73" s="60">
        <v>1</v>
      </c>
      <c r="T73" s="330" t="s">
        <v>634</v>
      </c>
      <c r="U73" s="147">
        <v>36</v>
      </c>
      <c r="W73" s="59" t="s">
        <v>652</v>
      </c>
      <c r="X73" s="60">
        <v>1</v>
      </c>
      <c r="Y73" s="59" t="s">
        <v>352</v>
      </c>
      <c r="Z73">
        <v>1.3</v>
      </c>
    </row>
    <row r="74" spans="1:26" x14ac:dyDescent="0.25">
      <c r="A74" s="89"/>
      <c r="B74" s="551"/>
      <c r="C74"/>
      <c r="D74" s="59"/>
      <c r="I74" s="20"/>
      <c r="R74" s="59" t="s">
        <v>350</v>
      </c>
      <c r="S74" s="60">
        <v>2</v>
      </c>
      <c r="T74" s="330" t="s">
        <v>633</v>
      </c>
      <c r="U74" s="147">
        <v>49</v>
      </c>
      <c r="W74" s="59" t="s">
        <v>642</v>
      </c>
      <c r="X74" s="60">
        <v>2</v>
      </c>
      <c r="Y74" s="59" t="s">
        <v>651</v>
      </c>
      <c r="Z74">
        <v>3.2</v>
      </c>
    </row>
    <row r="75" spans="1:26" x14ac:dyDescent="0.25">
      <c r="A75" s="89"/>
      <c r="B75" s="551"/>
      <c r="C75" s="59"/>
      <c r="D75" s="59"/>
      <c r="I75" s="20"/>
      <c r="R75" s="59" t="s">
        <v>624</v>
      </c>
      <c r="S75" s="60">
        <v>3</v>
      </c>
      <c r="T75" s="330" t="s">
        <v>632</v>
      </c>
      <c r="U75" s="147">
        <v>64</v>
      </c>
      <c r="W75" s="59" t="s">
        <v>643</v>
      </c>
      <c r="X75" s="60">
        <v>3</v>
      </c>
      <c r="Y75" s="59" t="s">
        <v>650</v>
      </c>
      <c r="Z75">
        <v>6.5</v>
      </c>
    </row>
    <row r="76" spans="1:26" x14ac:dyDescent="0.25">
      <c r="A76" s="59"/>
      <c r="C76"/>
      <c r="I76" s="20">
        <v>1</v>
      </c>
      <c r="R76" s="59" t="s">
        <v>625</v>
      </c>
      <c r="S76" s="60">
        <v>4</v>
      </c>
      <c r="T76" s="330" t="s">
        <v>631</v>
      </c>
      <c r="U76" s="147">
        <v>81</v>
      </c>
      <c r="W76" s="59" t="s">
        <v>644</v>
      </c>
      <c r="X76" s="60">
        <v>4</v>
      </c>
      <c r="Y76" s="59" t="s">
        <v>649</v>
      </c>
      <c r="Z76">
        <v>12.5</v>
      </c>
    </row>
    <row r="77" spans="1:26" x14ac:dyDescent="0.25">
      <c r="A77" s="59"/>
      <c r="B77" s="13"/>
      <c r="C77" s="59"/>
      <c r="D77" s="59"/>
      <c r="E77" s="59"/>
      <c r="I77" s="20"/>
      <c r="R77" s="59" t="s">
        <v>626</v>
      </c>
      <c r="S77" s="60">
        <v>5</v>
      </c>
      <c r="T77" s="330" t="s">
        <v>630</v>
      </c>
      <c r="U77" s="147">
        <v>100</v>
      </c>
      <c r="W77" s="59" t="s">
        <v>813</v>
      </c>
      <c r="X77" s="60">
        <v>5</v>
      </c>
      <c r="Y77" s="59" t="s">
        <v>814</v>
      </c>
      <c r="Z77">
        <v>16.5</v>
      </c>
    </row>
    <row r="78" spans="1:26" x14ac:dyDescent="0.25">
      <c r="A78" s="59"/>
      <c r="B78" s="13"/>
      <c r="C78"/>
      <c r="D78" s="59">
        <f>Isw_min</f>
        <v>0.82</v>
      </c>
      <c r="E78" s="59"/>
      <c r="I78" s="20"/>
      <c r="R78" s="59" t="s">
        <v>627</v>
      </c>
      <c r="S78" s="60">
        <v>6</v>
      </c>
      <c r="T78" s="330" t="s">
        <v>629</v>
      </c>
      <c r="U78" s="147">
        <v>120</v>
      </c>
      <c r="W78" s="383" t="s">
        <v>647</v>
      </c>
    </row>
    <row r="79" spans="1:26" x14ac:dyDescent="0.25">
      <c r="A79" s="59"/>
      <c r="B79" s="13"/>
      <c r="C79" s="59"/>
      <c r="D79" s="59"/>
      <c r="E79" s="59"/>
      <c r="I79" s="20"/>
      <c r="R79" s="59" t="s">
        <v>628</v>
      </c>
      <c r="S79" s="60">
        <v>7</v>
      </c>
      <c r="T79" s="330" t="s">
        <v>635</v>
      </c>
      <c r="U79" s="147">
        <v>143</v>
      </c>
    </row>
    <row r="80" spans="1:26" ht="15.6" x14ac:dyDescent="0.35">
      <c r="A80" s="59"/>
      <c r="C80" s="59"/>
      <c r="E80" s="59"/>
      <c r="I80" s="20"/>
      <c r="K80" s="59" t="s">
        <v>321</v>
      </c>
      <c r="Q80" s="383" t="s">
        <v>460</v>
      </c>
    </row>
    <row r="81" spans="1:9" x14ac:dyDescent="0.25">
      <c r="A81" s="89" t="s">
        <v>695</v>
      </c>
      <c r="B81" s="34">
        <f>'LM(2)518x PSR flyback converter'!L7/1000000</f>
        <v>9.0000000000000002E-6</v>
      </c>
      <c r="C81" t="s">
        <v>11</v>
      </c>
      <c r="D81" s="59" t="s">
        <v>459</v>
      </c>
      <c r="I81" s="20"/>
    </row>
    <row r="82" spans="1:9" x14ac:dyDescent="0.25">
      <c r="A82" s="89" t="s">
        <v>677</v>
      </c>
      <c r="B82" s="111">
        <f>'LM(2)518x PSR flyback converter'!L11</f>
        <v>1000</v>
      </c>
      <c r="C82" t="s">
        <v>678</v>
      </c>
      <c r="D82" s="59"/>
      <c r="I82" s="20"/>
    </row>
    <row r="83" spans="1:9" x14ac:dyDescent="0.25">
      <c r="A83" s="89" t="s">
        <v>392</v>
      </c>
      <c r="B83" s="8">
        <f>'LM(2)518x PSR flyback converter'!L8/1000</f>
        <v>8.5000000000000006E-2</v>
      </c>
      <c r="C83" s="91" t="s">
        <v>45</v>
      </c>
      <c r="D83" s="59" t="s">
        <v>457</v>
      </c>
      <c r="I83" s="20"/>
    </row>
    <row r="84" spans="1:9" x14ac:dyDescent="0.25">
      <c r="A84" s="89" t="s">
        <v>455</v>
      </c>
      <c r="B84" s="8">
        <f>'LM(2)518x PSR flyback converter'!L9/1000</f>
        <v>0.19</v>
      </c>
      <c r="C84" s="91" t="s">
        <v>45</v>
      </c>
      <c r="D84" s="59" t="s">
        <v>458</v>
      </c>
      <c r="I84" s="20">
        <v>2</v>
      </c>
    </row>
    <row r="85" spans="1:9" x14ac:dyDescent="0.25">
      <c r="A85" s="89" t="s">
        <v>456</v>
      </c>
      <c r="B85" s="8">
        <f>'LM(2)518x PSR flyback converter'!L10/1000</f>
        <v>0.05</v>
      </c>
      <c r="C85" s="91" t="s">
        <v>45</v>
      </c>
      <c r="D85" s="59" t="s">
        <v>553</v>
      </c>
      <c r="E85" s="59"/>
      <c r="I85" s="20">
        <v>1</v>
      </c>
    </row>
    <row r="86" spans="1:9" x14ac:dyDescent="0.25">
      <c r="A86" s="89"/>
      <c r="C86"/>
      <c r="I86" s="20"/>
    </row>
    <row r="87" spans="1:9" ht="15.75" customHeight="1" x14ac:dyDescent="0.25">
      <c r="A87" s="59" t="s">
        <v>552</v>
      </c>
      <c r="B87" s="169">
        <v>100</v>
      </c>
      <c r="C87" s="59" t="s">
        <v>102</v>
      </c>
      <c r="D87" s="59"/>
      <c r="I87" s="20"/>
    </row>
    <row r="88" spans="1:9" x14ac:dyDescent="0.25">
      <c r="A88" s="89" t="s">
        <v>549</v>
      </c>
      <c r="B88" s="163">
        <f>Rdcr_pri*(1+0.0039*(B87-25))</f>
        <v>0.1098625</v>
      </c>
      <c r="C88" s="91" t="s">
        <v>45</v>
      </c>
      <c r="I88" s="20"/>
    </row>
    <row r="89" spans="1:9" x14ac:dyDescent="0.25">
      <c r="A89" s="89" t="s">
        <v>550</v>
      </c>
      <c r="B89" s="163">
        <f>Rdcr_sec*(1+0.0039*(B87-25))</f>
        <v>0.24557499999999999</v>
      </c>
      <c r="C89" s="91" t="s">
        <v>45</v>
      </c>
      <c r="I89" s="20"/>
    </row>
    <row r="90" spans="1:9" x14ac:dyDescent="0.25">
      <c r="A90" s="89" t="s">
        <v>551</v>
      </c>
      <c r="B90" s="163">
        <f>Rdcr_sec2*(1+0.0039*(B87-25))</f>
        <v>6.4625000000000002E-2</v>
      </c>
      <c r="C90" s="91" t="s">
        <v>45</v>
      </c>
      <c r="I90" s="20"/>
    </row>
    <row r="91" spans="1:9" x14ac:dyDescent="0.25">
      <c r="A91" s="59" t="s">
        <v>805</v>
      </c>
      <c r="B91">
        <f>CHOOSE(VARIANT, 450, 375, 450, 375, 425)</f>
        <v>425</v>
      </c>
      <c r="C91" s="3" t="s">
        <v>32</v>
      </c>
      <c r="I91" s="20"/>
    </row>
    <row r="92" spans="1:9" x14ac:dyDescent="0.25">
      <c r="A92" t="s">
        <v>676</v>
      </c>
      <c r="B92" s="628">
        <f>(Vout+Vfwd1)*Nps*toff_max*0.000000001/Isw_min*1000000</f>
        <v>3.9701219512195127</v>
      </c>
      <c r="C92" s="3" t="s">
        <v>806</v>
      </c>
      <c r="I92" s="20"/>
    </row>
    <row r="93" spans="1:9" ht="13.8" thickBot="1" x14ac:dyDescent="0.3">
      <c r="A93" s="146" t="s">
        <v>815</v>
      </c>
      <c r="B93" s="140">
        <f>CHOOSE(VARIANT, 2, 1, 2, 3, 5)</f>
        <v>5</v>
      </c>
      <c r="C93" s="62" t="s">
        <v>1</v>
      </c>
      <c r="D93" s="24"/>
      <c r="E93" s="24"/>
      <c r="F93" s="24"/>
      <c r="G93" s="24"/>
      <c r="H93" s="24"/>
      <c r="I93" s="25"/>
    </row>
    <row r="94" spans="1:9" x14ac:dyDescent="0.25">
      <c r="A94" s="3"/>
      <c r="B94" s="2"/>
      <c r="C94" s="2"/>
    </row>
    <row r="96" spans="1:9" ht="16.2" thickBot="1" x14ac:dyDescent="0.35">
      <c r="A96" s="39" t="s">
        <v>572</v>
      </c>
      <c r="D96" s="3"/>
    </row>
    <row r="97" spans="1:12" x14ac:dyDescent="0.25">
      <c r="A97" s="88" t="s">
        <v>164</v>
      </c>
      <c r="B97" s="361"/>
      <c r="C97" s="145" t="s">
        <v>1</v>
      </c>
      <c r="D97" s="61" t="s">
        <v>163</v>
      </c>
      <c r="E97" s="26"/>
      <c r="F97" s="26"/>
      <c r="G97" s="26"/>
      <c r="H97" s="26"/>
      <c r="I97" s="27"/>
      <c r="L97" s="5"/>
    </row>
    <row r="98" spans="1:12" x14ac:dyDescent="0.25">
      <c r="A98" s="89" t="s">
        <v>165</v>
      </c>
      <c r="B98" s="362"/>
      <c r="C98" s="59" t="s">
        <v>1</v>
      </c>
      <c r="E98" s="59"/>
      <c r="I98" s="20"/>
      <c r="L98" s="5"/>
    </row>
    <row r="99" spans="1:12" x14ac:dyDescent="0.25">
      <c r="A99" s="89" t="s">
        <v>166</v>
      </c>
      <c r="B99" s="362"/>
      <c r="C99" s="59" t="s">
        <v>1</v>
      </c>
      <c r="E99" s="59"/>
      <c r="I99" s="20"/>
      <c r="L99" s="5"/>
    </row>
    <row r="100" spans="1:12" x14ac:dyDescent="0.25">
      <c r="A100" s="89"/>
      <c r="B100" s="147"/>
      <c r="C100" s="59"/>
      <c r="E100" s="59"/>
      <c r="I100" s="20"/>
      <c r="L100" s="5"/>
    </row>
    <row r="101" spans="1:12" x14ac:dyDescent="0.25">
      <c r="A101" s="89" t="s">
        <v>174</v>
      </c>
      <c r="B101" s="479">
        <f>Vout_ripple</f>
        <v>150</v>
      </c>
      <c r="C101" s="59" t="s">
        <v>149</v>
      </c>
      <c r="D101" s="59" t="s">
        <v>608</v>
      </c>
      <c r="I101" s="20"/>
      <c r="L101" s="5"/>
    </row>
    <row r="102" spans="1:12" x14ac:dyDescent="0.25">
      <c r="A102" s="434" t="s">
        <v>12</v>
      </c>
      <c r="B102" s="492">
        <f>MAX(4.7, CHOOSE(MODE, 'Calculations - Single'!BA212, 'Calculations - Dual'!AW105))</f>
        <v>17.910795069528412</v>
      </c>
      <c r="C102" s="9" t="s">
        <v>97</v>
      </c>
      <c r="D102" s="59" t="s">
        <v>607</v>
      </c>
      <c r="E102" s="59"/>
      <c r="I102" s="20"/>
    </row>
    <row r="103" spans="1:12" x14ac:dyDescent="0.25">
      <c r="A103" s="89" t="s">
        <v>14</v>
      </c>
      <c r="B103" s="515">
        <f>'LM(2)518x PSR flyback converter'!E22</f>
        <v>100</v>
      </c>
      <c r="C103" s="9" t="s">
        <v>97</v>
      </c>
      <c r="D103" s="59" t="s">
        <v>167</v>
      </c>
      <c r="I103" s="20"/>
    </row>
    <row r="104" spans="1:12" x14ac:dyDescent="0.25">
      <c r="A104" s="176" t="s">
        <v>181</v>
      </c>
      <c r="B104" s="480">
        <f>(Vripple1_spec-Iout*B106/Cout*1000)/Iout</f>
        <v>270.18400095106045</v>
      </c>
      <c r="C104" s="91" t="s">
        <v>258</v>
      </c>
      <c r="D104" s="59" t="s">
        <v>107</v>
      </c>
      <c r="I104" s="20"/>
    </row>
    <row r="105" spans="1:12" x14ac:dyDescent="0.25">
      <c r="A105" s="89" t="s">
        <v>54</v>
      </c>
      <c r="B105" s="171">
        <f>'LM(2)518x PSR flyback converter'!E23</f>
        <v>3</v>
      </c>
      <c r="C105" s="91" t="s">
        <v>258</v>
      </c>
      <c r="D105" s="59" t="s">
        <v>108</v>
      </c>
      <c r="I105" s="20"/>
    </row>
    <row r="106" spans="1:12" x14ac:dyDescent="0.25">
      <c r="A106" s="89" t="s">
        <v>445</v>
      </c>
      <c r="B106" s="170">
        <f>CHOOSE(MODE, 'Calculations - Single'!AT105, 'Calculations - Dual'!AR105)</f>
        <v>2.9815999048939554</v>
      </c>
      <c r="C106" s="9" t="s">
        <v>247</v>
      </c>
      <c r="D106" s="59"/>
      <c r="I106" s="20"/>
    </row>
    <row r="107" spans="1:12" x14ac:dyDescent="0.25">
      <c r="A107" s="29" t="s">
        <v>444</v>
      </c>
      <c r="B107" s="626">
        <f>'Calculations - Single'!BB105</f>
        <v>18.495773070367665</v>
      </c>
      <c r="C107" s="59" t="s">
        <v>450</v>
      </c>
      <c r="D107" s="59" t="s">
        <v>610</v>
      </c>
      <c r="H107" s="162" t="s">
        <v>575</v>
      </c>
      <c r="I107" s="20"/>
    </row>
    <row r="108" spans="1:12" x14ac:dyDescent="0.25">
      <c r="A108" s="29"/>
      <c r="B108" s="170"/>
      <c r="C108" s="59"/>
      <c r="D108" s="59"/>
      <c r="I108" s="20"/>
    </row>
    <row r="109" spans="1:12" x14ac:dyDescent="0.25">
      <c r="A109" s="29"/>
      <c r="B109" s="170"/>
      <c r="C109" s="59"/>
      <c r="D109" s="59"/>
      <c r="I109" s="20"/>
    </row>
    <row r="110" spans="1:12" ht="15.6" x14ac:dyDescent="0.3">
      <c r="A110" s="554" t="s">
        <v>573</v>
      </c>
      <c r="B110" s="170"/>
      <c r="C110" s="9"/>
      <c r="D110" s="59"/>
      <c r="I110" s="20"/>
    </row>
    <row r="111" spans="1:12" x14ac:dyDescent="0.25">
      <c r="A111" s="89" t="s">
        <v>554</v>
      </c>
      <c r="B111" s="479">
        <f>Vout_ripple2</f>
        <v>160</v>
      </c>
      <c r="C111" s="59" t="s">
        <v>149</v>
      </c>
      <c r="D111" s="59" t="s">
        <v>611</v>
      </c>
      <c r="I111" s="20"/>
    </row>
    <row r="112" spans="1:12" x14ac:dyDescent="0.25">
      <c r="A112" s="434" t="s">
        <v>556</v>
      </c>
      <c r="B112" s="170">
        <f>MAX(4.7, 'Calculations - Dual'!AY105)</f>
        <v>4.7</v>
      </c>
      <c r="C112" s="9" t="s">
        <v>97</v>
      </c>
      <c r="D112" s="59" t="s">
        <v>607</v>
      </c>
      <c r="I112" s="20"/>
    </row>
    <row r="113" spans="1:9" x14ac:dyDescent="0.25">
      <c r="A113" s="89" t="s">
        <v>555</v>
      </c>
      <c r="B113" s="515">
        <f>'LM(2)518x PSR flyback converter'!L22</f>
        <v>22</v>
      </c>
      <c r="C113" s="9" t="s">
        <v>97</v>
      </c>
      <c r="D113" s="59" t="s">
        <v>167</v>
      </c>
      <c r="I113" s="20"/>
    </row>
    <row r="114" spans="1:9" x14ac:dyDescent="0.25">
      <c r="A114" s="176" t="s">
        <v>557</v>
      </c>
      <c r="B114" s="480">
        <f>(Vout_ripple2-Iout2*B116/Cout2*1000)/Iout2</f>
        <v>1448.8943488943487</v>
      </c>
      <c r="C114" s="91" t="s">
        <v>258</v>
      </c>
      <c r="D114" s="59" t="s">
        <v>107</v>
      </c>
      <c r="H114" s="162" t="s">
        <v>574</v>
      </c>
      <c r="I114" s="20"/>
    </row>
    <row r="115" spans="1:9" x14ac:dyDescent="0.25">
      <c r="A115" s="89" t="s">
        <v>558</v>
      </c>
      <c r="B115" s="171">
        <f>'LM(2)518x PSR flyback converter'!L23</f>
        <v>2</v>
      </c>
      <c r="C115" s="91" t="s">
        <v>258</v>
      </c>
      <c r="D115" s="59" t="s">
        <v>108</v>
      </c>
      <c r="I115" s="20"/>
    </row>
    <row r="116" spans="1:9" x14ac:dyDescent="0.25">
      <c r="A116" s="89" t="s">
        <v>445</v>
      </c>
      <c r="B116" s="170">
        <f>'Calculations - Dual'!AS105</f>
        <v>3.3243243243243241</v>
      </c>
      <c r="C116" s="9" t="s">
        <v>247</v>
      </c>
      <c r="D116" s="59"/>
      <c r="H116" s="162" t="s">
        <v>574</v>
      </c>
      <c r="I116" s="20"/>
    </row>
    <row r="117" spans="1:9" x14ac:dyDescent="0.25">
      <c r="A117" s="29" t="s">
        <v>444</v>
      </c>
      <c r="B117" s="513">
        <f>'Calculations - Dual'!AZ105</f>
        <v>3.4875494107962228</v>
      </c>
      <c r="C117" s="59" t="s">
        <v>450</v>
      </c>
      <c r="D117" s="59" t="s">
        <v>609</v>
      </c>
      <c r="I117" s="20"/>
    </row>
    <row r="118" spans="1:9" x14ac:dyDescent="0.25">
      <c r="A118" s="3"/>
      <c r="B118" s="170"/>
      <c r="C118" s="59"/>
      <c r="D118" s="59"/>
      <c r="I118" s="20"/>
    </row>
    <row r="119" spans="1:9" ht="13.8" thickBot="1" x14ac:dyDescent="0.3">
      <c r="A119" s="24"/>
      <c r="B119" s="24"/>
      <c r="C119" s="24"/>
      <c r="D119" s="24"/>
      <c r="E119" s="24"/>
      <c r="F119" s="24"/>
      <c r="G119" s="24"/>
      <c r="H119" s="24"/>
      <c r="I119" s="25"/>
    </row>
    <row r="121" spans="1:9" ht="13.8" thickBot="1" x14ac:dyDescent="0.3"/>
    <row r="122" spans="1:9" ht="15.6" x14ac:dyDescent="0.3">
      <c r="A122" s="45" t="s">
        <v>55</v>
      </c>
      <c r="B122" s="46"/>
      <c r="C122" s="148"/>
      <c r="D122" s="46"/>
      <c r="E122" s="46"/>
      <c r="F122" s="46"/>
      <c r="G122" s="46"/>
      <c r="H122" s="46"/>
      <c r="I122" s="47"/>
    </row>
    <row r="123" spans="1:9" x14ac:dyDescent="0.25">
      <c r="A123" s="482" t="s">
        <v>518</v>
      </c>
      <c r="B123" s="485">
        <f>0.05*VIN_nom</f>
        <v>0.55500000000000005</v>
      </c>
      <c r="C123" s="59" t="s">
        <v>451</v>
      </c>
      <c r="D123" s="59" t="s">
        <v>446</v>
      </c>
      <c r="I123" s="49"/>
    </row>
    <row r="124" spans="1:9" x14ac:dyDescent="0.25">
      <c r="A124" s="48"/>
      <c r="C124"/>
      <c r="I124" s="49"/>
    </row>
    <row r="125" spans="1:9" x14ac:dyDescent="0.25">
      <c r="A125" s="50" t="s">
        <v>58</v>
      </c>
      <c r="B125" s="363"/>
      <c r="C125" s="9" t="s">
        <v>30</v>
      </c>
      <c r="I125" s="49"/>
    </row>
    <row r="126" spans="1:9" x14ac:dyDescent="0.25">
      <c r="A126" s="50" t="s">
        <v>98</v>
      </c>
      <c r="B126" s="165">
        <f>'Calculations - Single'!BC105</f>
        <v>5.8444865980091505</v>
      </c>
      <c r="C126" s="9" t="s">
        <v>97</v>
      </c>
      <c r="I126" s="49"/>
    </row>
    <row r="127" spans="1:9" x14ac:dyDescent="0.25">
      <c r="A127" s="176" t="s">
        <v>180</v>
      </c>
      <c r="B127" s="518">
        <f>MAX(2.2,Cinmin)</f>
        <v>5.8444865980091505</v>
      </c>
      <c r="C127" s="9" t="s">
        <v>97</v>
      </c>
      <c r="I127" s="49"/>
    </row>
    <row r="128" spans="1:9" x14ac:dyDescent="0.25">
      <c r="A128" s="50" t="s">
        <v>28</v>
      </c>
      <c r="B128" s="483">
        <f>'LM(2)518x PSR flyback converter'!E18</f>
        <v>22</v>
      </c>
      <c r="C128" s="9" t="s">
        <v>97</v>
      </c>
      <c r="D128" t="s">
        <v>60</v>
      </c>
      <c r="I128" s="49"/>
    </row>
    <row r="129" spans="1:9" x14ac:dyDescent="0.25">
      <c r="A129" s="50"/>
      <c r="B129" s="481"/>
      <c r="C129" s="43"/>
      <c r="I129" s="49"/>
    </row>
    <row r="130" spans="1:9" x14ac:dyDescent="0.25">
      <c r="A130" s="50" t="s">
        <v>99</v>
      </c>
      <c r="B130" s="362">
        <f>(Vinripple1-B133*B135/Cin)/B134</f>
        <v>0.11083099468850202</v>
      </c>
      <c r="C130" s="91" t="s">
        <v>45</v>
      </c>
      <c r="I130" s="49"/>
    </row>
    <row r="131" spans="1:9" x14ac:dyDescent="0.25">
      <c r="A131" s="50" t="s">
        <v>37</v>
      </c>
      <c r="B131" s="44">
        <f>'LM(2)518x PSR flyback converter'!E19/1000</f>
        <v>3.0000000000000001E-3</v>
      </c>
      <c r="C131" s="91" t="s">
        <v>45</v>
      </c>
      <c r="D131" s="59" t="s">
        <v>109</v>
      </c>
      <c r="I131" s="49"/>
    </row>
    <row r="132" spans="1:9" ht="13.8" x14ac:dyDescent="0.3">
      <c r="A132" s="176" t="s">
        <v>182</v>
      </c>
      <c r="B132" s="315">
        <f>'LM(2)518x PSR flyback converter'!E19</f>
        <v>3</v>
      </c>
      <c r="C132" s="12" t="s">
        <v>161</v>
      </c>
      <c r="D132" s="59"/>
      <c r="I132" s="49"/>
    </row>
    <row r="133" spans="1:9" x14ac:dyDescent="0.25">
      <c r="A133" s="176" t="s">
        <v>448</v>
      </c>
      <c r="B133" s="368">
        <f>Pout_total/VIN_nom/Efficiency</f>
        <v>0.75075075075075071</v>
      </c>
      <c r="C133" s="59" t="s">
        <v>1</v>
      </c>
      <c r="D133" s="59"/>
      <c r="I133" s="49"/>
    </row>
    <row r="134" spans="1:9" x14ac:dyDescent="0.25">
      <c r="A134" s="176" t="s">
        <v>452</v>
      </c>
      <c r="B134" s="368">
        <f>CHOOSE(MODE, 'Calculations - Single'!AJ105, 'Calculations - Dual'!$AI$105)</f>
        <v>3.6773065493692116</v>
      </c>
      <c r="C134" s="59" t="s">
        <v>1</v>
      </c>
      <c r="D134" s="59"/>
      <c r="I134" s="49"/>
    </row>
    <row r="135" spans="1:9" x14ac:dyDescent="0.25">
      <c r="A135" s="176" t="s">
        <v>449</v>
      </c>
      <c r="B135" s="368">
        <f>CHOOSE(MODE, 'Calculations - Single'!AU105, 'Calculations - Dual'!$AT$105)</f>
        <v>4.3205951624442447</v>
      </c>
      <c r="C135" s="9" t="s">
        <v>247</v>
      </c>
      <c r="D135" s="59"/>
      <c r="I135" s="49"/>
    </row>
    <row r="136" spans="1:9" x14ac:dyDescent="0.25">
      <c r="A136" s="176" t="s">
        <v>447</v>
      </c>
      <c r="B136" s="165">
        <f>CHOOSE(MODE, 'Calculations - Single'!BD105, 'Calculations - Dual'!$BB$105)</f>
        <v>149.69270961111945</v>
      </c>
      <c r="C136" s="9" t="s">
        <v>450</v>
      </c>
      <c r="D136" s="59" t="s">
        <v>453</v>
      </c>
      <c r="E136" s="484"/>
      <c r="F136" s="9"/>
      <c r="I136" s="49"/>
    </row>
    <row r="137" spans="1:9" ht="13.8" thickBot="1" x14ac:dyDescent="0.3">
      <c r="A137" s="51"/>
      <c r="B137" s="52"/>
      <c r="C137" s="52"/>
      <c r="D137" s="52"/>
      <c r="E137" s="53"/>
      <c r="F137" s="53"/>
      <c r="G137" s="53"/>
      <c r="H137" s="53"/>
      <c r="I137" s="54"/>
    </row>
    <row r="139" spans="1:9" ht="16.2" thickBot="1" x14ac:dyDescent="0.35">
      <c r="A139" s="39" t="s">
        <v>62</v>
      </c>
    </row>
    <row r="140" spans="1:9" x14ac:dyDescent="0.25">
      <c r="A140" s="40" t="s">
        <v>64</v>
      </c>
      <c r="B140" s="7">
        <f>'LM(2)518x PSR flyback converter'!E30/1000</f>
        <v>0.02</v>
      </c>
      <c r="C140" s="26" t="s">
        <v>51</v>
      </c>
      <c r="D140" s="61" t="s">
        <v>176</v>
      </c>
      <c r="E140" s="26"/>
      <c r="F140" s="26"/>
      <c r="G140" s="26"/>
      <c r="H140" s="26"/>
      <c r="I140" s="27"/>
    </row>
    <row r="141" spans="1:9" x14ac:dyDescent="0.25">
      <c r="A141" s="19" t="s">
        <v>65</v>
      </c>
      <c r="B141" s="173">
        <v>5.0000000000000004E-6</v>
      </c>
      <c r="C141" t="s">
        <v>1</v>
      </c>
      <c r="D141" s="59" t="s">
        <v>307</v>
      </c>
      <c r="I141" s="20"/>
    </row>
    <row r="142" spans="1:9" x14ac:dyDescent="0.25">
      <c r="A142" s="19" t="s">
        <v>66</v>
      </c>
      <c r="B142" s="173">
        <f>0.000005*Tss/1</f>
        <v>1.0000000000000001E-7</v>
      </c>
      <c r="C142" t="s">
        <v>13</v>
      </c>
      <c r="D142" s="59" t="s">
        <v>309</v>
      </c>
      <c r="I142" s="20"/>
    </row>
    <row r="143" spans="1:9" ht="13.8" thickBot="1" x14ac:dyDescent="0.3">
      <c r="A143" s="23" t="s">
        <v>72</v>
      </c>
      <c r="B143" s="174">
        <f>'Standard Value Calculator'!B4</f>
        <v>9.9999999999999995E-8</v>
      </c>
      <c r="C143" s="24" t="s">
        <v>13</v>
      </c>
      <c r="D143" s="62" t="s">
        <v>310</v>
      </c>
      <c r="E143" s="24"/>
      <c r="F143" s="24"/>
      <c r="G143" s="24"/>
      <c r="H143" s="24"/>
      <c r="I143" s="25"/>
    </row>
    <row r="145" spans="1:9" ht="16.2" thickBot="1" x14ac:dyDescent="0.35">
      <c r="A145" s="39" t="s">
        <v>569</v>
      </c>
    </row>
    <row r="146" spans="1:9" ht="12.75" customHeight="1" x14ac:dyDescent="0.25">
      <c r="A146" s="88"/>
      <c r="B146" s="41"/>
      <c r="C146" s="136"/>
      <c r="D146" s="61"/>
      <c r="E146" s="26"/>
      <c r="F146" s="26"/>
      <c r="G146" s="26"/>
      <c r="H146" s="26"/>
      <c r="I146" s="27"/>
    </row>
    <row r="147" spans="1:9" ht="12.75" customHeight="1" x14ac:dyDescent="0.25">
      <c r="A147" s="89" t="s">
        <v>111</v>
      </c>
      <c r="B147" s="166">
        <v>1.5</v>
      </c>
      <c r="C147" s="59" t="s">
        <v>0</v>
      </c>
      <c r="D147" s="59"/>
      <c r="I147" s="20"/>
    </row>
    <row r="148" spans="1:9" ht="12.75" customHeight="1" x14ac:dyDescent="0.25">
      <c r="A148" s="89" t="s">
        <v>112</v>
      </c>
      <c r="B148" s="166">
        <v>1.45</v>
      </c>
      <c r="C148" s="59" t="s">
        <v>0</v>
      </c>
      <c r="D148" s="59"/>
      <c r="I148" s="20"/>
    </row>
    <row r="149" spans="1:9" ht="12.75" customHeight="1" x14ac:dyDescent="0.25">
      <c r="A149" s="89" t="s">
        <v>148</v>
      </c>
      <c r="B149" s="11">
        <f>B147-B148</f>
        <v>5.0000000000000044E-2</v>
      </c>
      <c r="C149" s="59" t="s">
        <v>0</v>
      </c>
      <c r="D149" s="59"/>
      <c r="I149" s="20"/>
    </row>
    <row r="150" spans="1:9" ht="12.75" customHeight="1" x14ac:dyDescent="0.25">
      <c r="A150" s="89" t="s">
        <v>377</v>
      </c>
      <c r="B150">
        <v>0</v>
      </c>
      <c r="C150" s="59" t="s">
        <v>1</v>
      </c>
      <c r="D150" s="59"/>
      <c r="I150" s="20"/>
    </row>
    <row r="151" spans="1:9" ht="12.75" customHeight="1" x14ac:dyDescent="0.25">
      <c r="A151" s="89" t="s">
        <v>376</v>
      </c>
      <c r="B151" s="454">
        <v>5.0000000000000001E-3</v>
      </c>
      <c r="C151" s="59" t="s">
        <v>30</v>
      </c>
      <c r="D151" s="59"/>
      <c r="I151" s="20"/>
    </row>
    <row r="152" spans="1:9" ht="12.75" customHeight="1" x14ac:dyDescent="0.25">
      <c r="A152" s="89" t="s">
        <v>375</v>
      </c>
      <c r="B152" s="455">
        <f>Iuvlo2-Iuvlo1</f>
        <v>5.0000000000000001E-3</v>
      </c>
      <c r="C152" s="59" t="s">
        <v>30</v>
      </c>
      <c r="D152" s="59"/>
      <c r="I152" s="20"/>
    </row>
    <row r="153" spans="1:9" ht="12.75" customHeight="1" x14ac:dyDescent="0.25">
      <c r="A153" s="89"/>
      <c r="B153" s="11"/>
      <c r="C153" s="138"/>
      <c r="D153" s="59"/>
      <c r="I153" s="20"/>
    </row>
    <row r="154" spans="1:9" ht="12.75" customHeight="1" x14ac:dyDescent="0.35">
      <c r="A154" s="89" t="s">
        <v>110</v>
      </c>
      <c r="B154" s="164">
        <f>'LM(2)518x PSR flyback converter'!E36</f>
        <v>8</v>
      </c>
      <c r="C154" s="59" t="s">
        <v>0</v>
      </c>
      <c r="I154" s="20"/>
    </row>
    <row r="155" spans="1:9" ht="12.75" customHeight="1" x14ac:dyDescent="0.35">
      <c r="A155" s="89" t="s">
        <v>294</v>
      </c>
      <c r="B155" s="164">
        <f>'LM(2)518x PSR flyback converter'!E37</f>
        <v>7.5</v>
      </c>
      <c r="C155" s="59" t="s">
        <v>0</v>
      </c>
      <c r="I155" s="20"/>
    </row>
    <row r="156" spans="1:9" ht="12.75" customHeight="1" x14ac:dyDescent="0.25">
      <c r="A156" s="89"/>
      <c r="B156" s="11"/>
      <c r="C156" s="59"/>
      <c r="I156" s="20"/>
    </row>
    <row r="157" spans="1:9" ht="12.75" customHeight="1" x14ac:dyDescent="0.35">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5">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3">
      <c r="A159" s="89"/>
      <c r="B159" s="90"/>
      <c r="C159" s="12"/>
      <c r="D159" s="11"/>
      <c r="E159" s="12"/>
      <c r="F159" s="11"/>
      <c r="G159" s="11"/>
      <c r="I159" s="20"/>
    </row>
    <row r="160" spans="1:9" ht="12.75" customHeight="1" x14ac:dyDescent="0.35">
      <c r="A160" s="89" t="s">
        <v>114</v>
      </c>
      <c r="B160" s="514">
        <f>(D157+D158)/D158*Vuvlo_on</f>
        <v>8.0046728971962615</v>
      </c>
      <c r="C160" s="3" t="s">
        <v>0</v>
      </c>
      <c r="F160" s="12"/>
      <c r="I160" s="20"/>
    </row>
    <row r="161" spans="1:9" ht="12.75" customHeight="1" x14ac:dyDescent="0.35">
      <c r="A161" s="89" t="s">
        <v>115</v>
      </c>
      <c r="B161" s="514">
        <f>(D157+D158)/D158*Vuvlo_off-Iuvlo2*D157</f>
        <v>7.5058504672897195</v>
      </c>
      <c r="C161" s="3" t="s">
        <v>0</v>
      </c>
      <c r="F161" s="12"/>
      <c r="I161" s="20"/>
    </row>
    <row r="162" spans="1:9" ht="12.75" customHeight="1" thickBot="1" x14ac:dyDescent="0.3">
      <c r="A162" s="23"/>
      <c r="B162" s="32"/>
      <c r="C162" s="137"/>
      <c r="D162" s="24"/>
      <c r="E162" s="24"/>
      <c r="F162" s="24"/>
      <c r="G162" s="24"/>
      <c r="H162" s="24"/>
      <c r="I162" s="25"/>
    </row>
    <row r="163" spans="1:9" x14ac:dyDescent="0.25">
      <c r="B163" s="11"/>
      <c r="C163" s="138"/>
    </row>
    <row r="164" spans="1:9" ht="16.2" thickBot="1" x14ac:dyDescent="0.35">
      <c r="A164" s="39" t="s">
        <v>529</v>
      </c>
    </row>
    <row r="165" spans="1:9" x14ac:dyDescent="0.25">
      <c r="A165" s="155" t="s">
        <v>16</v>
      </c>
      <c r="B165" s="156">
        <v>3.1415926500000002</v>
      </c>
      <c r="C165" s="157"/>
      <c r="D165" s="158" t="s">
        <v>170</v>
      </c>
      <c r="E165" s="26"/>
      <c r="F165" s="26"/>
      <c r="G165" s="26"/>
      <c r="H165" s="26"/>
      <c r="I165" s="27"/>
    </row>
    <row r="166" spans="1:9" x14ac:dyDescent="0.25">
      <c r="A166" s="59" t="s">
        <v>185</v>
      </c>
      <c r="B166" s="179"/>
      <c r="C166" s="159" t="s">
        <v>184</v>
      </c>
      <c r="D166" s="161" t="s">
        <v>561</v>
      </c>
      <c r="I166" s="20"/>
    </row>
    <row r="167" spans="1:9" x14ac:dyDescent="0.25">
      <c r="A167" s="59" t="s">
        <v>186</v>
      </c>
      <c r="B167" s="179"/>
      <c r="C167" s="159" t="s">
        <v>184</v>
      </c>
      <c r="D167" s="161"/>
      <c r="I167" s="20"/>
    </row>
    <row r="168" spans="1:9" x14ac:dyDescent="0.25">
      <c r="C168"/>
      <c r="I168" s="20"/>
    </row>
    <row r="169" spans="1:9" ht="13.8" x14ac:dyDescent="0.3">
      <c r="A169" s="89" t="s">
        <v>393</v>
      </c>
      <c r="B169" s="149">
        <f>(Vout+Vfwd1)*Nps*10</f>
        <v>76.599999999999994</v>
      </c>
      <c r="C169" s="12" t="s">
        <v>113</v>
      </c>
      <c r="D169" s="59" t="s">
        <v>531</v>
      </c>
      <c r="I169" s="20">
        <v>1</v>
      </c>
    </row>
    <row r="170" spans="1:9" ht="13.8" x14ac:dyDescent="0.3">
      <c r="A170" s="29" t="s">
        <v>530</v>
      </c>
      <c r="B170" s="154">
        <f>Rfb/1000</f>
        <v>196</v>
      </c>
      <c r="C170" s="12" t="s">
        <v>113</v>
      </c>
      <c r="D170" s="59" t="s">
        <v>528</v>
      </c>
      <c r="I170" s="20"/>
    </row>
    <row r="171" spans="1:9" ht="13.8" x14ac:dyDescent="0.3">
      <c r="A171" s="89" t="s">
        <v>53</v>
      </c>
      <c r="B171" s="31">
        <f>'Standard Value Calculator'!J10/1000</f>
        <v>196</v>
      </c>
      <c r="C171" s="12" t="s">
        <v>113</v>
      </c>
      <c r="D171" s="59" t="s">
        <v>361</v>
      </c>
      <c r="I171" s="20"/>
    </row>
    <row r="172" spans="1:9" ht="13.8" x14ac:dyDescent="0.3">
      <c r="A172" s="59"/>
      <c r="C172" s="12"/>
      <c r="D172" s="59"/>
      <c r="I172" s="20"/>
    </row>
    <row r="173" spans="1:9" x14ac:dyDescent="0.25">
      <c r="A173" s="59" t="s">
        <v>532</v>
      </c>
      <c r="B173" s="465">
        <f>'LM(2)518x PSR flyback converter'!E33</f>
        <v>-1.5</v>
      </c>
      <c r="C173" s="59" t="s">
        <v>386</v>
      </c>
      <c r="D173" s="59"/>
      <c r="I173" s="20"/>
    </row>
    <row r="174" spans="1:9" ht="15.6" x14ac:dyDescent="0.35">
      <c r="A174" s="19" t="s">
        <v>527</v>
      </c>
      <c r="B174" s="317">
        <f>3*B170/Nps/ABS(Diode_TC)*1000</f>
        <v>784000</v>
      </c>
      <c r="C174" s="12" t="s">
        <v>136</v>
      </c>
      <c r="D174" s="59"/>
      <c r="I174" s="20"/>
    </row>
    <row r="175" spans="1:9" ht="13.8" x14ac:dyDescent="0.3">
      <c r="A175" t="s">
        <v>533</v>
      </c>
      <c r="B175" s="147">
        <f>'Standard Value Calculator'!J9/1000</f>
        <v>787</v>
      </c>
      <c r="C175" s="12" t="s">
        <v>113</v>
      </c>
      <c r="D175" s="59"/>
      <c r="I175" s="20"/>
    </row>
    <row r="176" spans="1:9" ht="13.8" thickBot="1" x14ac:dyDescent="0.3">
      <c r="A176" s="160"/>
      <c r="B176" s="160"/>
      <c r="C176" s="33"/>
      <c r="D176" s="24"/>
      <c r="E176" s="33"/>
      <c r="F176" s="24"/>
      <c r="G176" s="24"/>
      <c r="H176" s="24"/>
      <c r="I176" s="25"/>
    </row>
    <row r="177" spans="1:9" x14ac:dyDescent="0.25">
      <c r="A177" s="2"/>
      <c r="B177" s="13"/>
      <c r="C177" s="13"/>
      <c r="E177" s="13"/>
    </row>
    <row r="178" spans="1:9" x14ac:dyDescent="0.25">
      <c r="A178" s="2"/>
      <c r="B178" s="13"/>
      <c r="C178" s="13"/>
      <c r="E178" s="13"/>
    </row>
    <row r="179" spans="1:9" ht="16.2" thickBot="1" x14ac:dyDescent="0.35">
      <c r="A179" s="42" t="s">
        <v>83</v>
      </c>
    </row>
    <row r="180" spans="1:9" x14ac:dyDescent="0.25">
      <c r="A180" s="40"/>
      <c r="B180" s="26"/>
      <c r="C180" s="139"/>
      <c r="D180" s="26"/>
      <c r="E180" s="26"/>
      <c r="F180" s="26"/>
      <c r="G180" s="26"/>
      <c r="H180" s="26"/>
      <c r="I180" s="27"/>
    </row>
    <row r="181" spans="1:9" x14ac:dyDescent="0.25">
      <c r="A181" s="29" t="s">
        <v>26</v>
      </c>
      <c r="I181" s="20"/>
    </row>
    <row r="182" spans="1:9" x14ac:dyDescent="0.25">
      <c r="A182" s="19" t="s">
        <v>36</v>
      </c>
      <c r="B182" s="111">
        <f>'LM(2)518x PSR flyback converter'!E45</f>
        <v>55</v>
      </c>
      <c r="C182" s="59" t="s">
        <v>102</v>
      </c>
      <c r="D182" t="s">
        <v>40</v>
      </c>
      <c r="I182" s="20"/>
    </row>
    <row r="183" spans="1:9" x14ac:dyDescent="0.25">
      <c r="A183" s="29" t="s">
        <v>29</v>
      </c>
      <c r="C183"/>
      <c r="I183" s="20"/>
    </row>
    <row r="184" spans="1:9" x14ac:dyDescent="0.25">
      <c r="A184" s="19" t="s">
        <v>35</v>
      </c>
      <c r="B184" s="22">
        <f>4000/1000000</f>
        <v>4.0000000000000001E-3</v>
      </c>
      <c r="C184" s="59" t="s">
        <v>138</v>
      </c>
      <c r="D184" s="59" t="s">
        <v>562</v>
      </c>
      <c r="I184" s="20"/>
    </row>
    <row r="185" spans="1:9" ht="15.6" x14ac:dyDescent="0.35">
      <c r="A185" s="89" t="s">
        <v>177</v>
      </c>
      <c r="B185" s="22">
        <v>20</v>
      </c>
      <c r="C185" s="59" t="s">
        <v>84</v>
      </c>
      <c r="D185" s="59" t="s">
        <v>563</v>
      </c>
      <c r="I185" s="20"/>
    </row>
    <row r="186" spans="1:9" x14ac:dyDescent="0.25">
      <c r="A186" s="19" t="s">
        <v>37</v>
      </c>
      <c r="B186" s="8">
        <f>RCinEsr</f>
        <v>3.0000000000000001E-3</v>
      </c>
      <c r="C186" s="91" t="s">
        <v>45</v>
      </c>
      <c r="D186" s="59" t="s">
        <v>178</v>
      </c>
      <c r="I186" s="20"/>
    </row>
    <row r="187" spans="1:9" x14ac:dyDescent="0.25">
      <c r="A187" s="19"/>
      <c r="B187" s="8"/>
      <c r="C187" s="91"/>
      <c r="D187" s="59"/>
      <c r="I187" s="20"/>
    </row>
    <row r="188" spans="1:9" x14ac:dyDescent="0.25">
      <c r="A188" s="28" t="s">
        <v>52</v>
      </c>
      <c r="C188"/>
      <c r="I188" s="20"/>
    </row>
    <row r="189" spans="1:9" x14ac:dyDescent="0.25">
      <c r="A189" s="89" t="s">
        <v>284</v>
      </c>
      <c r="B189" s="22">
        <f>Vdd</f>
        <v>5</v>
      </c>
      <c r="C189" t="s">
        <v>0</v>
      </c>
      <c r="D189" s="162"/>
      <c r="I189" s="20"/>
    </row>
    <row r="190" spans="1:9" x14ac:dyDescent="0.25">
      <c r="A190" s="19" t="s">
        <v>49</v>
      </c>
      <c r="B190" s="30">
        <f>IQ</f>
        <v>2.9E-4</v>
      </c>
      <c r="C190" t="s">
        <v>1</v>
      </c>
      <c r="D190" t="s">
        <v>50</v>
      </c>
      <c r="I190" s="20"/>
    </row>
    <row r="191" spans="1:9" x14ac:dyDescent="0.25">
      <c r="A191" s="19"/>
      <c r="C191"/>
      <c r="I191" s="20"/>
    </row>
    <row r="192" spans="1:9" x14ac:dyDescent="0.25">
      <c r="A192" s="29" t="s">
        <v>172</v>
      </c>
      <c r="B192" s="3" t="s">
        <v>6</v>
      </c>
      <c r="C192" s="3" t="s">
        <v>33</v>
      </c>
      <c r="I192" s="20"/>
    </row>
    <row r="193" spans="1:9" x14ac:dyDescent="0.25">
      <c r="A193" s="21" t="s">
        <v>44</v>
      </c>
      <c r="B193" s="4"/>
      <c r="C193" s="4" t="s">
        <v>45</v>
      </c>
      <c r="I193" s="20"/>
    </row>
    <row r="194" spans="1:9" x14ac:dyDescent="0.25">
      <c r="A194" s="21" t="s">
        <v>46</v>
      </c>
      <c r="B194" s="9">
        <v>0</v>
      </c>
      <c r="C194" s="59" t="s">
        <v>102</v>
      </c>
      <c r="I194" s="20"/>
    </row>
    <row r="195" spans="1:9" x14ac:dyDescent="0.25">
      <c r="A195" s="21" t="s">
        <v>87</v>
      </c>
      <c r="B195" s="9" t="e">
        <v>#NAME?</v>
      </c>
      <c r="C195" t="s">
        <v>1</v>
      </c>
      <c r="I195" s="20"/>
    </row>
    <row r="196" spans="1:9" x14ac:dyDescent="0.25">
      <c r="A196" s="21" t="s">
        <v>88</v>
      </c>
      <c r="B196" t="e">
        <v>#NAME?</v>
      </c>
      <c r="C196" t="s">
        <v>1</v>
      </c>
      <c r="I196" s="20"/>
    </row>
    <row r="197" spans="1:9" x14ac:dyDescent="0.25">
      <c r="A197" s="21" t="s">
        <v>89</v>
      </c>
      <c r="B197" t="e">
        <f>C197/Vin</f>
        <v>#NAME?</v>
      </c>
      <c r="C197" t="e">
        <v>#NAME?</v>
      </c>
      <c r="I197" s="20"/>
    </row>
    <row r="198" spans="1:9" x14ac:dyDescent="0.25">
      <c r="A198" s="21" t="s">
        <v>91</v>
      </c>
      <c r="B198" t="e">
        <f>SUM(B195:B197)</f>
        <v>#NAME?</v>
      </c>
      <c r="C198" t="s">
        <v>1</v>
      </c>
      <c r="I198" s="20"/>
    </row>
    <row r="199" spans="1:9" ht="13.8" thickBot="1" x14ac:dyDescent="0.3">
      <c r="A199" s="23"/>
      <c r="B199" s="24"/>
      <c r="C199" s="140"/>
      <c r="D199" s="24"/>
      <c r="E199" s="24"/>
      <c r="F199" s="24"/>
      <c r="G199" s="24"/>
      <c r="H199" s="24"/>
      <c r="I199" s="25"/>
    </row>
    <row r="200" spans="1:9" x14ac:dyDescent="0.25">
      <c r="A200" s="2"/>
      <c r="B200" s="2"/>
      <c r="C200" s="2"/>
    </row>
    <row r="201" spans="1:9" ht="21.75" customHeight="1" thickBot="1" x14ac:dyDescent="0.35">
      <c r="A201" s="39" t="s">
        <v>85</v>
      </c>
    </row>
    <row r="202" spans="1:9" x14ac:dyDescent="0.25">
      <c r="A202" s="40"/>
      <c r="B202" s="26"/>
      <c r="C202" s="139"/>
      <c r="D202" s="26"/>
      <c r="E202" s="26"/>
      <c r="F202" s="26"/>
      <c r="G202" s="26"/>
      <c r="H202" s="26"/>
      <c r="I202" s="27"/>
    </row>
    <row r="203" spans="1:9" x14ac:dyDescent="0.25">
      <c r="A203" s="19"/>
      <c r="B203" s="59"/>
      <c r="I203" s="20"/>
    </row>
    <row r="204" spans="1:9" x14ac:dyDescent="0.25">
      <c r="A204" s="19" t="str">
        <f>"RUV1 = "&amp;'LM(2)518x PSR flyback converter'!E38&amp;"MΩ"</f>
        <v>RUV1 = 46.4MΩ</v>
      </c>
      <c r="B204" t="str">
        <f>C245</f>
        <v>46.4kΩ</v>
      </c>
      <c r="I204" s="20"/>
    </row>
    <row r="205" spans="1:9" x14ac:dyDescent="0.25">
      <c r="A205" s="19" t="str">
        <f>"RUV2 = "&amp;'LM(2)518x PSR flyback converter'!E39&amp;"kΩ"</f>
        <v>RUV2 = 10.7kΩ</v>
      </c>
      <c r="B205" t="str">
        <f>C246</f>
        <v>10.7kΩ</v>
      </c>
      <c r="I205" s="20"/>
    </row>
    <row r="206" spans="1:9" x14ac:dyDescent="0.25">
      <c r="A206" s="19"/>
      <c r="I206" s="20"/>
    </row>
    <row r="207" spans="1:9" x14ac:dyDescent="0.25">
      <c r="A207" s="19" t="str">
        <f>"Lmag = "&amp;'LM(2)518x PSR flyback converter'!L7&amp;"µH"</f>
        <v>Lmag = 9µH</v>
      </c>
      <c r="B207" t="str">
        <f>'LM(2)518x PSR flyback converter'!L7&amp;"µH"</f>
        <v>9µH</v>
      </c>
      <c r="I207" s="20"/>
    </row>
    <row r="208" spans="1:9" x14ac:dyDescent="0.25">
      <c r="A208" s="19" t="str">
        <f>"Rdcr = "&amp;Rdcr_pri*1000&amp;"mΩ"</f>
        <v>Rdcr = 85mΩ</v>
      </c>
      <c r="B208" t="str">
        <f>Rdcr_pri*1000&amp;"mΩ"</f>
        <v>85mΩ</v>
      </c>
      <c r="I208" s="20"/>
    </row>
    <row r="209" spans="1:9" x14ac:dyDescent="0.25">
      <c r="A209" s="89" t="s">
        <v>391</v>
      </c>
      <c r="B209" t="str">
        <f>W52</f>
        <v>1 : 2</v>
      </c>
      <c r="I209" s="20"/>
    </row>
    <row r="210" spans="1:9" x14ac:dyDescent="0.25">
      <c r="A210" s="19"/>
      <c r="I210" s="20"/>
    </row>
    <row r="211" spans="1:9" x14ac:dyDescent="0.25">
      <c r="A211" s="19" t="str">
        <f>"Css = "&amp;ROUND(Css_u*1000000000,1)&amp;"nF"</f>
        <v>Css = 100nF</v>
      </c>
      <c r="B211" t="str">
        <f>ROUND(Css_u*1000000000,1)&amp;"nF"</f>
        <v>100nF</v>
      </c>
      <c r="I211" s="20"/>
    </row>
    <row r="212" spans="1:9" x14ac:dyDescent="0.25">
      <c r="A212" s="19"/>
      <c r="I212" s="20"/>
    </row>
    <row r="213" spans="1:9" x14ac:dyDescent="0.25">
      <c r="A213" s="19" t="s">
        <v>57</v>
      </c>
      <c r="B213" t="str">
        <f>VIN_nom&amp;"V"</f>
        <v>11.1V</v>
      </c>
      <c r="I213" s="20"/>
    </row>
    <row r="214" spans="1:9" x14ac:dyDescent="0.25">
      <c r="A214" s="89" t="s">
        <v>187</v>
      </c>
      <c r="B214" t="str">
        <f>VIN_min&amp;"V..."&amp;VIN_max&amp;"V"</f>
        <v>9V...13V</v>
      </c>
      <c r="I214" s="20"/>
    </row>
    <row r="215" spans="1:9" x14ac:dyDescent="0.25">
      <c r="A215" s="89"/>
      <c r="I215" s="20"/>
    </row>
    <row r="216" spans="1:9" x14ac:dyDescent="0.25">
      <c r="A216" s="19" t="str">
        <f>"VOUT = "&amp;'LM(2)518x PSR flyback converter'!E10&amp;"V"</f>
        <v>VOUT = 15V</v>
      </c>
      <c r="B216" t="str">
        <f>'LM(2)518x PSR flyback converter'!E10&amp;"V"</f>
        <v>15V</v>
      </c>
      <c r="D216">
        <f>MODE</f>
        <v>1</v>
      </c>
      <c r="I216" s="20"/>
    </row>
    <row r="217" spans="1:9" x14ac:dyDescent="0.25">
      <c r="A217" s="19" t="str">
        <f>"VOUT2 = "&amp;'LM(2)518x PSR flyback converter'!E12&amp;"V"</f>
        <v>VOUT2 = -16V</v>
      </c>
      <c r="B217" t="str">
        <f>IF(MODE_TOP="DUAL", 'LM(2)518x PSR flyback converter'!E12&amp;"V", "")</f>
        <v/>
      </c>
      <c r="D217" s="59" t="b">
        <f>MODE=2</f>
        <v>0</v>
      </c>
      <c r="I217" s="20"/>
    </row>
    <row r="218" spans="1:9" x14ac:dyDescent="0.25">
      <c r="A218" s="19" t="str">
        <f>"VOUT2 = "&amp;'LM(2)518x PSR flyback converter'!E12&amp;"V"</f>
        <v>VOUT2 = -16V</v>
      </c>
      <c r="B218" t="str">
        <f>IF(MODE_TOP="BIPOLAR", 'LM(2)518x PSR flyback converter'!E12&amp;"V", "")</f>
        <v/>
      </c>
      <c r="I218" s="20"/>
    </row>
    <row r="219" spans="1:9" x14ac:dyDescent="0.25">
      <c r="A219" s="19"/>
      <c r="I219" s="20"/>
    </row>
    <row r="220" spans="1:9" x14ac:dyDescent="0.25">
      <c r="A220" s="338" t="s">
        <v>521</v>
      </c>
      <c r="B220" s="59" t="str">
        <f>IF(MODE=1, "", "Co1")</f>
        <v/>
      </c>
      <c r="C220" s="59" t="str">
        <f>IF(MODE_TOP="DUAL", "Co2", "")</f>
        <v/>
      </c>
      <c r="D220" s="59" t="str">
        <f>IF(MODE_TOP="BIPOLAR", "Co2", "")</f>
        <v/>
      </c>
      <c r="F220" s="59" t="str">
        <f>MODE_TOP</f>
        <v>SINGLE</v>
      </c>
      <c r="I220" s="20"/>
    </row>
    <row r="221" spans="1:9" x14ac:dyDescent="0.25">
      <c r="A221" s="19" t="str">
        <f>"COUT = "&amp;'LM(2)518x PSR flyback converter'!$E$22&amp;"µF"</f>
        <v>COUT = 100µF</v>
      </c>
      <c r="B221" t="str">
        <f>'LM(2)518x PSR flyback converter'!$E$22&amp;"µF"</f>
        <v>100µF</v>
      </c>
      <c r="C221" t="str">
        <f>IF(MODE_TOP="DUAL", 'LM(2)518x PSR flyback converter'!$L$22&amp;"µF", "")</f>
        <v/>
      </c>
      <c r="D221" t="str">
        <f>IF(MODE_TOP="BIPOLAR", 'LM(2)518x PSR flyback converter'!$L$22&amp;"µF", "")</f>
        <v/>
      </c>
      <c r="F221" t="str">
        <f>'LM(2)518x PSR flyback converter'!$L$22&amp;"µF"</f>
        <v>22µF</v>
      </c>
      <c r="I221" s="20"/>
    </row>
    <row r="222" spans="1:9" x14ac:dyDescent="0.25">
      <c r="A222" s="89" t="s">
        <v>134</v>
      </c>
      <c r="B222" t="str">
        <f>"22µF"</f>
        <v>22µF</v>
      </c>
      <c r="I222" s="20"/>
    </row>
    <row r="223" spans="1:9" x14ac:dyDescent="0.25">
      <c r="A223" s="89" t="s">
        <v>135</v>
      </c>
      <c r="B223" s="60" t="str">
        <f>ROUNDUP(Cout/22,0)&amp;" x"</f>
        <v>5 x</v>
      </c>
      <c r="C223" s="141"/>
      <c r="I223" s="20"/>
    </row>
    <row r="224" spans="1:9" x14ac:dyDescent="0.25">
      <c r="A224" s="89"/>
      <c r="B224" s="60">
        <f>Cout</f>
        <v>100</v>
      </c>
      <c r="C224" s="141"/>
      <c r="I224" s="20"/>
    </row>
    <row r="225" spans="1:9" x14ac:dyDescent="0.25">
      <c r="A225" s="338" t="s">
        <v>522</v>
      </c>
      <c r="I225" s="20"/>
    </row>
    <row r="226" spans="1:9" x14ac:dyDescent="0.25">
      <c r="A226" s="19" t="s">
        <v>95</v>
      </c>
      <c r="B226" t="str">
        <f>Cin&amp;"µF"</f>
        <v>22µF</v>
      </c>
      <c r="I226" s="20"/>
    </row>
    <row r="227" spans="1:9" x14ac:dyDescent="0.25">
      <c r="A227" s="89" t="s">
        <v>133</v>
      </c>
      <c r="B227" t="str">
        <f>"4.7µF"</f>
        <v>4.7µF</v>
      </c>
      <c r="I227" s="20"/>
    </row>
    <row r="228" spans="1:9" x14ac:dyDescent="0.25">
      <c r="A228" s="89" t="s">
        <v>132</v>
      </c>
      <c r="B228" s="60" t="str">
        <f>ROUNDUP(Cin/4.7,0)&amp;" x"</f>
        <v>5 x</v>
      </c>
      <c r="C228" s="141"/>
      <c r="I228" s="20"/>
    </row>
    <row r="229" spans="1:9" x14ac:dyDescent="0.25">
      <c r="A229" s="89"/>
      <c r="B229" s="60"/>
      <c r="I229" s="20"/>
    </row>
    <row r="230" spans="1:9" ht="15.6" x14ac:dyDescent="0.35">
      <c r="A230" s="89" t="s">
        <v>523</v>
      </c>
      <c r="B230" s="502" t="s">
        <v>524</v>
      </c>
      <c r="C230" s="502" t="s">
        <v>564</v>
      </c>
      <c r="I230" s="20"/>
    </row>
    <row r="231" spans="1:9" x14ac:dyDescent="0.25">
      <c r="A231" s="89"/>
      <c r="B231" s="60"/>
      <c r="I231" s="20"/>
    </row>
    <row r="232" spans="1:9" x14ac:dyDescent="0.25">
      <c r="A232" s="338" t="s">
        <v>390</v>
      </c>
      <c r="B232" s="141" t="str">
        <f>IF(MODE_TC=1, "YES", "NO")</f>
        <v>YES</v>
      </c>
      <c r="I232" s="20"/>
    </row>
    <row r="233" spans="1:9" x14ac:dyDescent="0.25">
      <c r="A233" s="89" t="s">
        <v>299</v>
      </c>
      <c r="B233" s="141" t="str">
        <f>IF(MODE_TC=2, "YES", "NO")</f>
        <v>NO</v>
      </c>
      <c r="C233" s="330" t="str">
        <f>IF(MODE_TC=2, "R1", "")</f>
        <v/>
      </c>
      <c r="D233" s="330" t="str">
        <f>IF(MODE_TC=2, "R2", "")</f>
        <v/>
      </c>
      <c r="E233" s="330"/>
      <c r="I233" s="20"/>
    </row>
    <row r="234" spans="1:9" x14ac:dyDescent="0.25">
      <c r="A234" s="19" t="str">
        <f>"RFB = "&amp;'LM(2)518x PSR flyback converter'!E27&amp;"kΩ"</f>
        <v>RFB = 76.6kΩ</v>
      </c>
      <c r="B234" t="str">
        <f>IF(MODE_TC=1, "", 'LM(2)518x PSR flyback converter'!E27&amp;"kΩ")</f>
        <v/>
      </c>
      <c r="C234" s="59" t="str">
        <f>'LM(2)518x PSR flyback converter'!E27&amp;"kΩ"</f>
        <v>76.6kΩ</v>
      </c>
      <c r="I234" s="20"/>
    </row>
    <row r="235" spans="1:9" x14ac:dyDescent="0.25">
      <c r="A235" s="19" t="str">
        <f>"RFB2 = "&amp;IF(Vout=Vref,"OPEN",'LM(2)518x PSR flyback converter'!E28&amp;"kΩ")</f>
        <v>RFB2 = 196kΩ</v>
      </c>
      <c r="B235" t="str">
        <f>IF(MODE_TC=1, "", IF(Vout=Vref,"OPEN",Rfb2_u/1000&amp;"kΩ"))</f>
        <v/>
      </c>
      <c r="C235" s="59" t="str">
        <f>'LM(2)518x PSR flyback converter'!E28&amp;"kΩ"</f>
        <v>196kΩ</v>
      </c>
      <c r="I235" s="20"/>
    </row>
    <row r="236" spans="1:9" x14ac:dyDescent="0.25">
      <c r="A236" s="19"/>
      <c r="C236" s="59"/>
      <c r="I236" s="20"/>
    </row>
    <row r="237" spans="1:9" x14ac:dyDescent="0.25">
      <c r="A237" s="89" t="s">
        <v>303</v>
      </c>
      <c r="B237" s="3" t="str">
        <f>IF(MODE=1, "YES", "NO")</f>
        <v>YES</v>
      </c>
      <c r="C237" t="str">
        <f>IF(MODE=1,"Rt", "")</f>
        <v>Rt</v>
      </c>
      <c r="I237" s="20"/>
    </row>
    <row r="238" spans="1:9" x14ac:dyDescent="0.25">
      <c r="A238" s="89" t="s">
        <v>139</v>
      </c>
      <c r="B238" t="e">
        <f>IF(MODE=2, "", 'Standard Value Calculator'!J4/1000&amp;"kΩ")</f>
        <v>#NAME?</v>
      </c>
      <c r="I238" s="20"/>
    </row>
    <row r="239" spans="1:9" x14ac:dyDescent="0.25">
      <c r="A239" s="89"/>
      <c r="I239" s="20"/>
    </row>
    <row r="240" spans="1:9" x14ac:dyDescent="0.25">
      <c r="A240" s="338" t="s">
        <v>380</v>
      </c>
      <c r="B240" s="141" t="str">
        <f>IF(MODE=1, "YES", "NO")</f>
        <v>YES</v>
      </c>
      <c r="C240" s="59" t="str">
        <f>IF(TC=1,"Rtc", "")</f>
        <v>Rtc</v>
      </c>
      <c r="I240" s="20"/>
    </row>
    <row r="241" spans="1:9" x14ac:dyDescent="0.25">
      <c r="A241" s="456" t="str">
        <f>"RTC = "&amp;RTC&amp;"kΩ"</f>
        <v>RTC = 787kΩ</v>
      </c>
      <c r="B241" t="str">
        <f>IF(TC=1, RTC&amp;"kΩ", "")</f>
        <v>787kΩ</v>
      </c>
      <c r="C241" s="59" t="str">
        <f>CHOOSE(TC,"Rtc","")</f>
        <v>Rtc</v>
      </c>
      <c r="F241" s="5"/>
      <c r="I241" s="20"/>
    </row>
    <row r="242" spans="1:9" x14ac:dyDescent="0.25">
      <c r="A242" s="89" t="s">
        <v>383</v>
      </c>
      <c r="B242" s="60"/>
      <c r="C242"/>
      <c r="F242" s="5"/>
      <c r="I242" s="20"/>
    </row>
    <row r="243" spans="1:9" x14ac:dyDescent="0.25">
      <c r="A243" s="19"/>
      <c r="B243" s="60"/>
      <c r="C243" s="141"/>
      <c r="E243" s="91"/>
      <c r="I243" s="20"/>
    </row>
    <row r="244" spans="1:9" x14ac:dyDescent="0.25">
      <c r="A244" s="338" t="s">
        <v>306</v>
      </c>
      <c r="B244" s="141" t="str">
        <f>IF(MODE_UVLO=1, "YES", "NO")</f>
        <v>YES</v>
      </c>
      <c r="C244" s="330" t="str">
        <f>IF(MODE_UVLO=1, "Ruv1", "")</f>
        <v>Ruv1</v>
      </c>
      <c r="D244" s="330" t="str">
        <f>IF(MODE_UVLO=1, "Ruv2", "")</f>
        <v>Ruv2</v>
      </c>
      <c r="E244" s="330"/>
      <c r="F244" s="330" t="s">
        <v>6</v>
      </c>
      <c r="G244" s="330" t="s">
        <v>33</v>
      </c>
      <c r="H244" s="59" t="s">
        <v>340</v>
      </c>
      <c r="I244" s="20"/>
    </row>
    <row r="245" spans="1:9" x14ac:dyDescent="0.25">
      <c r="A245" s="19" t="str">
        <f>"RUV1 = "&amp;C245</f>
        <v>RUV1 = 46.4kΩ</v>
      </c>
      <c r="B245" t="str">
        <f>'LM(2)518x PSR flyback converter'!E38&amp;" kΩ"</f>
        <v>46.4 kΩ</v>
      </c>
      <c r="C245" s="330" t="str">
        <f>IF(MODE_UVLO=1,'LM(2)518x PSR flyback converter'!E38&amp;"kΩ", "")</f>
        <v>46.4kΩ</v>
      </c>
      <c r="F245">
        <f>IF(MODE_UVLO=1,'LM(2)518x PSR flyback converter'!E38, "")</f>
        <v>46.400000000000006</v>
      </c>
      <c r="G245" s="59" t="str">
        <f>IF(MODE_UVLO=1,"kΩ", "")</f>
        <v>kΩ</v>
      </c>
      <c r="H245" s="330" t="str">
        <f>IF(MODE_UVLO=1,'LM(2)518x PSR flyback converter'!E38&amp;"k", "")</f>
        <v>46.4k</v>
      </c>
      <c r="I245" s="20"/>
    </row>
    <row r="246" spans="1:9" x14ac:dyDescent="0.25">
      <c r="A246" s="19" t="str">
        <f>"RUV2 = "&amp;C246</f>
        <v>RUV2 = 10.7kΩ</v>
      </c>
      <c r="B246" t="str">
        <f>IF(D158&gt;=1000, D158/1000&amp;" MΩ", D158&amp;" kΩ")</f>
        <v>10.7 kΩ</v>
      </c>
      <c r="C246" s="330" t="str">
        <f>IF(MODE_UVLO=1, IF(D158&lt;1, D158*1000&amp;"Ω", IF(D158&lt;1000, D158&amp;"kΩ", D158/1000&amp;"MΩ")), "")</f>
        <v>10.7kΩ</v>
      </c>
      <c r="F246">
        <f>IF(MODE_UVLO=1, IF(D158&lt;1, D158*1000, IF(D158&lt;1000, D158, D158/1000)), "")</f>
        <v>10.700000000000001</v>
      </c>
      <c r="G246" s="59" t="str">
        <f>IF(MODE_UVLO=1, IF(D158&lt;1, "Ω", IF(D158&lt;1000,"kΩ", "MΩ")), "")</f>
        <v>kΩ</v>
      </c>
      <c r="H246" s="330" t="str">
        <f>IF(MODE_UVLO=1, IF(D158&lt;1, D158*1000, IF(D158&lt;1000, D158&amp;"k", D158/1000&amp;"M")), "")</f>
        <v>10.7k</v>
      </c>
      <c r="I246" s="20"/>
    </row>
    <row r="247" spans="1:9" x14ac:dyDescent="0.25">
      <c r="A247" s="19"/>
      <c r="C247" s="330"/>
      <c r="G247" s="59"/>
      <c r="H247" s="330"/>
      <c r="I247" s="20"/>
    </row>
    <row r="248" spans="1:9" x14ac:dyDescent="0.25">
      <c r="A248" s="338" t="s">
        <v>384</v>
      </c>
      <c r="C248" s="330"/>
      <c r="G248" s="59"/>
      <c r="H248" s="330"/>
      <c r="I248" s="20"/>
    </row>
    <row r="249" spans="1:9" x14ac:dyDescent="0.25">
      <c r="A249" s="19" t="str">
        <f>"RSET = "&amp;C249</f>
        <v>RSET = 12.1kΩ</v>
      </c>
      <c r="B249" s="59" t="s">
        <v>379</v>
      </c>
      <c r="C249" s="59" t="s">
        <v>544</v>
      </c>
      <c r="F249">
        <f>IF(MODE_UVLO=1, IF(D159&lt;1, D159*1000, IF(D159&lt;1000, D159, D159/1000)), "")</f>
        <v>0</v>
      </c>
      <c r="G249" s="59" t="str">
        <f>IF(MODE_UVLO=1, IF(D159&lt;1, "Ω", IF(D159&lt;1000,"kΩ", "MΩ")), "")</f>
        <v>Ω</v>
      </c>
      <c r="H249" s="330">
        <f>IF(MODE_UVLO=1, IF(D159&lt;1, D159*1000, IF(D159&lt;1000, D159&amp;"k", D159&amp;"M")), "")</f>
        <v>0</v>
      </c>
      <c r="I249" s="20"/>
    </row>
    <row r="250" spans="1:9" x14ac:dyDescent="0.25">
      <c r="A250" s="19"/>
      <c r="B250" s="59"/>
      <c r="C250" s="59"/>
      <c r="G250" s="59"/>
      <c r="H250" s="330"/>
      <c r="I250" s="20"/>
    </row>
    <row r="251" spans="1:9" x14ac:dyDescent="0.25">
      <c r="A251" s="338" t="s">
        <v>385</v>
      </c>
      <c r="B251" s="60"/>
      <c r="C251" s="141"/>
      <c r="E251" s="91"/>
      <c r="I251" s="20"/>
    </row>
    <row r="252" spans="1:9" x14ac:dyDescent="0.25">
      <c r="A252" s="19" t="str">
        <f>"Css = "&amp;Css*1000000000&amp;"nF"</f>
        <v>Css = 100nF</v>
      </c>
      <c r="B252" t="str">
        <f>Css*1000000000&amp;"nF"</f>
        <v>100nF</v>
      </c>
      <c r="I252" s="20"/>
    </row>
    <row r="253" spans="1:9" x14ac:dyDescent="0.25">
      <c r="A253" s="19" t="s">
        <v>66</v>
      </c>
      <c r="B253" t="str">
        <f>CHOOSE(MODE_SS,'Standard Value Calculator'!B4*1000000000&amp;"nF","")</f>
        <v>100nF</v>
      </c>
      <c r="C253" t="str">
        <f>CHOOSE(MODE_SS,"Css","")</f>
        <v>Css</v>
      </c>
      <c r="D253" s="339" t="str">
        <f>B253</f>
        <v>100nF</v>
      </c>
      <c r="I253" s="20"/>
    </row>
    <row r="254" spans="1:9" x14ac:dyDescent="0.25">
      <c r="A254" s="19"/>
      <c r="C254" s="59" t="str">
        <f>C253</f>
        <v>Css</v>
      </c>
      <c r="D254" s="3"/>
      <c r="I254" s="20"/>
    </row>
    <row r="255" spans="1:9" x14ac:dyDescent="0.25">
      <c r="A255" s="19"/>
      <c r="C255" s="59"/>
      <c r="D255" s="3"/>
      <c r="I255" s="20"/>
    </row>
    <row r="256" spans="1:9" x14ac:dyDescent="0.25">
      <c r="A256" s="89" t="s">
        <v>653</v>
      </c>
      <c r="B256" s="59">
        <f>ROUND(Iout*2,1)</f>
        <v>1</v>
      </c>
      <c r="C256" s="59" t="s">
        <v>1</v>
      </c>
      <c r="I256" s="20"/>
    </row>
    <row r="257" spans="1:9" x14ac:dyDescent="0.25">
      <c r="A257" s="89" t="s">
        <v>654</v>
      </c>
      <c r="B257">
        <f>ROUND(VRRM_DIODE,0)</f>
        <v>41</v>
      </c>
      <c r="C257" s="59" t="s">
        <v>0</v>
      </c>
      <c r="I257" s="20"/>
    </row>
    <row r="258" spans="1:9" x14ac:dyDescent="0.25">
      <c r="I258" s="20"/>
    </row>
    <row r="259" spans="1:9" x14ac:dyDescent="0.25">
      <c r="A259" s="89"/>
      <c r="B259" s="60"/>
      <c r="C259"/>
      <c r="I259" s="20"/>
    </row>
    <row r="260" spans="1:9" x14ac:dyDescent="0.25">
      <c r="A260" s="89" t="s">
        <v>129</v>
      </c>
      <c r="B260" s="59" t="s">
        <v>311</v>
      </c>
      <c r="C260"/>
      <c r="I260" s="20"/>
    </row>
    <row r="261" spans="1:9" x14ac:dyDescent="0.25">
      <c r="A261" s="89"/>
      <c r="B261" s="59"/>
      <c r="C261"/>
      <c r="I261" s="20"/>
    </row>
    <row r="262" spans="1:9" x14ac:dyDescent="0.25">
      <c r="A262" s="89" t="s">
        <v>183</v>
      </c>
      <c r="B262" s="60" t="str">
        <f>CHOOSE(MODE, ROUND('Calculations - Single'!$CD$105,1)&amp;"%", ROUND('Calculations - Dual'!CF105,1)&amp;"%")</f>
        <v>80.2%</v>
      </c>
      <c r="C262"/>
      <c r="I262" s="20"/>
    </row>
    <row r="263" spans="1:9" x14ac:dyDescent="0.25">
      <c r="A263" s="89" t="s">
        <v>501</v>
      </c>
      <c r="B263" s="60" t="str">
        <f>ROUND('Calculations - Single'!$CD$55,1)&amp;"%"</f>
        <v>82.3%</v>
      </c>
      <c r="C263"/>
      <c r="I263" s="20"/>
    </row>
    <row r="264" spans="1:9" x14ac:dyDescent="0.25">
      <c r="A264" s="89" t="s">
        <v>308</v>
      </c>
      <c r="B264" s="60" t="str">
        <f>ROUND('Calculations - Single'!$CD$15,1)&amp;"%"</f>
        <v>80.2%</v>
      </c>
      <c r="C264" s="59" t="s">
        <v>313</v>
      </c>
      <c r="I264" s="20"/>
    </row>
    <row r="265" spans="1:9" x14ac:dyDescent="0.25">
      <c r="A265" s="89" t="s">
        <v>312</v>
      </c>
      <c r="B265" s="60" t="str">
        <f>ROUND(Parameters!BZ56,1)&amp;"%"</f>
        <v>0%</v>
      </c>
      <c r="C265" s="59" t="s">
        <v>314</v>
      </c>
      <c r="I265" s="20"/>
    </row>
    <row r="266" spans="1:9" x14ac:dyDescent="0.25">
      <c r="A266" s="19"/>
      <c r="I266" s="20"/>
    </row>
    <row r="267" spans="1:9" x14ac:dyDescent="0.25">
      <c r="A267" s="19"/>
      <c r="I267" s="20"/>
    </row>
    <row r="268" spans="1:9" x14ac:dyDescent="0.25">
      <c r="A268" s="19"/>
      <c r="I268" s="20"/>
    </row>
    <row r="269" spans="1:9" x14ac:dyDescent="0.25">
      <c r="A269" s="19" t="s">
        <v>80</v>
      </c>
      <c r="B269" t="str">
        <f>IF(C269="y","","|")</f>
        <v>|</v>
      </c>
      <c r="C269" s="3" t="s">
        <v>320</v>
      </c>
      <c r="I269" s="20"/>
    </row>
    <row r="270" spans="1:9" x14ac:dyDescent="0.25">
      <c r="A270" s="19"/>
      <c r="I270" s="20"/>
    </row>
    <row r="271" spans="1:9" x14ac:dyDescent="0.25">
      <c r="A271" s="434" t="s">
        <v>86</v>
      </c>
      <c r="B271" t="str">
        <f>'LM(2)518x PSR flyback converter'!$E$11&amp;"A"</f>
        <v>0.5A</v>
      </c>
      <c r="I271" s="20"/>
    </row>
    <row r="272" spans="1:9" x14ac:dyDescent="0.25">
      <c r="A272" s="434" t="s">
        <v>520</v>
      </c>
      <c r="B272" t="str">
        <f>IF(MODE_TOP="DUAL", 'LM(2)518x PSR flyback converter'!$E$13&amp;"A", "")</f>
        <v/>
      </c>
      <c r="D272" s="59">
        <f>MODE</f>
        <v>1</v>
      </c>
      <c r="I272" s="20"/>
    </row>
    <row r="273" spans="1:9" x14ac:dyDescent="0.25">
      <c r="A273" s="434" t="s">
        <v>519</v>
      </c>
      <c r="B273" t="str">
        <f>IF(MODE_TOP="BIPOLAR", Iout2_actual&amp;"A", "")</f>
        <v/>
      </c>
      <c r="I273" s="20"/>
    </row>
    <row r="274" spans="1:9" x14ac:dyDescent="0.25">
      <c r="A274" s="19"/>
      <c r="I274" s="20"/>
    </row>
    <row r="275" spans="1:9" x14ac:dyDescent="0.25">
      <c r="A275" s="89" t="s">
        <v>94</v>
      </c>
      <c r="B275">
        <v>1</v>
      </c>
      <c r="I275" s="20"/>
    </row>
    <row r="276" spans="1:9" x14ac:dyDescent="0.25">
      <c r="A276" s="89" t="s">
        <v>93</v>
      </c>
      <c r="B276">
        <v>2</v>
      </c>
      <c r="I276" s="20"/>
    </row>
    <row r="277" spans="1:9" x14ac:dyDescent="0.25">
      <c r="A277" s="89" t="s">
        <v>57</v>
      </c>
      <c r="B277">
        <v>3</v>
      </c>
      <c r="I277" s="20"/>
    </row>
    <row r="278" spans="1:9" x14ac:dyDescent="0.25">
      <c r="A278" s="89" t="s">
        <v>565</v>
      </c>
      <c r="B278">
        <v>4</v>
      </c>
      <c r="I278" s="20"/>
    </row>
    <row r="279" spans="1:9" x14ac:dyDescent="0.25">
      <c r="A279" s="89" t="s">
        <v>566</v>
      </c>
      <c r="B279">
        <v>5</v>
      </c>
      <c r="I279" s="20"/>
    </row>
    <row r="280" spans="1:9" x14ac:dyDescent="0.25">
      <c r="A280" s="89" t="s">
        <v>567</v>
      </c>
      <c r="B280">
        <v>6</v>
      </c>
      <c r="I280" s="20"/>
    </row>
    <row r="281" spans="1:9" x14ac:dyDescent="0.25">
      <c r="A281" s="89" t="s">
        <v>568</v>
      </c>
      <c r="B281">
        <v>7</v>
      </c>
      <c r="I281" s="20"/>
    </row>
    <row r="282" spans="1:9" x14ac:dyDescent="0.25">
      <c r="A282" s="89" t="s">
        <v>92</v>
      </c>
      <c r="B282">
        <v>8</v>
      </c>
      <c r="I282" s="20"/>
    </row>
    <row r="283" spans="1:9" ht="13.8" thickBot="1" x14ac:dyDescent="0.3">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21875" defaultRowHeight="13.2" x14ac:dyDescent="0.25"/>
  <cols>
    <col min="1" max="1" width="10.44140625" style="150" customWidth="1"/>
    <col min="2" max="2" width="10.77734375" style="150" customWidth="1"/>
    <col min="3" max="3" width="6.21875" style="150" customWidth="1"/>
    <col min="4" max="4" width="16.21875" style="150" customWidth="1"/>
    <col min="5" max="5" width="4.44140625" style="150" customWidth="1"/>
    <col min="6" max="6" width="3.21875" style="150" customWidth="1"/>
    <col min="7" max="7" width="16.21875" style="150" customWidth="1"/>
    <col min="8" max="8" width="15.77734375" style="150" customWidth="1"/>
    <col min="9" max="9" width="10" style="150" customWidth="1"/>
    <col min="10" max="10" width="10.77734375" style="150" customWidth="1"/>
    <col min="11" max="11" width="10.21875" style="150" customWidth="1"/>
    <col min="12" max="14" width="11.77734375" style="150" customWidth="1"/>
    <col min="15" max="15" width="14.21875" style="150" customWidth="1"/>
    <col min="16" max="16" width="11" style="150" customWidth="1"/>
    <col min="17" max="17" width="12" style="150" customWidth="1"/>
    <col min="18" max="18" width="11.44140625" style="150" customWidth="1"/>
    <col min="19" max="19" width="10.77734375" style="150" customWidth="1"/>
    <col min="20" max="20" width="11.44140625" style="150" customWidth="1"/>
    <col min="21" max="21" width="11.77734375" style="150" customWidth="1"/>
    <col min="22" max="22" width="13.5546875" style="150" customWidth="1"/>
    <col min="23" max="23" width="9.44140625" style="150" customWidth="1"/>
    <col min="24" max="24" width="16.21875" style="150" bestFit="1" customWidth="1"/>
    <col min="25" max="25" width="16.21875" style="152" customWidth="1"/>
    <col min="26" max="26" width="8.77734375" style="150" bestFit="1" customWidth="1"/>
    <col min="27" max="27" width="13.44140625" style="150" bestFit="1" customWidth="1"/>
    <col min="28" max="28" width="9.21875" style="150" bestFit="1" customWidth="1"/>
    <col min="29" max="29" width="9.21875" style="150"/>
    <col min="30" max="30" width="13.5546875" style="150" customWidth="1"/>
    <col min="31" max="31" width="10.5546875" style="150" customWidth="1"/>
    <col min="32" max="32" width="9.21875" style="150"/>
    <col min="33" max="33" width="9.21875" style="150" bestFit="1" customWidth="1"/>
    <col min="34" max="34" width="11.21875" style="150" bestFit="1" customWidth="1"/>
    <col min="35" max="35" width="5.77734375" style="150" customWidth="1"/>
    <col min="36" max="36" width="12.21875" style="150" customWidth="1"/>
    <col min="37" max="37" width="8.77734375" style="150" customWidth="1"/>
    <col min="38" max="38" width="18.21875" style="150" customWidth="1"/>
    <col min="39" max="39" width="45.21875" style="150" customWidth="1"/>
    <col min="40" max="40" width="19.21875" style="150" bestFit="1" customWidth="1"/>
    <col min="41" max="41" width="40.77734375" style="150" bestFit="1" customWidth="1"/>
    <col min="42" max="42" width="40.21875" style="150" bestFit="1" customWidth="1"/>
    <col min="43" max="43" width="40.77734375" style="150" bestFit="1" customWidth="1"/>
    <col min="44" max="44" width="40.21875" style="150" bestFit="1" customWidth="1"/>
    <col min="45" max="45" width="28.44140625" style="150" customWidth="1"/>
    <col min="46" max="16384" width="9.21875" style="150"/>
  </cols>
  <sheetData>
    <row r="1" spans="1:44" ht="13.8" thickBot="1" x14ac:dyDescent="0.3"/>
    <row r="2" spans="1:44" x14ac:dyDescent="0.25">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5">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5">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28.184000000000001</v>
      </c>
      <c r="X4" s="621" t="s">
        <v>2</v>
      </c>
      <c r="Y4" s="386">
        <f>20*LOG(Am*Afb)</f>
        <v>1.6557074063289998</v>
      </c>
      <c r="Z4" s="150" t="s">
        <v>787</v>
      </c>
    </row>
    <row r="5" spans="1:44" x14ac:dyDescent="0.25">
      <c r="H5" s="558" t="s">
        <v>712</v>
      </c>
      <c r="I5" s="241">
        <f>1/(2*Pi*REAout*Ccomp)</f>
        <v>0.5526213308116541</v>
      </c>
      <c r="J5" s="559" t="s">
        <v>8</v>
      </c>
      <c r="K5" s="560"/>
      <c r="L5" s="168"/>
      <c r="M5" s="559"/>
      <c r="N5" s="563"/>
      <c r="O5" s="563"/>
      <c r="P5" s="560" t="s">
        <v>727</v>
      </c>
      <c r="Q5" s="562">
        <f>Rload_pri/(2*Pi*Lmag*M*(M+1))</f>
        <v>783532.02842464671</v>
      </c>
      <c r="R5" s="559" t="s">
        <v>8</v>
      </c>
      <c r="S5" s="560"/>
      <c r="T5" s="151"/>
      <c r="U5" s="559"/>
      <c r="V5" s="619" t="s">
        <v>713</v>
      </c>
      <c r="W5" s="622">
        <f>AK9</f>
        <v>60.24230204234324</v>
      </c>
      <c r="X5" s="623" t="s">
        <v>714</v>
      </c>
      <c r="Y5" s="386">
        <f>20*LOG(Am)</f>
        <v>23.521825181113623</v>
      </c>
      <c r="Z5" s="150" t="s">
        <v>787</v>
      </c>
    </row>
    <row r="6" spans="1:44" x14ac:dyDescent="0.25">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8" thickBot="1" x14ac:dyDescent="0.3">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28.184000000000001</v>
      </c>
    </row>
    <row r="8" spans="1:44" x14ac:dyDescent="0.25">
      <c r="H8" s="571"/>
      <c r="I8" s="175"/>
      <c r="L8" s="191"/>
      <c r="M8" s="191"/>
      <c r="N8" s="191"/>
    </row>
    <row r="9" spans="1:44" ht="13.8" thickBot="1" x14ac:dyDescent="0.3">
      <c r="A9" s="612"/>
      <c r="B9" s="232" t="s">
        <v>773</v>
      </c>
      <c r="AJ9" s="150" t="s">
        <v>720</v>
      </c>
      <c r="AK9" s="152">
        <f>SUM(AK13:AK613)</f>
        <v>60.24230204234324</v>
      </c>
    </row>
    <row r="10" spans="1:44" ht="13.8" x14ac:dyDescent="0.25">
      <c r="A10" s="615"/>
      <c r="B10" s="232" t="s">
        <v>777</v>
      </c>
      <c r="G10" s="704" t="s">
        <v>721</v>
      </c>
      <c r="H10" s="707" t="s">
        <v>771</v>
      </c>
      <c r="I10" s="709" t="s">
        <v>722</v>
      </c>
      <c r="J10" s="710"/>
      <c r="K10" s="710"/>
      <c r="L10" s="710"/>
      <c r="M10" s="710"/>
      <c r="N10" s="711"/>
      <c r="O10" s="709" t="s">
        <v>723</v>
      </c>
      <c r="P10" s="710"/>
      <c r="Q10" s="710"/>
      <c r="R10" s="710"/>
      <c r="S10" s="710"/>
      <c r="T10" s="711"/>
      <c r="U10" s="712" t="s">
        <v>775</v>
      </c>
      <c r="V10" s="713"/>
      <c r="W10" s="712" t="s">
        <v>724</v>
      </c>
      <c r="X10" s="719"/>
      <c r="Y10" s="720"/>
      <c r="AD10" s="721" t="s">
        <v>725</v>
      </c>
      <c r="AE10" s="722"/>
      <c r="AG10" s="721" t="s">
        <v>726</v>
      </c>
      <c r="AH10" s="722"/>
      <c r="AM10" s="238" t="s">
        <v>776</v>
      </c>
    </row>
    <row r="11" spans="1:44" x14ac:dyDescent="0.25">
      <c r="G11" s="705"/>
      <c r="H11" s="708"/>
      <c r="I11" s="723" t="s">
        <v>710</v>
      </c>
      <c r="J11" s="724"/>
      <c r="K11" s="724" t="s">
        <v>705</v>
      </c>
      <c r="L11" s="725"/>
      <c r="M11" s="726" t="s">
        <v>727</v>
      </c>
      <c r="N11" s="727"/>
      <c r="O11" s="723" t="s">
        <v>728</v>
      </c>
      <c r="P11" s="724"/>
      <c r="Q11" s="724" t="s">
        <v>729</v>
      </c>
      <c r="R11" s="725"/>
      <c r="S11" s="726" t="s">
        <v>730</v>
      </c>
      <c r="T11" s="727"/>
      <c r="U11" s="723" t="s">
        <v>706</v>
      </c>
      <c r="V11" s="725"/>
      <c r="W11" s="560"/>
      <c r="X11" s="151"/>
      <c r="Y11" s="572"/>
      <c r="AD11" s="560"/>
      <c r="AE11" s="559"/>
      <c r="AG11" s="560"/>
      <c r="AH11" s="559"/>
    </row>
    <row r="12" spans="1:44" ht="13.8" thickBot="1" x14ac:dyDescent="0.3">
      <c r="F12" s="610"/>
      <c r="G12" s="706"/>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5">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1.000000000000008</v>
      </c>
      <c r="N13" s="585">
        <f t="shared" ref="N13:N76" si="5">-ATAN(G13/z_RHP)</f>
        <v>-1.2762720140624933E-7</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96.720751086805052</v>
      </c>
      <c r="X13" s="590">
        <f t="shared" ref="X13:X76" si="13">((L13+R13+N13+V13)-(J13+P13+T13))*radconv</f>
        <v>-10.25838103041032</v>
      </c>
      <c r="Y13" s="591">
        <f t="shared" ref="Y13:Y76" si="14">IF(X13&gt;0,X13,X13+180)</f>
        <v>169.74161896958969</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27.047125371804334</v>
      </c>
      <c r="AH13" s="593">
        <f t="shared" ref="AH13:AH76" si="20">(L13+N13-(J13+V13))*radconv</f>
        <v>-5.5222266746656852E-3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5">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1.0000000000009792</v>
      </c>
      <c r="N14" s="585">
        <f t="shared" si="5"/>
        <v>-1.399432263418618E-6</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89.926076113730034</v>
      </c>
      <c r="X14" s="590">
        <f t="shared" si="13"/>
        <v>-63.267584202650703</v>
      </c>
      <c r="Y14" s="593">
        <f t="shared" si="14"/>
        <v>116.73241579734929</v>
      </c>
      <c r="AA14" s="150">
        <f t="shared" si="15"/>
        <v>1000000000</v>
      </c>
      <c r="AB14" s="150">
        <f t="shared" si="16"/>
        <v>1.2023122500000001</v>
      </c>
      <c r="AD14" s="592">
        <f t="shared" si="17"/>
        <v>88.273848729113467</v>
      </c>
      <c r="AE14" s="593">
        <f t="shared" si="18"/>
        <v>-63.205454162803761</v>
      </c>
      <c r="AG14" s="592">
        <f t="shared" si="19"/>
        <v>27.047120443426529</v>
      </c>
      <c r="AH14" s="593">
        <f t="shared" si="20"/>
        <v>-6.0551081232672145E-2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5">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1.0000000000011773</v>
      </c>
      <c r="N15" s="585">
        <f t="shared" si="5"/>
        <v>-1.5344618425061396E-6</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89.276580319790909</v>
      </c>
      <c r="X15" s="590">
        <f t="shared" si="13"/>
        <v>-65.331279272593051</v>
      </c>
      <c r="Y15" s="593">
        <f t="shared" si="14"/>
        <v>114.66872072740695</v>
      </c>
      <c r="AA15" s="150">
        <f t="shared" si="15"/>
        <v>1000000000</v>
      </c>
      <c r="AB15" s="150">
        <f t="shared" si="16"/>
        <v>1.4455252899999997</v>
      </c>
      <c r="AD15" s="592">
        <f t="shared" si="17"/>
        <v>87.624353940705731</v>
      </c>
      <c r="AE15" s="593">
        <f t="shared" si="18"/>
        <v>-65.263154381715353</v>
      </c>
      <c r="AG15" s="592">
        <f t="shared" si="19"/>
        <v>27.047119438115264</v>
      </c>
      <c r="AH15" s="593">
        <f t="shared" si="20"/>
        <v>-6.6393577430742728E-2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5">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1.0000000000014153</v>
      </c>
      <c r="N16" s="585">
        <f t="shared" si="5"/>
        <v>-1.6825093961370065E-6</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88.605899560770638</v>
      </c>
      <c r="X16" s="590">
        <f t="shared" si="13"/>
        <v>-67.275066498806865</v>
      </c>
      <c r="Y16" s="593">
        <f t="shared" si="14"/>
        <v>112.72493350119314</v>
      </c>
      <c r="AA16" s="150">
        <f t="shared" si="15"/>
        <v>1000000000</v>
      </c>
      <c r="AB16" s="150">
        <f t="shared" si="16"/>
        <v>1.7379148900000001</v>
      </c>
      <c r="AD16" s="592">
        <f t="shared" si="17"/>
        <v>86.953674390530381</v>
      </c>
      <c r="AE16" s="593">
        <f t="shared" si="18"/>
        <v>-67.200368808182958</v>
      </c>
      <c r="AG16" s="592">
        <f t="shared" si="19"/>
        <v>27.047118229534991</v>
      </c>
      <c r="AH16" s="593">
        <f t="shared" si="20"/>
        <v>-7.279934034303441E-2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5">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1.0000000000017015</v>
      </c>
      <c r="N17" s="585">
        <f t="shared" si="5"/>
        <v>-1.8447235691238453E-6</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87.916953347786361</v>
      </c>
      <c r="X17" s="590">
        <f t="shared" si="13"/>
        <v>-69.09646601762843</v>
      </c>
      <c r="Y17" s="593">
        <f t="shared" si="14"/>
        <v>110.90353398237157</v>
      </c>
      <c r="AA17" s="150">
        <f t="shared" si="15"/>
        <v>1000000000</v>
      </c>
      <c r="AB17" s="150">
        <f t="shared" si="16"/>
        <v>2.0891811599999999</v>
      </c>
      <c r="AD17" s="592">
        <f t="shared" si="17"/>
        <v>86.264729629808116</v>
      </c>
      <c r="AE17" s="593">
        <f t="shared" si="18"/>
        <v>-69.014566578073442</v>
      </c>
      <c r="AG17" s="592">
        <f t="shared" si="19"/>
        <v>27.04711677759088</v>
      </c>
      <c r="AH17" s="593">
        <f t="shared" si="20"/>
        <v>-7.9818063908996595E-2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5">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1.0000000000020459</v>
      </c>
      <c r="N18" s="585">
        <f t="shared" si="5"/>
        <v>-2.0227635150848979E-6</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87.210902325876262</v>
      </c>
      <c r="X18" s="590">
        <f t="shared" si="13"/>
        <v>-70.79920255604425</v>
      </c>
      <c r="Y18" s="593">
        <f t="shared" si="14"/>
        <v>109.20079744395575</v>
      </c>
      <c r="AA18" s="150">
        <f t="shared" si="15"/>
        <v>1000000000</v>
      </c>
      <c r="AB18" s="150">
        <f t="shared" si="16"/>
        <v>2.51190801</v>
      </c>
      <c r="AD18" s="592">
        <f t="shared" si="17"/>
        <v>85.558680355603357</v>
      </c>
      <c r="AE18" s="593">
        <f t="shared" si="18"/>
        <v>-70.709398760955509</v>
      </c>
      <c r="AG18" s="592">
        <f t="shared" si="19"/>
        <v>27.047115030268181</v>
      </c>
      <c r="AH18" s="593">
        <f t="shared" si="20"/>
        <v>-8.752153830577479E-2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5">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1.0000000000024596</v>
      </c>
      <c r="N19" s="585">
        <f t="shared" si="5"/>
        <v>-2.2179055060341759E-6</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86.490870394385482</v>
      </c>
      <c r="X19" s="590">
        <f t="shared" si="13"/>
        <v>-72.383203191989665</v>
      </c>
      <c r="Y19" s="593">
        <f t="shared" si="14"/>
        <v>107.61679680801033</v>
      </c>
      <c r="AA19" s="150">
        <f t="shared" si="15"/>
        <v>1000000000</v>
      </c>
      <c r="AB19" s="150">
        <f t="shared" si="16"/>
        <v>3.0199488400000001</v>
      </c>
      <c r="AD19" s="592">
        <f t="shared" si="17"/>
        <v>84.838650524535723</v>
      </c>
      <c r="AE19" s="593">
        <f t="shared" si="18"/>
        <v>-72.284735774211526</v>
      </c>
      <c r="AG19" s="592">
        <f t="shared" si="19"/>
        <v>27.047112930304831</v>
      </c>
      <c r="AH19" s="593">
        <f t="shared" si="20"/>
        <v>-9.5964984731069986E-2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5">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1.0000000000029572</v>
      </c>
      <c r="N20" s="585">
        <f t="shared" si="5"/>
        <v>-2.4319363227912997E-6</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85.758324250023762</v>
      </c>
      <c r="X20" s="590">
        <f t="shared" si="13"/>
        <v>-73.853311632309058</v>
      </c>
      <c r="Y20" s="593">
        <f t="shared" si="14"/>
        <v>106.14668836769094</v>
      </c>
      <c r="AA20" s="150">
        <f t="shared" si="15"/>
        <v>1000000000</v>
      </c>
      <c r="AB20" s="150">
        <f t="shared" si="16"/>
        <v>3.63093025</v>
      </c>
      <c r="AD20" s="592">
        <f t="shared" si="17"/>
        <v>84.106106906189126</v>
      </c>
      <c r="AE20" s="593">
        <f t="shared" si="18"/>
        <v>-73.745341999671879</v>
      </c>
      <c r="AG20" s="592">
        <f t="shared" si="19"/>
        <v>27.047110404842694</v>
      </c>
      <c r="AH20" s="593">
        <f t="shared" si="20"/>
        <v>-0.10522571274939529</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5">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1.0000000000035552</v>
      </c>
      <c r="N21" s="585">
        <f t="shared" si="5"/>
        <v>-2.6665151189744621E-6</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85.015533598384508</v>
      </c>
      <c r="X21" s="590">
        <f t="shared" si="13"/>
        <v>-75.21323461866308</v>
      </c>
      <c r="Y21" s="593">
        <f t="shared" si="14"/>
        <v>104.78676538133692</v>
      </c>
      <c r="AA21" s="150">
        <f t="shared" si="15"/>
        <v>1000000000</v>
      </c>
      <c r="AB21" s="150">
        <f t="shared" si="16"/>
        <v>4.3651744900000002</v>
      </c>
      <c r="AD21" s="592">
        <f t="shared" si="17"/>
        <v>83.363319290175554</v>
      </c>
      <c r="AE21" s="593">
        <f t="shared" si="18"/>
        <v>-75.09485051982081</v>
      </c>
      <c r="AG21" s="592">
        <f t="shared" si="19"/>
        <v>27.047107369881548</v>
      </c>
      <c r="AH21" s="593">
        <f t="shared" si="20"/>
        <v>-0.11537550830741614</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5">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1.0000000000042744</v>
      </c>
      <c r="N22" s="585">
        <f t="shared" si="5"/>
        <v>-2.9238115570074507E-6</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84.263469927321552</v>
      </c>
      <c r="X22" s="590">
        <f t="shared" si="13"/>
        <v>-76.469444843731011</v>
      </c>
      <c r="Y22" s="593">
        <f t="shared" si="14"/>
        <v>103.53055515626899</v>
      </c>
      <c r="AA22" s="150">
        <f t="shared" si="15"/>
        <v>1000000000</v>
      </c>
      <c r="AB22" s="150">
        <f t="shared" si="16"/>
        <v>5.2482228100000006</v>
      </c>
      <c r="AD22" s="592">
        <f t="shared" si="17"/>
        <v>82.611259269944242</v>
      </c>
      <c r="AE22" s="593">
        <f t="shared" si="18"/>
        <v>-76.339637702831524</v>
      </c>
      <c r="AG22" s="592">
        <f t="shared" si="19"/>
        <v>27.04710371984913</v>
      </c>
      <c r="AH22" s="593">
        <f t="shared" si="20"/>
        <v>-0.12650824420049997</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5">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1.0000000000051388</v>
      </c>
      <c r="N23" s="585">
        <f t="shared" si="5"/>
        <v>-3.205867672112611E-6</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83.503904944202901</v>
      </c>
      <c r="X23" s="590">
        <f t="shared" si="13"/>
        <v>-77.62704798202887</v>
      </c>
      <c r="Y23" s="593">
        <f t="shared" si="14"/>
        <v>102.37295201797113</v>
      </c>
      <c r="AA23" s="150">
        <f t="shared" si="15"/>
        <v>1000000000</v>
      </c>
      <c r="AB23" s="150">
        <f t="shared" si="16"/>
        <v>6.309641609999999</v>
      </c>
      <c r="AD23" s="592">
        <f t="shared" si="17"/>
        <v>81.851698675099385</v>
      </c>
      <c r="AE23" s="593">
        <f t="shared" si="18"/>
        <v>-77.484718570715032</v>
      </c>
      <c r="AG23" s="592">
        <f t="shared" si="19"/>
        <v>27.047099332536074</v>
      </c>
      <c r="AH23" s="593">
        <f t="shared" si="20"/>
        <v>-0.13871227499564479</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5">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1.0000000000061779</v>
      </c>
      <c r="N24" s="585">
        <f t="shared" si="5"/>
        <v>-3.5151083811164605E-6</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82.737897454071842</v>
      </c>
      <c r="X24" s="590">
        <f t="shared" si="13"/>
        <v>-78.692310704290847</v>
      </c>
      <c r="Y24" s="593">
        <f t="shared" si="14"/>
        <v>101.30768929570915</v>
      </c>
      <c r="AA24" s="150">
        <f t="shared" si="15"/>
        <v>1000000000</v>
      </c>
      <c r="AB24" s="150">
        <f t="shared" si="16"/>
        <v>7.5856176399999997</v>
      </c>
      <c r="AD24" s="592">
        <f t="shared" si="17"/>
        <v>81.085696460290237</v>
      </c>
      <c r="AE24" s="593">
        <f t="shared" si="18"/>
        <v>-78.536252140095698</v>
      </c>
      <c r="AG24" s="592">
        <f t="shared" si="19"/>
        <v>27.047094058368984</v>
      </c>
      <c r="AH24" s="593">
        <f t="shared" si="20"/>
        <v>-0.15209251637953417</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5">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1.0000000000074278</v>
      </c>
      <c r="N25" s="585">
        <f t="shared" si="5"/>
        <v>-3.8543414824496635E-6</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81.966041968950407</v>
      </c>
      <c r="X25" s="590">
        <f t="shared" si="13"/>
        <v>-79.671856009823458</v>
      </c>
      <c r="Y25" s="593">
        <f t="shared" si="14"/>
        <v>100.32814399017654</v>
      </c>
      <c r="AA25" s="150">
        <f t="shared" si="15"/>
        <v>1000000000</v>
      </c>
      <c r="AB25" s="150">
        <f t="shared" si="16"/>
        <v>9.1204000000000001</v>
      </c>
      <c r="AD25" s="592">
        <f t="shared" si="17"/>
        <v>80.31384732047627</v>
      </c>
      <c r="AE25" s="593">
        <f t="shared" si="18"/>
        <v>-79.500736760503372</v>
      </c>
      <c r="AG25" s="592">
        <f t="shared" si="19"/>
        <v>27.047087714450612</v>
      </c>
      <c r="AH25" s="593">
        <f t="shared" si="20"/>
        <v>-0.16677045022838458</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5">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1.0000000000089302</v>
      </c>
      <c r="N26" s="585">
        <f t="shared" si="5"/>
        <v>-4.2261195201399973E-6</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81.189939714436562</v>
      </c>
      <c r="X26" s="590">
        <f t="shared" si="13"/>
        <v>-80.570784383413056</v>
      </c>
      <c r="Y26" s="593">
        <f t="shared" si="14"/>
        <v>99.429215616586944</v>
      </c>
      <c r="AA26" s="150">
        <f t="shared" si="15"/>
        <v>1000000000</v>
      </c>
      <c r="AB26" s="150">
        <f t="shared" si="16"/>
        <v>10.964707690000001</v>
      </c>
      <c r="AD26" s="592">
        <f t="shared" si="17"/>
        <v>79.537752690939655</v>
      </c>
      <c r="AE26" s="593">
        <f t="shared" si="18"/>
        <v>-80.383159600869149</v>
      </c>
      <c r="AG26" s="592">
        <f t="shared" si="19"/>
        <v>27.047080091142654</v>
      </c>
      <c r="AH26" s="593">
        <f t="shared" si="20"/>
        <v>-0.18285651145655749</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5">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1.0000000000107363</v>
      </c>
      <c r="N27" s="585">
        <f t="shared" si="5"/>
        <v>-4.6338884286249576E-6</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80.409705513733925</v>
      </c>
      <c r="X27" s="590">
        <f t="shared" si="13"/>
        <v>-81.395711800118136</v>
      </c>
      <c r="Y27" s="593">
        <f t="shared" si="14"/>
        <v>98.604288199881864</v>
      </c>
      <c r="AA27" s="150">
        <f t="shared" si="15"/>
        <v>1000000000</v>
      </c>
      <c r="AB27" s="150">
        <f t="shared" si="16"/>
        <v>13.182708639999998</v>
      </c>
      <c r="AD27" s="592">
        <f t="shared" si="17"/>
        <v>78.757527660167895</v>
      </c>
      <c r="AE27" s="593">
        <f t="shared" si="18"/>
        <v>-81.189983660507977</v>
      </c>
      <c r="AG27" s="592">
        <f t="shared" si="19"/>
        <v>27.047070923219255</v>
      </c>
      <c r="AH27" s="593">
        <f t="shared" si="20"/>
        <v>-0.20049978789096198</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5">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1.0000000000129081</v>
      </c>
      <c r="N28" s="585">
        <f t="shared" si="5"/>
        <v>-5.0809665151404956E-6</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79.626260525483872</v>
      </c>
      <c r="X28" s="590">
        <f t="shared" si="13"/>
        <v>-82.151943739281734</v>
      </c>
      <c r="Y28" s="593">
        <f t="shared" si="14"/>
        <v>97.848056260718266</v>
      </c>
      <c r="AA28" s="150">
        <f t="shared" si="15"/>
        <v>1000000000</v>
      </c>
      <c r="AB28" s="150">
        <f t="shared" si="16"/>
        <v>15.849157210000001</v>
      </c>
      <c r="AD28" s="592">
        <f t="shared" si="17"/>
        <v>77.974093695850087</v>
      </c>
      <c r="AE28" s="593">
        <f t="shared" si="18"/>
        <v>-81.926367113398342</v>
      </c>
      <c r="AG28" s="592">
        <f t="shared" si="19"/>
        <v>27.047059901700333</v>
      </c>
      <c r="AH28" s="593">
        <f t="shared" si="20"/>
        <v>-0.21984384205210908</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5">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1.0000000000155191</v>
      </c>
      <c r="N29" s="585">
        <f t="shared" si="5"/>
        <v>-5.5711825957279856E-6</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78.840068579964381</v>
      </c>
      <c r="X29" s="590">
        <f t="shared" si="13"/>
        <v>-82.844927928940777</v>
      </c>
      <c r="Y29" s="593">
        <f t="shared" si="14"/>
        <v>97.155072071059223</v>
      </c>
      <c r="AA29" s="150">
        <f t="shared" si="15"/>
        <v>1000000000</v>
      </c>
      <c r="AB29" s="150">
        <f t="shared" si="16"/>
        <v>19.054971039999998</v>
      </c>
      <c r="AD29" s="592">
        <f t="shared" si="17"/>
        <v>77.187915004130488</v>
      </c>
      <c r="AE29" s="593">
        <f t="shared" si="18"/>
        <v>-82.597587721856797</v>
      </c>
      <c r="AG29" s="592">
        <f t="shared" si="19"/>
        <v>27.047046650801988</v>
      </c>
      <c r="AH29" s="593">
        <f t="shared" si="20"/>
        <v>-0.24105431965732518</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5">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1.0000000000186575</v>
      </c>
      <c r="N30" s="585">
        <f t="shared" si="5"/>
        <v>-6.1086207408313634E-6</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78.051686099733985</v>
      </c>
      <c r="X30" s="590">
        <f t="shared" si="13"/>
        <v>-83.479661870316875</v>
      </c>
      <c r="Y30" s="593">
        <f t="shared" si="14"/>
        <v>96.520338129683125</v>
      </c>
      <c r="AA30" s="150">
        <f t="shared" si="15"/>
        <v>1000000000</v>
      </c>
      <c r="AB30" s="150">
        <f t="shared" si="16"/>
        <v>22.908667689999998</v>
      </c>
      <c r="AD30" s="592">
        <f t="shared" si="17"/>
        <v>76.399548456189152</v>
      </c>
      <c r="AE30" s="593">
        <f t="shared" si="18"/>
        <v>-83.20846169488928</v>
      </c>
      <c r="AG30" s="592">
        <f t="shared" si="19"/>
        <v>27.047030722000827</v>
      </c>
      <c r="AH30" s="593">
        <f t="shared" si="20"/>
        <v>-0.26430790375864394</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5">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1.0000000000224316</v>
      </c>
      <c r="N31" s="585">
        <f t="shared" si="5"/>
        <v>-6.6980031569012423E-6</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77.261257677661888</v>
      </c>
      <c r="X31" s="590">
        <f t="shared" si="13"/>
        <v>-84.06110610602336</v>
      </c>
      <c r="Y31" s="593">
        <f t="shared" si="14"/>
        <v>95.93889389397664</v>
      </c>
      <c r="AA31" s="150">
        <f t="shared" si="15"/>
        <v>1000000000</v>
      </c>
      <c r="AB31" s="150">
        <f t="shared" si="16"/>
        <v>27.542553609999999</v>
      </c>
      <c r="AD31" s="592">
        <f t="shared" si="17"/>
        <v>75.60913919185532</v>
      </c>
      <c r="AE31" s="593">
        <f t="shared" si="18"/>
        <v>-83.763739961526781</v>
      </c>
      <c r="AG31" s="592">
        <f t="shared" si="19"/>
        <v>27.047011568456615</v>
      </c>
      <c r="AH31" s="593">
        <f t="shared" si="20"/>
        <v>-0.28980888036255575</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5">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1.0000000000269686</v>
      </c>
      <c r="N32" s="585">
        <f t="shared" si="5"/>
        <v>-7.3441796775892111E-6</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76.46930897543406</v>
      </c>
      <c r="X32" s="590">
        <f t="shared" si="13"/>
        <v>-84.593569149018336</v>
      </c>
      <c r="Y32" s="593">
        <f t="shared" si="14"/>
        <v>95.406430850981664</v>
      </c>
      <c r="AA32" s="150">
        <f t="shared" si="15"/>
        <v>1000000000</v>
      </c>
      <c r="AB32" s="150">
        <f t="shared" si="16"/>
        <v>33.113119360000006</v>
      </c>
      <c r="AD32" s="592">
        <f t="shared" si="17"/>
        <v>74.817213519741813</v>
      </c>
      <c r="AE32" s="593">
        <f t="shared" si="18"/>
        <v>-84.267515766203644</v>
      </c>
      <c r="AG32" s="592">
        <f t="shared" si="19"/>
        <v>27.046988543384142</v>
      </c>
      <c r="AH32" s="593">
        <f t="shared" si="20"/>
        <v>-0.31776704660685512</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5">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1.0000000000324234</v>
      </c>
      <c r="N33" s="585">
        <f t="shared" si="5"/>
        <v>-8.0527658997546863E-6</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75.675944475149763</v>
      </c>
      <c r="X33" s="590">
        <f t="shared" si="13"/>
        <v>-85.08132296464477</v>
      </c>
      <c r="Y33" s="593">
        <f t="shared" si="14"/>
        <v>94.91867703535523</v>
      </c>
      <c r="AA33" s="150">
        <f t="shared" si="15"/>
        <v>1000000000</v>
      </c>
      <c r="AB33" s="150">
        <f t="shared" si="16"/>
        <v>39.811052159999996</v>
      </c>
      <c r="AD33" s="592">
        <f t="shared" si="17"/>
        <v>74.023876710227967</v>
      </c>
      <c r="AE33" s="593">
        <f t="shared" si="18"/>
        <v>-84.723811823321199</v>
      </c>
      <c r="AG33" s="592">
        <f t="shared" si="19"/>
        <v>27.046960858675895</v>
      </c>
      <c r="AH33" s="593">
        <f t="shared" si="20"/>
        <v>-0.34842531689967304</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5">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1.0000000000389813</v>
      </c>
      <c r="N34" s="585">
        <f t="shared" si="5"/>
        <v>-8.8296326746591355E-6</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74.8815451404745</v>
      </c>
      <c r="X34" s="590">
        <f t="shared" si="13"/>
        <v>-85.528137922351959</v>
      </c>
      <c r="Y34" s="593">
        <f t="shared" si="14"/>
        <v>94.471862077648041</v>
      </c>
      <c r="AA34" s="150">
        <f t="shared" si="15"/>
        <v>1000000000</v>
      </c>
      <c r="AB34" s="150">
        <f t="shared" si="16"/>
        <v>47.862874890000008</v>
      </c>
      <c r="AD34" s="592">
        <f t="shared" si="17"/>
        <v>73.229510663376971</v>
      </c>
      <c r="AE34" s="593">
        <f t="shared" si="18"/>
        <v>-85.136137939283287</v>
      </c>
      <c r="AG34" s="592">
        <f t="shared" si="19"/>
        <v>27.046927578139201</v>
      </c>
      <c r="AH34" s="593">
        <f t="shared" si="20"/>
        <v>-0.3820376313000457</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5">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1.0000000000468661</v>
      </c>
      <c r="N35" s="585">
        <f t="shared" si="5"/>
        <v>-9.6815442439728233E-6</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74.086124058933322</v>
      </c>
      <c r="X35" s="590">
        <f t="shared" si="13"/>
        <v>-85.937696490849888</v>
      </c>
      <c r="Y35" s="593">
        <f t="shared" si="14"/>
        <v>94.062303509150112</v>
      </c>
      <c r="AA35" s="150">
        <f t="shared" si="15"/>
        <v>1000000000</v>
      </c>
      <c r="AB35" s="150">
        <f t="shared" si="16"/>
        <v>57.544361639999998</v>
      </c>
      <c r="AD35" s="592">
        <f t="shared" si="17"/>
        <v>72.434129606674944</v>
      </c>
      <c r="AE35" s="593">
        <f t="shared" si="18"/>
        <v>-85.507876381764149</v>
      </c>
      <c r="AG35" s="592">
        <f t="shared" si="19"/>
        <v>27.046887562062537</v>
      </c>
      <c r="AH35" s="593">
        <f t="shared" si="20"/>
        <v>-0.41889655722755564</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5">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1.0000000000563447</v>
      </c>
      <c r="N36" s="585">
        <f t="shared" si="5"/>
        <v>-1.0615520103767501E-5</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73.290030313565836</v>
      </c>
      <c r="X36" s="590">
        <f t="shared" si="13"/>
        <v>-86.313218004670588</v>
      </c>
      <c r="Y36" s="593">
        <f t="shared" si="14"/>
        <v>93.686781995329412</v>
      </c>
      <c r="AA36" s="150">
        <f t="shared" si="15"/>
        <v>1000000000</v>
      </c>
      <c r="AB36" s="150">
        <f t="shared" si="16"/>
        <v>69.182469760000004</v>
      </c>
      <c r="AD36" s="592">
        <f t="shared" si="17"/>
        <v>71.638083974649163</v>
      </c>
      <c r="AE36" s="593">
        <f t="shared" si="18"/>
        <v>-85.841934986832243</v>
      </c>
      <c r="AG36" s="592">
        <f t="shared" si="19"/>
        <v>27.046839459254265</v>
      </c>
      <c r="AH36" s="593">
        <f t="shared" si="20"/>
        <v>-0.45930567382678189</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5">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1.0000000000677416</v>
      </c>
      <c r="N37" s="585">
        <f t="shared" si="5"/>
        <v>-1.1639728394925745E-5</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72.493187997574054</v>
      </c>
      <c r="X37" s="590">
        <f t="shared" si="13"/>
        <v>-86.657867541530223</v>
      </c>
      <c r="Y37" s="593">
        <f t="shared" si="14"/>
        <v>93.342132458469777</v>
      </c>
      <c r="AA37" s="150">
        <f t="shared" si="15"/>
        <v>1000000000</v>
      </c>
      <c r="AB37" s="150">
        <f t="shared" si="16"/>
        <v>83.176224010000013</v>
      </c>
      <c r="AD37" s="592">
        <f t="shared" si="17"/>
        <v>70.841299509818498</v>
      </c>
      <c r="AE37" s="593">
        <f t="shared" si="18"/>
        <v>-86.141116384414218</v>
      </c>
      <c r="AG37" s="592">
        <f t="shared" si="19"/>
        <v>27.046781620758658</v>
      </c>
      <c r="AH37" s="593">
        <f t="shared" si="20"/>
        <v>-0.50361821318641664</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5">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1.0000000000814435</v>
      </c>
      <c r="N38" s="585">
        <f t="shared" si="5"/>
        <v>-1.276272013993204E-5</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71.695825644864172</v>
      </c>
      <c r="X38" s="590">
        <f t="shared" si="13"/>
        <v>-86.974422492313636</v>
      </c>
      <c r="Y38" s="593">
        <f t="shared" si="14"/>
        <v>93.025577507686364</v>
      </c>
      <c r="AA38" s="150">
        <f t="shared" si="15"/>
        <v>1000000000</v>
      </c>
      <c r="AB38" s="150">
        <f t="shared" si="16"/>
        <v>100</v>
      </c>
      <c r="AD38" s="592">
        <f t="shared" si="17"/>
        <v>70.044006706758111</v>
      </c>
      <c r="AE38" s="593">
        <f t="shared" si="18"/>
        <v>-86.4078185777893</v>
      </c>
      <c r="AG38" s="592">
        <f t="shared" si="19"/>
        <v>27.0467120863361</v>
      </c>
      <c r="AH38" s="593">
        <f t="shared" si="20"/>
        <v>-0.55220391442136507</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5">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1.0000000000979206</v>
      </c>
      <c r="N39" s="585">
        <f t="shared" si="5"/>
        <v>-1.399432263328176E-5</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70.897844753894944</v>
      </c>
      <c r="X39" s="590">
        <f t="shared" si="13"/>
        <v>-87.265568598744125</v>
      </c>
      <c r="Y39" s="593">
        <f t="shared" si="14"/>
        <v>92.734431401255875</v>
      </c>
      <c r="AA39" s="150">
        <f t="shared" si="15"/>
        <v>1000000000</v>
      </c>
      <c r="AB39" s="150">
        <f t="shared" si="16"/>
        <v>120.23122499999999</v>
      </c>
      <c r="AD39" s="592">
        <f t="shared" si="17"/>
        <v>69.246109450390207</v>
      </c>
      <c r="AE39" s="593">
        <f t="shared" si="18"/>
        <v>-86.644291340770508</v>
      </c>
      <c r="AG39" s="592">
        <f t="shared" si="19"/>
        <v>27.046628470045711</v>
      </c>
      <c r="AH39" s="593">
        <f t="shared" si="20"/>
        <v>-0.60548765827073969</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5">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1.0000000001177285</v>
      </c>
      <c r="N40" s="585">
        <f t="shared" si="5"/>
        <v>-1.5344618423869105E-5</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70.099571747394918</v>
      </c>
      <c r="X40" s="590">
        <f t="shared" si="13"/>
        <v>-87.533629066743046</v>
      </c>
      <c r="Y40" s="593">
        <f t="shared" si="14"/>
        <v>92.466370933256954</v>
      </c>
      <c r="AA40" s="150">
        <f t="shared" si="15"/>
        <v>1000000000</v>
      </c>
      <c r="AB40" s="150">
        <f t="shared" si="16"/>
        <v>144.55252899999999</v>
      </c>
      <c r="AD40" s="592">
        <f t="shared" si="17"/>
        <v>68.447936984487342</v>
      </c>
      <c r="AE40" s="593">
        <f t="shared" si="18"/>
        <v>-86.852410679677504</v>
      </c>
      <c r="AG40" s="592">
        <f t="shared" si="19"/>
        <v>27.046527951461368</v>
      </c>
      <c r="AH40" s="593">
        <f t="shared" si="20"/>
        <v>-0.66390526699472197</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5">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1.0000000001415419</v>
      </c>
      <c r="N41" s="585">
        <f t="shared" si="5"/>
        <v>-1.6825093959798301E-5</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69.301035624001656</v>
      </c>
      <c r="X41" s="590">
        <f t="shared" si="13"/>
        <v>-87.780856507364717</v>
      </c>
      <c r="Y41" s="593">
        <f t="shared" si="14"/>
        <v>92.219143492635283</v>
      </c>
      <c r="AA41" s="150">
        <f t="shared" si="15"/>
        <v>1000000000</v>
      </c>
      <c r="AB41" s="150">
        <f t="shared" si="16"/>
        <v>173.79148899999998</v>
      </c>
      <c r="AD41" s="592">
        <f t="shared" si="17"/>
        <v>67.649521727458051</v>
      </c>
      <c r="AE41" s="593">
        <f t="shared" si="18"/>
        <v>-87.033919818342724</v>
      </c>
      <c r="AG41" s="592">
        <f t="shared" si="19"/>
        <v>27.046407111561102</v>
      </c>
      <c r="AH41" s="593">
        <f t="shared" si="20"/>
        <v>-0.72795316930122467</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5">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1.0000000001701501</v>
      </c>
      <c r="N42" s="585">
        <f t="shared" si="5"/>
        <v>-1.8447235689166844E-5</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68.502782239799799</v>
      </c>
      <c r="X42" s="590">
        <f t="shared" si="13"/>
        <v>-88.009186920541609</v>
      </c>
      <c r="Y42" s="593">
        <f t="shared" si="14"/>
        <v>91.990813079458391</v>
      </c>
      <c r="AA42" s="150">
        <f t="shared" si="15"/>
        <v>1000000000</v>
      </c>
      <c r="AB42" s="150">
        <f t="shared" si="16"/>
        <v>208.91811600000003</v>
      </c>
      <c r="AD42" s="592">
        <f t="shared" si="17"/>
        <v>66.851413543279079</v>
      </c>
      <c r="AE42" s="593">
        <f t="shared" si="18"/>
        <v>-87.190245540481655</v>
      </c>
      <c r="AG42" s="592">
        <f t="shared" si="19"/>
        <v>27.046261943330734</v>
      </c>
      <c r="AH42" s="593">
        <f t="shared" si="20"/>
        <v>-0.7981276203924853</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5">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1.0000000002045786</v>
      </c>
      <c r="N43" s="585">
        <f t="shared" si="5"/>
        <v>-2.0227635148117804E-5</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67.70350249262782</v>
      </c>
      <c r="X43" s="590">
        <f t="shared" si="13"/>
        <v>-88.220914025717789</v>
      </c>
      <c r="Y43" s="593">
        <f t="shared" si="14"/>
        <v>91.779085974282211</v>
      </c>
      <c r="AA43" s="150">
        <f t="shared" si="15"/>
        <v>1000000000</v>
      </c>
      <c r="AB43" s="150">
        <f t="shared" si="16"/>
        <v>251.19080099999999</v>
      </c>
      <c r="AD43" s="592">
        <f t="shared" si="17"/>
        <v>66.052308528762111</v>
      </c>
      <c r="AE43" s="593">
        <f t="shared" si="18"/>
        <v>-87.322945973846316</v>
      </c>
      <c r="AG43" s="592">
        <f t="shared" si="19"/>
        <v>27.046087248935994</v>
      </c>
      <c r="AH43" s="593">
        <f t="shared" si="20"/>
        <v>-0.87514549185969437</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5">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1.0000000002459553</v>
      </c>
      <c r="N44" s="585">
        <f t="shared" si="5"/>
        <v>-2.2179055056741425E-5</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66.904346622602716</v>
      </c>
      <c r="X44" s="590">
        <f t="shared" si="13"/>
        <v>-88.417505293990942</v>
      </c>
      <c r="Y44" s="593">
        <f t="shared" si="14"/>
        <v>91.582494706009058</v>
      </c>
      <c r="AA44" s="150">
        <f t="shared" si="15"/>
        <v>1000000000</v>
      </c>
      <c r="AB44" s="150">
        <f t="shared" si="16"/>
        <v>301.99488400000001</v>
      </c>
      <c r="AD44" s="592">
        <f t="shared" si="17"/>
        <v>65.253362646326167</v>
      </c>
      <c r="AE44" s="593">
        <f t="shared" si="18"/>
        <v>-87.432923257294249</v>
      </c>
      <c r="AG44" s="592">
        <f t="shared" si="19"/>
        <v>27.045877307328734</v>
      </c>
      <c r="AH44" s="593">
        <f t="shared" si="20"/>
        <v>-0.95955771704131299</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5">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1.0000000002957157</v>
      </c>
      <c r="N45" s="585">
        <f t="shared" si="5"/>
        <v>-2.4319363223166529E-5</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66.104800032663206</v>
      </c>
      <c r="X45" s="590">
        <f t="shared" si="13"/>
        <v>-88.600752285558485</v>
      </c>
      <c r="Y45" s="593">
        <f t="shared" si="14"/>
        <v>91.399247714441515</v>
      </c>
      <c r="AA45" s="150">
        <f t="shared" si="15"/>
        <v>1000000000</v>
      </c>
      <c r="AB45" s="150">
        <f t="shared" si="16"/>
        <v>363.09302500000001</v>
      </c>
      <c r="AD45" s="592">
        <f t="shared" si="17"/>
        <v>64.454068578774027</v>
      </c>
      <c r="AE45" s="593">
        <f t="shared" si="18"/>
        <v>-87.521177420581751</v>
      </c>
      <c r="AG45" s="592">
        <f t="shared" si="19"/>
        <v>27.045624840240279</v>
      </c>
      <c r="AH45" s="593">
        <f t="shared" si="20"/>
        <v>-1.0521356651226266</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5">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1.0000000003555152</v>
      </c>
      <c r="N46" s="585">
        <f t="shared" si="5"/>
        <v>-2.6665151183487908E-5</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65.305454731248304</v>
      </c>
      <c r="X46" s="590">
        <f t="shared" si="13"/>
        <v>-88.772071062512509</v>
      </c>
      <c r="Y46" s="593">
        <f t="shared" si="14"/>
        <v>91.227928937487491</v>
      </c>
      <c r="AA46" s="150">
        <f t="shared" si="15"/>
        <v>1000000000</v>
      </c>
      <c r="AB46" s="150">
        <f t="shared" si="16"/>
        <v>436.51744900000006</v>
      </c>
      <c r="AD46" s="592">
        <f t="shared" si="17"/>
        <v>63.655026725615052</v>
      </c>
      <c r="AE46" s="593">
        <f t="shared" si="18"/>
        <v>-87.588390169028273</v>
      </c>
      <c r="AG46" s="592">
        <f t="shared" si="19"/>
        <v>27.045321458439517</v>
      </c>
      <c r="AH46" s="593">
        <f t="shared" si="20"/>
        <v>-1.1535949737040421</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5">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1.0000000004274336</v>
      </c>
      <c r="N47" s="585">
        <f t="shared" si="5"/>
        <v>-2.9238115561826249E-5</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64.505712097570921</v>
      </c>
      <c r="X47" s="590">
        <f t="shared" si="13"/>
        <v>-88.93304095395456</v>
      </c>
      <c r="Y47" s="593">
        <f t="shared" si="14"/>
        <v>91.06695904604544</v>
      </c>
      <c r="AA47" s="150">
        <f t="shared" si="15"/>
        <v>1000000000</v>
      </c>
      <c r="AB47" s="150">
        <f t="shared" si="16"/>
        <v>524.82228100000009</v>
      </c>
      <c r="AD47" s="592">
        <f t="shared" si="17"/>
        <v>62.855649009827623</v>
      </c>
      <c r="AE47" s="593">
        <f t="shared" si="18"/>
        <v>-87.635180601415982</v>
      </c>
      <c r="AG47" s="592">
        <f t="shared" si="19"/>
        <v>27.044956620472792</v>
      </c>
      <c r="AH47" s="593">
        <f t="shared" si="20"/>
        <v>-1.264871392931477</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5">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1.0000000005138794</v>
      </c>
      <c r="N48" s="585">
        <f t="shared" si="5"/>
        <v>-3.2058676710253084E-5</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63.706036084330748</v>
      </c>
      <c r="X48" s="590">
        <f t="shared" si="13"/>
        <v>-89.084927764234592</v>
      </c>
      <c r="Y48" s="593">
        <f t="shared" si="14"/>
        <v>90.915072235765408</v>
      </c>
      <c r="AA48" s="150">
        <f t="shared" si="15"/>
        <v>1000000000</v>
      </c>
      <c r="AB48" s="150">
        <f t="shared" si="16"/>
        <v>630.96416099999999</v>
      </c>
      <c r="AD48" s="592">
        <f t="shared" si="17"/>
        <v>62.056411585143152</v>
      </c>
      <c r="AE48" s="593">
        <f t="shared" si="18"/>
        <v>-87.661911850459774</v>
      </c>
      <c r="AG48" s="592">
        <f t="shared" si="19"/>
        <v>27.04451812798429</v>
      </c>
      <c r="AH48" s="593">
        <f t="shared" si="20"/>
        <v>-1.3868445544660946</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5">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1.0000000006177994</v>
      </c>
      <c r="N49" s="585">
        <f t="shared" si="5"/>
        <v>-3.5151083796831842E-5</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62.906314648624075</v>
      </c>
      <c r="X49" s="590">
        <f t="shared" si="13"/>
        <v>-89.229040669719694</v>
      </c>
      <c r="Y49" s="593">
        <f t="shared" si="14"/>
        <v>90.770959330280306</v>
      </c>
      <c r="AA49" s="150">
        <f t="shared" si="15"/>
        <v>1000000000</v>
      </c>
      <c r="AB49" s="150">
        <f t="shared" si="16"/>
        <v>758.56176400000004</v>
      </c>
      <c r="AD49" s="592">
        <f t="shared" si="17"/>
        <v>61.257217336515055</v>
      </c>
      <c r="AE49" s="593">
        <f t="shared" si="18"/>
        <v>-87.668821718458716</v>
      </c>
      <c r="AG49" s="592">
        <f t="shared" si="19"/>
        <v>27.043991056392159</v>
      </c>
      <c r="AH49" s="593">
        <f t="shared" si="20"/>
        <v>-1.5205584719889995</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5">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1.0000000007427974</v>
      </c>
      <c r="N50" s="585">
        <f t="shared" si="5"/>
        <v>-3.8543414805600872E-5</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62.106124083110402</v>
      </c>
      <c r="X50" s="590">
        <f t="shared" si="13"/>
        <v>-89.366669814618248</v>
      </c>
      <c r="Y50" s="593">
        <f t="shared" si="14"/>
        <v>90.633330185381752</v>
      </c>
      <c r="AA50" s="150">
        <f t="shared" si="15"/>
        <v>1000000000</v>
      </c>
      <c r="AB50" s="150">
        <f t="shared" si="16"/>
        <v>912.04</v>
      </c>
      <c r="AD50" s="592">
        <f t="shared" si="17"/>
        <v>60.457660802729819</v>
      </c>
      <c r="AE50" s="593">
        <f t="shared" si="18"/>
        <v>-87.655960706108488</v>
      </c>
      <c r="AG50" s="592">
        <f t="shared" si="19"/>
        <v>27.04335716357425</v>
      </c>
      <c r="AH50" s="593">
        <f t="shared" si="20"/>
        <v>-1.6672211094978007</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5">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1.0000000008930043</v>
      </c>
      <c r="N51" s="585">
        <f t="shared" si="5"/>
        <v>-4.2261195176491946E-5</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61.306230175399477</v>
      </c>
      <c r="X51" s="590">
        <f t="shared" si="13"/>
        <v>-89.498844995989288</v>
      </c>
      <c r="Y51" s="593">
        <f t="shared" si="14"/>
        <v>90.501155004010712</v>
      </c>
      <c r="AA51" s="150">
        <f t="shared" si="15"/>
        <v>1000000000</v>
      </c>
      <c r="AB51" s="150">
        <f t="shared" si="16"/>
        <v>1096.470769</v>
      </c>
      <c r="AD51" s="592">
        <f t="shared" si="17"/>
        <v>59.658528671910112</v>
      </c>
      <c r="AE51" s="593">
        <f t="shared" si="18"/>
        <v>-87.623234292360593</v>
      </c>
      <c r="AG51" s="592">
        <f t="shared" si="19"/>
        <v>27.042595553608187</v>
      </c>
      <c r="AH51" s="593">
        <f t="shared" si="20"/>
        <v>-1.8279279849854839</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5">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1.0000000010736461</v>
      </c>
      <c r="N52" s="585">
        <f t="shared" si="5"/>
        <v>-4.6338884253413549E-5</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60.505988941972177</v>
      </c>
      <c r="X52" s="590">
        <f t="shared" si="13"/>
        <v>-89.626788592633332</v>
      </c>
      <c r="Y52" s="593">
        <f t="shared" si="14"/>
        <v>90.373211407366668</v>
      </c>
      <c r="AA52" s="150">
        <f t="shared" si="15"/>
        <v>1000000000</v>
      </c>
      <c r="AB52" s="150">
        <f t="shared" si="16"/>
        <v>1318.2708640000001</v>
      </c>
      <c r="AD52" s="592">
        <f t="shared" si="17"/>
        <v>58.859203389556704</v>
      </c>
      <c r="AE52" s="593">
        <f t="shared" si="18"/>
        <v>-87.570347005947099</v>
      </c>
      <c r="AG52" s="592">
        <f t="shared" si="19"/>
        <v>27.041679803281763</v>
      </c>
      <c r="AH52" s="593">
        <f t="shared" si="20"/>
        <v>-2.0041580684805336</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5">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1.000000001290811</v>
      </c>
      <c r="N53" s="585">
        <f t="shared" si="5"/>
        <v>-5.0809665108118409E-5</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59.705699836489586</v>
      </c>
      <c r="X53" s="590">
        <f t="shared" si="13"/>
        <v>-89.751527452649185</v>
      </c>
      <c r="Y53" s="593">
        <f t="shared" si="14"/>
        <v>90.248472547350815</v>
      </c>
      <c r="AA53" s="150">
        <f t="shared" si="15"/>
        <v>1000000000</v>
      </c>
      <c r="AB53" s="150">
        <f t="shared" si="16"/>
        <v>1584.9157210000001</v>
      </c>
      <c r="AD53" s="592">
        <f t="shared" si="17"/>
        <v>58.060015171570811</v>
      </c>
      <c r="AE53" s="593">
        <f t="shared" si="18"/>
        <v>-87.496868114937143</v>
      </c>
      <c r="AG53" s="592">
        <f t="shared" si="19"/>
        <v>27.040579157120774</v>
      </c>
      <c r="AH53" s="593">
        <f t="shared" si="20"/>
        <v>-2.197331499992857</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5">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1.0000000015519037</v>
      </c>
      <c r="N54" s="585">
        <f t="shared" si="5"/>
        <v>-5.5711825900216661E-5</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58.905286865997112</v>
      </c>
      <c r="X54" s="590">
        <f t="shared" si="13"/>
        <v>-89.874120309066001</v>
      </c>
      <c r="Y54" s="593">
        <f t="shared" si="14"/>
        <v>90.125879690933999</v>
      </c>
      <c r="AA54" s="150">
        <f t="shared" si="15"/>
        <v>1000000000</v>
      </c>
      <c r="AB54" s="150">
        <f t="shared" si="16"/>
        <v>1905.497104</v>
      </c>
      <c r="AD54" s="592">
        <f t="shared" si="17"/>
        <v>57.260925405205711</v>
      </c>
      <c r="AE54" s="593">
        <f t="shared" si="18"/>
        <v>-87.402177183976434</v>
      </c>
      <c r="AG54" s="592">
        <f t="shared" si="19"/>
        <v>27.039256243146138</v>
      </c>
      <c r="AH54" s="593">
        <f t="shared" si="20"/>
        <v>-2.4090842481799424</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5">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1.0000000018657622</v>
      </c>
      <c r="N55" s="585">
        <f t="shared" si="5"/>
        <v>-6.1086207333091875E-5</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58.104848726586631</v>
      </c>
      <c r="X55" s="590">
        <f t="shared" si="13"/>
        <v>-89.99557706806138</v>
      </c>
      <c r="Y55" s="593">
        <f t="shared" si="14"/>
        <v>90.00442293193862</v>
      </c>
      <c r="AA55" s="150">
        <f t="shared" si="15"/>
        <v>1000000000</v>
      </c>
      <c r="AB55" s="150">
        <f t="shared" si="16"/>
        <v>2290.8667689999997</v>
      </c>
      <c r="AD55" s="592">
        <f t="shared" si="17"/>
        <v>56.462077351160076</v>
      </c>
      <c r="AE55" s="593">
        <f t="shared" si="18"/>
        <v>-87.285498097990541</v>
      </c>
      <c r="AG55" s="592">
        <f t="shared" si="19"/>
        <v>27.037666506572805</v>
      </c>
      <c r="AH55" s="593">
        <f t="shared" si="20"/>
        <v>-2.6411562541165705</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5">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1.0000000022431623</v>
      </c>
      <c r="N56" s="585">
        <f t="shared" si="5"/>
        <v>-6.6980031469849349E-5</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57.30413355763244</v>
      </c>
      <c r="X56" s="590">
        <f t="shared" si="13"/>
        <v>-90.116946633876864</v>
      </c>
      <c r="Y56" s="593">
        <f t="shared" si="14"/>
        <v>89.883053366123136</v>
      </c>
      <c r="AA56" s="150">
        <f t="shared" si="15"/>
        <v>1000000000</v>
      </c>
      <c r="AB56" s="150">
        <f t="shared" si="16"/>
        <v>2754.255361</v>
      </c>
      <c r="AD56" s="592">
        <f t="shared" si="17"/>
        <v>55.663273413392858</v>
      </c>
      <c r="AE56" s="593">
        <f t="shared" si="18"/>
        <v>-87.14581927718362</v>
      </c>
      <c r="AG56" s="592">
        <f t="shared" si="19"/>
        <v>27.035755694790854</v>
      </c>
      <c r="AH56" s="593">
        <f t="shared" si="20"/>
        <v>-2.8955547220872244</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5">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1.0000000026968487</v>
      </c>
      <c r="N57" s="585">
        <f t="shared" si="5"/>
        <v>-7.3441796645171573E-5</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56.503332096268899</v>
      </c>
      <c r="X57" s="590">
        <f t="shared" si="13"/>
        <v>-90.239203797274982</v>
      </c>
      <c r="Y57" s="593">
        <f t="shared" si="14"/>
        <v>89.760796202725018</v>
      </c>
      <c r="AA57" s="150">
        <f t="shared" si="15"/>
        <v>1000000000</v>
      </c>
      <c r="AB57" s="150">
        <f t="shared" si="16"/>
        <v>3311.3119360000005</v>
      </c>
      <c r="AD57" s="592">
        <f t="shared" si="17"/>
        <v>54.864768401267618</v>
      </c>
      <c r="AE57" s="593">
        <f t="shared" si="18"/>
        <v>-86.982009430082726</v>
      </c>
      <c r="AG57" s="592">
        <f t="shared" si="19"/>
        <v>27.033459749734799</v>
      </c>
      <c r="AH57" s="593">
        <f t="shared" si="20"/>
        <v>-3.174331014221826</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5">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1.0000000032423519</v>
      </c>
      <c r="N58" s="585">
        <f t="shared" si="5"/>
        <v>-8.0527658825221507E-5</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55.70225444072954</v>
      </c>
      <c r="X58" s="590">
        <f t="shared" si="13"/>
        <v>-90.363381139590089</v>
      </c>
      <c r="Y58" s="593">
        <f t="shared" si="14"/>
        <v>89.636618860409911</v>
      </c>
      <c r="AA58" s="150">
        <f t="shared" si="15"/>
        <v>1000000000</v>
      </c>
      <c r="AB58" s="150">
        <f t="shared" si="16"/>
        <v>3981.1052159999995</v>
      </c>
      <c r="AD58" s="592">
        <f t="shared" si="17"/>
        <v>54.066450342202124</v>
      </c>
      <c r="AE58" s="593">
        <f t="shared" si="18"/>
        <v>-86.792670352481139</v>
      </c>
      <c r="AG58" s="592">
        <f t="shared" si="19"/>
        <v>27.030700759479274</v>
      </c>
      <c r="AH58" s="593">
        <f t="shared" si="20"/>
        <v>-3.4798525564425371</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5">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1.0000000038981205</v>
      </c>
      <c r="N59" s="585">
        <f t="shared" si="5"/>
        <v>-8.8296326519426144E-5</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54.901027035571914</v>
      </c>
      <c r="X59" s="590">
        <f t="shared" si="13"/>
        <v>-90.490468336177685</v>
      </c>
      <c r="Y59" s="593">
        <f t="shared" si="14"/>
        <v>89.509531663822315</v>
      </c>
      <c r="AA59" s="150">
        <f t="shared" si="15"/>
        <v>1000000000</v>
      </c>
      <c r="AB59" s="150">
        <f t="shared" si="16"/>
        <v>4786.2874890000012</v>
      </c>
      <c r="AD59" s="592">
        <f t="shared" si="17"/>
        <v>53.26853802708095</v>
      </c>
      <c r="AE59" s="593">
        <f t="shared" si="18"/>
        <v>-86.576266874400673</v>
      </c>
      <c r="AG59" s="592">
        <f t="shared" si="19"/>
        <v>27.02738639819934</v>
      </c>
      <c r="AH59" s="593">
        <f t="shared" si="20"/>
        <v>-3.8145779540483735</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5">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1.0000000046866149</v>
      </c>
      <c r="N60" s="585">
        <f t="shared" si="5"/>
        <v>-9.6815442140262012E-5</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54.099434022963997</v>
      </c>
      <c r="X60" s="590">
        <f t="shared" si="13"/>
        <v>-90.621520364534348</v>
      </c>
      <c r="Y60" s="593">
        <f t="shared" si="14"/>
        <v>89.378479635465652</v>
      </c>
      <c r="AA60" s="150">
        <f t="shared" si="15"/>
        <v>1000000000</v>
      </c>
      <c r="AB60" s="150">
        <f t="shared" si="16"/>
        <v>5754.4361640000006</v>
      </c>
      <c r="AD60" s="592">
        <f t="shared" si="17"/>
        <v>52.470927721524362</v>
      </c>
      <c r="AE60" s="593">
        <f t="shared" si="18"/>
        <v>-86.330958868806533</v>
      </c>
      <c r="AG60" s="592">
        <f t="shared" si="19"/>
        <v>27.023404567402611</v>
      </c>
      <c r="AH60" s="593">
        <f t="shared" si="20"/>
        <v>-4.1813259919119501</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5">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1.0000000056344633</v>
      </c>
      <c r="N61" s="585">
        <f t="shared" si="5"/>
        <v>-1.0615520064291079E-4</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53.297620071476608</v>
      </c>
      <c r="X61" s="590">
        <f t="shared" si="13"/>
        <v>-90.757549771637258</v>
      </c>
      <c r="Y61" s="593">
        <f t="shared" si="14"/>
        <v>89.242450228362742</v>
      </c>
      <c r="AA61" s="150">
        <f t="shared" si="15"/>
        <v>1000000000</v>
      </c>
      <c r="AB61" s="150">
        <f t="shared" si="16"/>
        <v>6918.2469760000004</v>
      </c>
      <c r="AD61" s="592">
        <f t="shared" si="17"/>
        <v>51.673896551183994</v>
      </c>
      <c r="AE61" s="593">
        <f t="shared" si="18"/>
        <v>-86.05478358335489</v>
      </c>
      <c r="AG61" s="592">
        <f t="shared" si="19"/>
        <v>27.018622839600429</v>
      </c>
      <c r="AH61" s="593">
        <f t="shared" si="20"/>
        <v>-4.5829927696577242</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5">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1.0000000067741639</v>
      </c>
      <c r="N62" s="585">
        <f t="shared" si="5"/>
        <v>-1.1639728342885125E-4</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52.495316937695698</v>
      </c>
      <c r="X62" s="590">
        <f t="shared" si="13"/>
        <v>-90.899657725271879</v>
      </c>
      <c r="Y62" s="593">
        <f t="shared" si="14"/>
        <v>89.100342274728121</v>
      </c>
      <c r="AA62" s="150">
        <f t="shared" si="15"/>
        <v>1000000000</v>
      </c>
      <c r="AB62" s="150">
        <f t="shared" si="16"/>
        <v>8317.6224010000005</v>
      </c>
      <c r="AD62" s="592">
        <f t="shared" si="17"/>
        <v>50.877337307671063</v>
      </c>
      <c r="AE62" s="593">
        <f t="shared" si="18"/>
        <v>-85.745402578761258</v>
      </c>
      <c r="AG62" s="592">
        <f t="shared" si="19"/>
        <v>27.012880215882475</v>
      </c>
      <c r="AH62" s="593">
        <f t="shared" si="20"/>
        <v>-5.022925734702067</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5">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1.0000000081443512</v>
      </c>
      <c r="N63" s="585">
        <f t="shared" si="5"/>
        <v>-1.2762720071328952E-4</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51.69257225699198</v>
      </c>
      <c r="X63" s="590">
        <f t="shared" si="13"/>
        <v>-91.048913613865167</v>
      </c>
      <c r="Y63" s="593">
        <f t="shared" si="14"/>
        <v>88.951086386134833</v>
      </c>
      <c r="AA63" s="150">
        <f t="shared" si="15"/>
        <v>1000000000</v>
      </c>
      <c r="AB63" s="150">
        <f t="shared" si="16"/>
        <v>10000</v>
      </c>
      <c r="AD63" s="592">
        <f t="shared" si="17"/>
        <v>50.081488091419232</v>
      </c>
      <c r="AE63" s="593">
        <f t="shared" si="18"/>
        <v>-85.400333058717848</v>
      </c>
      <c r="AG63" s="592">
        <f t="shared" si="19"/>
        <v>27.005986274120637</v>
      </c>
      <c r="AH63" s="593">
        <f t="shared" si="20"/>
        <v>-5.5045805922974838</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5">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1.0000000097920532</v>
      </c>
      <c r="N64" s="585">
        <f t="shared" si="5"/>
        <v>-1.3994322542839881E-4</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50.889107894392183</v>
      </c>
      <c r="X64" s="590">
        <f t="shared" si="13"/>
        <v>-91.206469772599846</v>
      </c>
      <c r="Y64" s="593">
        <f t="shared" si="14"/>
        <v>88.793530227400154</v>
      </c>
      <c r="AA64" s="150">
        <f t="shared" si="15"/>
        <v>1000000000</v>
      </c>
      <c r="AB64" s="150">
        <f t="shared" si="16"/>
        <v>12023.122500000001</v>
      </c>
      <c r="AD64" s="592">
        <f t="shared" si="17"/>
        <v>49.286301315149302</v>
      </c>
      <c r="AE64" s="593">
        <f t="shared" si="18"/>
        <v>-85.0166868524893</v>
      </c>
      <c r="AG64" s="592">
        <f t="shared" si="19"/>
        <v>26.997710518882791</v>
      </c>
      <c r="AH64" s="593">
        <f t="shared" si="20"/>
        <v>-6.0318869690534358</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5">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1.0000000117728656</v>
      </c>
      <c r="N65" s="585">
        <f t="shared" si="5"/>
        <v>-1.5344618304640023E-4</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50.08507163504418</v>
      </c>
      <c r="X65" s="590">
        <f t="shared" si="13"/>
        <v>-91.373416054587537</v>
      </c>
      <c r="Y65" s="593">
        <f t="shared" si="14"/>
        <v>88.626583945412463</v>
      </c>
      <c r="AA65" s="150">
        <f t="shared" si="15"/>
        <v>1000000000</v>
      </c>
      <c r="AB65" s="150">
        <f t="shared" si="16"/>
        <v>14455.252900000001</v>
      </c>
      <c r="AD65" s="592">
        <f t="shared" si="17"/>
        <v>48.492195259891808</v>
      </c>
      <c r="AE65" s="593">
        <f t="shared" si="18"/>
        <v>-84.591497287731997</v>
      </c>
      <c r="AG65" s="592">
        <f t="shared" si="19"/>
        <v>26.987782516069476</v>
      </c>
      <c r="AH65" s="593">
        <f t="shared" si="20"/>
        <v>-6.6087876314025813</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5">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1.0000000141541894</v>
      </c>
      <c r="N66" s="585">
        <f t="shared" si="5"/>
        <v>-1.6825093802622234E-4</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49.280304700096053</v>
      </c>
      <c r="X66" s="590">
        <f t="shared" si="13"/>
        <v>-91.55091377860019</v>
      </c>
      <c r="Y66" s="593">
        <f t="shared" si="14"/>
        <v>88.44908622139981</v>
      </c>
      <c r="AA66" s="150">
        <f t="shared" si="15"/>
        <v>1000000000</v>
      </c>
      <c r="AB66" s="150">
        <f t="shared" si="16"/>
        <v>17379.148900000004</v>
      </c>
      <c r="AD66" s="592">
        <f t="shared" si="17"/>
        <v>47.699336398865633</v>
      </c>
      <c r="AE66" s="593">
        <f t="shared" si="18"/>
        <v>-84.121378042349264</v>
      </c>
      <c r="AG66" s="592">
        <f t="shared" si="19"/>
        <v>26.975877088512213</v>
      </c>
      <c r="AH66" s="593">
        <f t="shared" si="20"/>
        <v>-7.2397006213260191</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5">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1.0000000170150252</v>
      </c>
      <c r="N67" s="585">
        <f t="shared" si="5"/>
        <v>-1.8447235482005927E-4</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48.475157433045062</v>
      </c>
      <c r="X67" s="590">
        <f t="shared" si="13"/>
        <v>-91.740006778275003</v>
      </c>
      <c r="Y67" s="593">
        <f t="shared" si="14"/>
        <v>88.259993221724997</v>
      </c>
      <c r="AA67" s="150">
        <f t="shared" si="15"/>
        <v>1000000000</v>
      </c>
      <c r="AB67" s="150">
        <f t="shared" si="16"/>
        <v>20891.811599999997</v>
      </c>
      <c r="AD67" s="592">
        <f t="shared" si="17"/>
        <v>46.908452028229888</v>
      </c>
      <c r="AE67" s="593">
        <f t="shared" si="18"/>
        <v>-83.602986462233318</v>
      </c>
      <c r="AG67" s="592">
        <f t="shared" si="19"/>
        <v>26.961617371342648</v>
      </c>
      <c r="AH67" s="593">
        <f t="shared" si="20"/>
        <v>-7.9288828281692965</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5">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1.000000020457861</v>
      </c>
      <c r="N68" s="585">
        <f t="shared" si="5"/>
        <v>-2.0227634875000472E-4</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47.668090761945777</v>
      </c>
      <c r="X68" s="590">
        <f t="shared" si="13"/>
        <v>-91.942184828194058</v>
      </c>
      <c r="Y68" s="593">
        <f t="shared" si="14"/>
        <v>88.057815171805942</v>
      </c>
      <c r="AA68" s="150">
        <f t="shared" si="15"/>
        <v>1000000000</v>
      </c>
      <c r="AB68" s="150">
        <f t="shared" si="16"/>
        <v>25119.080100000003</v>
      </c>
      <c r="AD68" s="592">
        <f t="shared" si="17"/>
        <v>46.118487994764195</v>
      </c>
      <c r="AE68" s="593">
        <f t="shared" si="18"/>
        <v>-83.031413707723928</v>
      </c>
      <c r="AG68" s="592">
        <f t="shared" si="19"/>
        <v>26.944518559729694</v>
      </c>
      <c r="AH68" s="593">
        <f t="shared" si="20"/>
        <v>-8.6825456682849342</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5">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1.0000000245955238</v>
      </c>
      <c r="N69" s="585">
        <f t="shared" si="5"/>
        <v>-2.2179054696707816E-4</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46.860023912762088</v>
      </c>
      <c r="X69" s="590">
        <f t="shared" si="13"/>
        <v>-92.158318822343432</v>
      </c>
      <c r="Y69" s="593">
        <f t="shared" si="14"/>
        <v>87.841681177656568</v>
      </c>
      <c r="AA69" s="150">
        <f t="shared" si="15"/>
        <v>1000000000</v>
      </c>
      <c r="AB69" s="150">
        <f t="shared" si="16"/>
        <v>30199.488400000002</v>
      </c>
      <c r="AD69" s="592">
        <f t="shared" si="17"/>
        <v>45.330886711554882</v>
      </c>
      <c r="AE69" s="593">
        <f t="shared" si="18"/>
        <v>-82.403077230231247</v>
      </c>
      <c r="AG69" s="592">
        <f t="shared" si="19"/>
        <v>26.924057591934549</v>
      </c>
      <c r="AH69" s="593">
        <f t="shared" si="20"/>
        <v>-9.5049985869506166</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5">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1.000000029571571</v>
      </c>
      <c r="N70" s="585">
        <f t="shared" si="5"/>
        <v>-2.4319362748519767E-4</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46.050166860096112</v>
      </c>
      <c r="X70" s="590">
        <f t="shared" si="13"/>
        <v>-92.389644976752663</v>
      </c>
      <c r="Y70" s="593">
        <f t="shared" si="14"/>
        <v>87.610355023247337</v>
      </c>
      <c r="AA70" s="150">
        <f t="shared" si="15"/>
        <v>1000000000</v>
      </c>
      <c r="AB70" s="150">
        <f t="shared" si="16"/>
        <v>36309.302500000005</v>
      </c>
      <c r="AD70" s="592">
        <f t="shared" si="17"/>
        <v>44.545514986434867</v>
      </c>
      <c r="AE70" s="593">
        <f t="shared" si="18"/>
        <v>-81.712900471339296</v>
      </c>
      <c r="AG70" s="592">
        <f t="shared" si="19"/>
        <v>26.899577794260196</v>
      </c>
      <c r="AH70" s="593">
        <f t="shared" si="20"/>
        <v>-10.402352762282149</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5">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1.0000000355515137</v>
      </c>
      <c r="N71" s="585">
        <f t="shared" si="5"/>
        <v>-2.6665150557816843E-4</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45.238816516427832</v>
      </c>
      <c r="X71" s="590">
        <f t="shared" si="13"/>
        <v>-92.636998791780499</v>
      </c>
      <c r="Y71" s="593">
        <f t="shared" si="14"/>
        <v>87.363001208219501</v>
      </c>
      <c r="AA71" s="150">
        <f t="shared" si="15"/>
        <v>1000000000</v>
      </c>
      <c r="AB71" s="150">
        <f t="shared" si="16"/>
        <v>43651.744900000005</v>
      </c>
      <c r="AD71" s="592">
        <f t="shared" si="17"/>
        <v>43.763408346171119</v>
      </c>
      <c r="AE71" s="593">
        <f t="shared" si="18"/>
        <v>-80.95641608083416</v>
      </c>
      <c r="AG71" s="592">
        <f t="shared" si="19"/>
        <v>26.870340736350357</v>
      </c>
      <c r="AH71" s="593">
        <f t="shared" si="20"/>
        <v>-11.379723849552116</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5">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1.0000000427433691</v>
      </c>
      <c r="N72" s="585">
        <f t="shared" si="5"/>
        <v>-2.9238114737000799E-4</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44.425024445263155</v>
      </c>
      <c r="X72" s="590">
        <f t="shared" si="13"/>
        <v>-92.901436348412744</v>
      </c>
      <c r="Y72" s="593">
        <f t="shared" si="14"/>
        <v>87.098563651587256</v>
      </c>
      <c r="AA72" s="150">
        <f t="shared" si="15"/>
        <v>1000000000</v>
      </c>
      <c r="AB72" s="150">
        <f t="shared" si="16"/>
        <v>52482.2281</v>
      </c>
      <c r="AD72" s="592">
        <f t="shared" si="17"/>
        <v>42.984527806327122</v>
      </c>
      <c r="AE72" s="593">
        <f t="shared" si="18"/>
        <v>-80.127778017486676</v>
      </c>
      <c r="AG72" s="592">
        <f t="shared" si="19"/>
        <v>26.835437197313531</v>
      </c>
      <c r="AH72" s="593">
        <f t="shared" si="20"/>
        <v>-12.443769177305969</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5">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1.0000000513879364</v>
      </c>
      <c r="N73" s="585">
        <f t="shared" si="5"/>
        <v>-3.2058675622949822E-4</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43.608879856871198</v>
      </c>
      <c r="X73" s="590">
        <f t="shared" si="13"/>
        <v>-93.183480058144468</v>
      </c>
      <c r="Y73" s="593">
        <f t="shared" si="14"/>
        <v>86.816519941855532</v>
      </c>
      <c r="AA73" s="150">
        <f t="shared" si="15"/>
        <v>1000000000</v>
      </c>
      <c r="AB73" s="150">
        <f t="shared" si="16"/>
        <v>63096.416100000002</v>
      </c>
      <c r="AD73" s="592">
        <f t="shared" si="17"/>
        <v>42.209978706306458</v>
      </c>
      <c r="AE73" s="593">
        <f t="shared" si="18"/>
        <v>-79.221906103413502</v>
      </c>
      <c r="AG73" s="592">
        <f t="shared" si="19"/>
        <v>26.793851315610681</v>
      </c>
      <c r="AH73" s="593">
        <f t="shared" si="20"/>
        <v>-13.599860943136326</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5">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1.0000000617799327</v>
      </c>
      <c r="N74" s="585">
        <f t="shared" si="5"/>
        <v>-3.5151082363555047E-4</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42.789843237476212</v>
      </c>
      <c r="X74" s="590">
        <f t="shared" si="13"/>
        <v>-93.483556744917578</v>
      </c>
      <c r="Y74" s="593">
        <f t="shared" si="14"/>
        <v>86.516443255082422</v>
      </c>
      <c r="AA74" s="150">
        <f t="shared" si="15"/>
        <v>1000000000</v>
      </c>
      <c r="AB74" s="150">
        <f t="shared" si="16"/>
        <v>75856.176400000011</v>
      </c>
      <c r="AD74" s="592">
        <f t="shared" si="17"/>
        <v>41.440424222596661</v>
      </c>
      <c r="AE74" s="593">
        <f t="shared" si="18"/>
        <v>-78.23295124604509</v>
      </c>
      <c r="AG74" s="592">
        <f t="shared" si="19"/>
        <v>26.744380728491393</v>
      </c>
      <c r="AH74" s="593">
        <f t="shared" si="20"/>
        <v>-14.854001474521178</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5">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1.0000000742797386</v>
      </c>
      <c r="N75" s="585">
        <f t="shared" si="5"/>
        <v>-3.8543412916024417E-4</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41.967008654255828</v>
      </c>
      <c r="X75" s="590">
        <f t="shared" si="13"/>
        <v>-93.801859561411248</v>
      </c>
      <c r="Y75" s="593">
        <f t="shared" si="14"/>
        <v>86.198140438588752</v>
      </c>
      <c r="AA75" s="150">
        <f t="shared" si="15"/>
        <v>1000000000</v>
      </c>
      <c r="AB75" s="150">
        <f t="shared" si="16"/>
        <v>91204</v>
      </c>
      <c r="AD75" s="592">
        <f t="shared" si="17"/>
        <v>40.676371025808521</v>
      </c>
      <c r="AE75" s="593">
        <f t="shared" si="18"/>
        <v>-77.154446215048026</v>
      </c>
      <c r="AG75" s="592">
        <f t="shared" si="19"/>
        <v>26.685613233002933</v>
      </c>
      <c r="AH75" s="593">
        <f t="shared" si="20"/>
        <v>-16.212534368937035</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5">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1.0000000893004271</v>
      </c>
      <c r="N76" s="585">
        <f t="shared" si="5"/>
        <v>-4.2261192685689872E-4</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41.140653212991253</v>
      </c>
      <c r="X76" s="590">
        <f t="shared" si="13"/>
        <v>-94.137625303215046</v>
      </c>
      <c r="Y76" s="593">
        <f t="shared" si="14"/>
        <v>85.862374696784954</v>
      </c>
      <c r="AA76" s="150">
        <f t="shared" si="15"/>
        <v>1000000000</v>
      </c>
      <c r="AB76" s="150">
        <f t="shared" si="16"/>
        <v>109647.0769</v>
      </c>
      <c r="AD76" s="592">
        <f t="shared" si="17"/>
        <v>39.91961530833894</v>
      </c>
      <c r="AE76" s="593">
        <f t="shared" si="18"/>
        <v>-75.981506476475758</v>
      </c>
      <c r="AG76" s="592">
        <f t="shared" si="19"/>
        <v>26.616030201563532</v>
      </c>
      <c r="AH76" s="593">
        <f t="shared" si="20"/>
        <v>-17.67929297466733</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5">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1.0000001073646041</v>
      </c>
      <c r="N77" s="585">
        <f t="shared" ref="N77:N140" si="41">-ATAN(G77/z_RHP)</f>
        <v>-4.633888096981086E-4</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40.30956944039999</v>
      </c>
      <c r="X77" s="590">
        <f t="shared" ref="X77:X140" si="49">((L77+R77+N77+V77)-(J77+P77+T77))*radconv</f>
        <v>-94.490056790681834</v>
      </c>
      <c r="Y77" s="593">
        <f t="shared" ref="Y77:Y140" si="50">IF(X77&gt;0,X77,X77+180)</f>
        <v>85.509943209318166</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26.533798881159633</v>
      </c>
      <c r="AH77" s="593">
        <f t="shared" ref="AH77:AH140" si="56">(L77+N77-(J77+V77))*radconv</f>
        <v>-19.259821206420451</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5">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1.0000001290810954</v>
      </c>
      <c r="N78" s="585">
        <f t="shared" si="41"/>
        <v>-5.0809660779464435E-4</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39.473504782350005</v>
      </c>
      <c r="X78" s="590">
        <f t="shared" si="49"/>
        <v>-94.857229861248911</v>
      </c>
      <c r="Y78" s="593">
        <f t="shared" si="50"/>
        <v>85.142770138751089</v>
      </c>
      <c r="AA78" s="150">
        <f t="shared" si="51"/>
        <v>1000000000</v>
      </c>
      <c r="AB78" s="150">
        <f t="shared" si="52"/>
        <v>158491.57210000002</v>
      </c>
      <c r="AD78" s="592">
        <f t="shared" si="53"/>
        <v>38.43158144437551</v>
      </c>
      <c r="AE78" s="593">
        <f t="shared" si="54"/>
        <v>-73.327054898158238</v>
      </c>
      <c r="AG78" s="592">
        <f t="shared" si="55"/>
        <v>26.436959842642239</v>
      </c>
      <c r="AH78" s="593">
        <f t="shared" si="56"/>
        <v>-20.95689890559364</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5">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1.0000001551903654</v>
      </c>
      <c r="N79" s="585">
        <f t="shared" si="41"/>
        <v>-5.5711820193897791E-4</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38.631820634097103</v>
      </c>
      <c r="X79" s="590">
        <f t="shared" si="49"/>
        <v>-95.236515859697803</v>
      </c>
      <c r="Y79" s="593">
        <f t="shared" si="50"/>
        <v>84.763484140302197</v>
      </c>
      <c r="AA79" s="150">
        <f t="shared" si="51"/>
        <v>1000000000</v>
      </c>
      <c r="AB79" s="150">
        <f t="shared" si="52"/>
        <v>190549.71039999998</v>
      </c>
      <c r="AD79" s="592">
        <f t="shared" si="53"/>
        <v>37.703564833450642</v>
      </c>
      <c r="AE79" s="593">
        <f t="shared" si="54"/>
        <v>-71.835343223208639</v>
      </c>
      <c r="AG79" s="592">
        <f t="shared" si="55"/>
        <v>26.323321320106334</v>
      </c>
      <c r="AH79" s="593">
        <f t="shared" si="56"/>
        <v>-22.772586924527257</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5">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1.0000001865762194</v>
      </c>
      <c r="N80" s="585">
        <f t="shared" si="41"/>
        <v>-6.1086199810918675E-4</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37.784094196470598</v>
      </c>
      <c r="X80" s="590">
        <f t="shared" si="49"/>
        <v>-95.624230054528951</v>
      </c>
      <c r="Y80" s="593">
        <f t="shared" si="50"/>
        <v>84.375769945471049</v>
      </c>
      <c r="AA80" s="150">
        <f t="shared" si="51"/>
        <v>1000000000</v>
      </c>
      <c r="AB80" s="150">
        <f t="shared" si="52"/>
        <v>229086.67689999999</v>
      </c>
      <c r="AD80" s="592">
        <f t="shared" si="53"/>
        <v>36.988654309095338</v>
      </c>
      <c r="AE80" s="593">
        <f t="shared" si="54"/>
        <v>-70.228267953580016</v>
      </c>
      <c r="AG80" s="592">
        <f t="shared" si="55"/>
        <v>26.19054028528868</v>
      </c>
      <c r="AH80" s="593">
        <f t="shared" si="56"/>
        <v>-24.706738971656886</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5">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1.0000002243162063</v>
      </c>
      <c r="N81" s="585">
        <f t="shared" si="41"/>
        <v>-6.6980021553544585E-4</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36.92960131407105</v>
      </c>
      <c r="X81" s="590">
        <f t="shared" si="49"/>
        <v>-96.015811740777593</v>
      </c>
      <c r="Y81" s="593">
        <f t="shared" si="50"/>
        <v>83.984188259222407</v>
      </c>
      <c r="AA81" s="150">
        <f t="shared" si="51"/>
        <v>1000000000</v>
      </c>
      <c r="AB81" s="150">
        <f t="shared" si="52"/>
        <v>275425.53609999997</v>
      </c>
      <c r="AD81" s="592">
        <f t="shared" si="53"/>
        <v>36.288668919468599</v>
      </c>
      <c r="AE81" s="593">
        <f t="shared" si="54"/>
        <v>-68.502235366764012</v>
      </c>
      <c r="AG81" s="592">
        <f t="shared" si="55"/>
        <v>26.036074732017518</v>
      </c>
      <c r="AH81" s="593">
        <f t="shared" si="56"/>
        <v>-26.757855340312805</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5">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1.0000002696848393</v>
      </c>
      <c r="N82" s="585">
        <f t="shared" si="41"/>
        <v>-7.344178357312223E-4</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36.068205314570243</v>
      </c>
      <c r="X82" s="590">
        <f t="shared" si="49"/>
        <v>-96.405430911106961</v>
      </c>
      <c r="Y82" s="593">
        <f t="shared" si="50"/>
        <v>83.594569088893039</v>
      </c>
      <c r="AA82" s="150">
        <f t="shared" si="51"/>
        <v>1000000000</v>
      </c>
      <c r="AB82" s="150">
        <f t="shared" si="52"/>
        <v>331131.19360000006</v>
      </c>
      <c r="AD82" s="592">
        <f t="shared" si="53"/>
        <v>35.606019439327802</v>
      </c>
      <c r="AE82" s="593">
        <f t="shared" si="54"/>
        <v>-66.656053084654957</v>
      </c>
      <c r="AG82" s="592">
        <f t="shared" si="55"/>
        <v>25.857378629437882</v>
      </c>
      <c r="AH82" s="593">
        <f t="shared" si="56"/>
        <v>-28.920751300492824</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5">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1.0000003242351407</v>
      </c>
      <c r="N83" s="585">
        <f t="shared" si="41"/>
        <v>-8.0527641592693575E-4</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35.199532606304516</v>
      </c>
      <c r="X83" s="590">
        <f t="shared" si="49"/>
        <v>-96.786471506928095</v>
      </c>
      <c r="Y83" s="593">
        <f t="shared" si="50"/>
        <v>83.213528493071905</v>
      </c>
      <c r="AA83" s="150">
        <f t="shared" si="51"/>
        <v>1000000000</v>
      </c>
      <c r="AB83" s="150">
        <f t="shared" si="52"/>
        <v>398110.52160000004</v>
      </c>
      <c r="AD83" s="592">
        <f t="shared" si="53"/>
        <v>34.942962538476799</v>
      </c>
      <c r="AE83" s="593">
        <f t="shared" si="54"/>
        <v>-64.689576298552453</v>
      </c>
      <c r="AG83" s="592">
        <f t="shared" si="55"/>
        <v>25.651823441758339</v>
      </c>
      <c r="AH83" s="593">
        <f t="shared" si="56"/>
        <v>-31.188322133844533</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5">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1.0000003898119898</v>
      </c>
      <c r="N84" s="585">
        <f t="shared" si="41"/>
        <v>-8.8296303802914337E-4</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34.323775762530843</v>
      </c>
      <c r="X84" s="590">
        <f t="shared" si="49"/>
        <v>-97.151396336503637</v>
      </c>
      <c r="Y84" s="593">
        <f t="shared" si="50"/>
        <v>82.848603663496363</v>
      </c>
      <c r="AA84" s="150">
        <f t="shared" si="51"/>
        <v>1000000000</v>
      </c>
      <c r="AB84" s="150">
        <f t="shared" si="52"/>
        <v>478628.74890000006</v>
      </c>
      <c r="AD84" s="592">
        <f t="shared" si="53"/>
        <v>34.302155868849695</v>
      </c>
      <c r="AE84" s="593">
        <f t="shared" si="54"/>
        <v>-62.605694197439782</v>
      </c>
      <c r="AG84" s="592">
        <f t="shared" si="55"/>
        <v>25.41694614023131</v>
      </c>
      <c r="AH84" s="593">
        <f t="shared" si="56"/>
        <v>-33.549479232161374</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5">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1.0000004686613848</v>
      </c>
      <c r="N85" s="585">
        <f t="shared" si="41"/>
        <v>-9.6815412193656841E-4</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33.441028504494057</v>
      </c>
      <c r="X85" s="590">
        <f t="shared" si="49"/>
        <v>-97.492388448723332</v>
      </c>
      <c r="Y85" s="593">
        <f t="shared" si="50"/>
        <v>82.507611551276668</v>
      </c>
      <c r="AA85" s="150">
        <f t="shared" si="51"/>
        <v>1000000000</v>
      </c>
      <c r="AB85" s="150">
        <f t="shared" si="52"/>
        <v>575443.61640000006</v>
      </c>
      <c r="AD85" s="592">
        <f t="shared" si="53"/>
        <v>33.686055422608348</v>
      </c>
      <c r="AE85" s="593">
        <f t="shared" si="54"/>
        <v>-60.409080185775785</v>
      </c>
      <c r="AG85" s="592">
        <f t="shared" si="55"/>
        <v>25.150386949503503</v>
      </c>
      <c r="AH85" s="593">
        <f t="shared" si="56"/>
        <v>-35.990969268526662</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5">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1.0000005634461766</v>
      </c>
      <c r="N86" s="585">
        <f t="shared" si="41"/>
        <v>-1.0615516116651679E-3</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32.552090828549886</v>
      </c>
      <c r="X86" s="590">
        <f t="shared" si="49"/>
        <v>-97.801499118354911</v>
      </c>
      <c r="Y86" s="593">
        <f t="shared" si="50"/>
        <v>82.198500881645089</v>
      </c>
      <c r="AA86" s="150">
        <f t="shared" si="51"/>
        <v>1000000000</v>
      </c>
      <c r="AB86" s="150">
        <f t="shared" si="52"/>
        <v>691824.69759999996</v>
      </c>
      <c r="AD86" s="592">
        <f t="shared" si="53"/>
        <v>33.097394510230636</v>
      </c>
      <c r="AE86" s="593">
        <f t="shared" si="54"/>
        <v>-58.108326797757037</v>
      </c>
      <c r="AG86" s="592">
        <f t="shared" si="55"/>
        <v>24.850215514081423</v>
      </c>
      <c r="AH86" s="593">
        <f t="shared" si="56"/>
        <v>-38.495459283062907</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5">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1.0000006774161563</v>
      </c>
      <c r="N87" s="585">
        <f t="shared" si="41"/>
        <v>-1.1639723138827187E-3</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31.657631833291227</v>
      </c>
      <c r="X87" s="590">
        <f t="shared" si="49"/>
        <v>-98.071533801159433</v>
      </c>
      <c r="Y87" s="593">
        <f t="shared" si="50"/>
        <v>81.928466198840567</v>
      </c>
      <c r="AA87" s="150">
        <f t="shared" si="51"/>
        <v>1000000000</v>
      </c>
      <c r="AB87" s="150">
        <f t="shared" si="52"/>
        <v>831762.24009999994</v>
      </c>
      <c r="AD87" s="592">
        <f t="shared" si="53"/>
        <v>32.538496569888487</v>
      </c>
      <c r="AE87" s="593">
        <f t="shared" si="54"/>
        <v>-55.713995610706419</v>
      </c>
      <c r="AG87" s="592">
        <f t="shared" si="55"/>
        <v>24.514781105011451</v>
      </c>
      <c r="AH87" s="593">
        <f t="shared" si="56"/>
        <v>-41.044271951726586</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5">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1.0000008144347952</v>
      </c>
      <c r="N88" s="585">
        <f t="shared" si="41"/>
        <v>-1.276271321102671E-3</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30.758982683841232</v>
      </c>
      <c r="X88" s="590">
        <f t="shared" si="49"/>
        <v>-98.296377246156879</v>
      </c>
      <c r="Y88" s="593">
        <f t="shared" si="50"/>
        <v>81.703622753843121</v>
      </c>
      <c r="AA88" s="150">
        <f t="shared" si="51"/>
        <v>1000000000</v>
      </c>
      <c r="AB88" s="150">
        <f t="shared" si="52"/>
        <v>1000000</v>
      </c>
      <c r="AD88" s="592">
        <f t="shared" si="53"/>
        <v>32.011706861898617</v>
      </c>
      <c r="AE88" s="593">
        <f t="shared" si="54"/>
        <v>-53.240690226578565</v>
      </c>
      <c r="AG88" s="592">
        <f t="shared" si="55"/>
        <v>24.143073919324458</v>
      </c>
      <c r="AH88" s="593">
        <f t="shared" si="56"/>
        <v>-43.615724143080719</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5">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1.0000009792048505</v>
      </c>
      <c r="N89" s="585">
        <f t="shared" si="41"/>
        <v>-1.3994313498662508E-3</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29.857377480961578</v>
      </c>
      <c r="X89" s="590">
        <f t="shared" si="49"/>
        <v>-98.471792186455232</v>
      </c>
      <c r="Y89" s="593">
        <f t="shared" si="50"/>
        <v>81.528207813544768</v>
      </c>
      <c r="AA89" s="150">
        <f t="shared" si="51"/>
        <v>1000000000</v>
      </c>
      <c r="AB89" s="150">
        <f t="shared" si="52"/>
        <v>1202312.25</v>
      </c>
      <c r="AD89" s="592">
        <f t="shared" si="53"/>
        <v>31.518831995209332</v>
      </c>
      <c r="AE89" s="593">
        <f t="shared" si="54"/>
        <v>-50.704960150181321</v>
      </c>
      <c r="AG89" s="592">
        <f t="shared" si="55"/>
        <v>23.734526673189649</v>
      </c>
      <c r="AH89" s="593">
        <f t="shared" si="56"/>
        <v>-46.187920976884918</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5">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1.0000011772858801</v>
      </c>
      <c r="N90" s="585">
        <f t="shared" si="41"/>
        <v>-1.5344606381748292E-3</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28.954720164690183</v>
      </c>
      <c r="X90" s="590">
        <f t="shared" si="49"/>
        <v>-98.595704960104456</v>
      </c>
      <c r="Y90" s="593">
        <f t="shared" si="50"/>
        <v>81.404295039895544</v>
      </c>
      <c r="AA90" s="150">
        <f t="shared" si="51"/>
        <v>1000000000</v>
      </c>
      <c r="AB90" s="150">
        <f t="shared" si="52"/>
        <v>1445525.2899999998</v>
      </c>
      <c r="AD90" s="592">
        <f t="shared" si="53"/>
        <v>31.061510894630921</v>
      </c>
      <c r="AE90" s="593">
        <f t="shared" si="54"/>
        <v>-48.127212022401167</v>
      </c>
      <c r="AG90" s="592">
        <f t="shared" si="55"/>
        <v>23.289410557554469</v>
      </c>
      <c r="AH90" s="593">
        <f t="shared" si="56"/>
        <v>-48.737245454888473</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5">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1.0000014154179324</v>
      </c>
      <c r="N91" s="585">
        <f t="shared" si="41"/>
        <v>-1.6825078085041865E-3</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28.052665567391671</v>
      </c>
      <c r="X91" s="590">
        <f t="shared" si="49"/>
        <v>-98.668676124110888</v>
      </c>
      <c r="Y91" s="593">
        <f t="shared" si="50"/>
        <v>81.331323875889112</v>
      </c>
      <c r="AA91" s="150">
        <f t="shared" si="51"/>
        <v>1000000000</v>
      </c>
      <c r="AB91" s="150">
        <f t="shared" si="52"/>
        <v>1737914.89</v>
      </c>
      <c r="AD91" s="592">
        <f t="shared" si="53"/>
        <v>30.640658979876125</v>
      </c>
      <c r="AE91" s="593">
        <f t="shared" si="54"/>
        <v>-45.52877778036747</v>
      </c>
      <c r="AG91" s="592">
        <f t="shared" si="55"/>
        <v>22.808472471495488</v>
      </c>
      <c r="AH91" s="593">
        <f t="shared" si="56"/>
        <v>-51.241631393228225</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5">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1.0000017015010756</v>
      </c>
      <c r="N92" s="585">
        <f t="shared" si="41"/>
        <v>-1.8447214765956721E-3</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27.153423421864463</v>
      </c>
      <c r="X92" s="590">
        <f t="shared" si="49"/>
        <v>-98.693857299442641</v>
      </c>
      <c r="Y92" s="593">
        <f t="shared" si="50"/>
        <v>81.306142700557359</v>
      </c>
      <c r="AA92" s="150">
        <f t="shared" si="51"/>
        <v>1000000000</v>
      </c>
      <c r="AB92" s="150">
        <f t="shared" si="52"/>
        <v>2089181.1600000001</v>
      </c>
      <c r="AD92" s="592">
        <f t="shared" si="53"/>
        <v>30.25684358779953</v>
      </c>
      <c r="AE92" s="593">
        <f t="shared" si="54"/>
        <v>-42.933685381100965</v>
      </c>
      <c r="AG92" s="592">
        <f t="shared" si="55"/>
        <v>22.293363584865094</v>
      </c>
      <c r="AH92" s="593">
        <f t="shared" si="56"/>
        <v>-53.678908012648115</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5">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1.0000020457840264</v>
      </c>
      <c r="N93" s="585">
        <f t="shared" si="41"/>
        <v>-2.0227607563334149E-3</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26.256983841911492</v>
      </c>
      <c r="X93" s="590">
        <f t="shared" si="49"/>
        <v>-98.67681887795257</v>
      </c>
      <c r="Y93" s="593">
        <f t="shared" si="50"/>
        <v>81.32318112204743</v>
      </c>
      <c r="AA93" s="150">
        <f t="shared" si="51"/>
        <v>1000000000</v>
      </c>
      <c r="AB93" s="150">
        <f t="shared" si="52"/>
        <v>2511908.0100000002</v>
      </c>
      <c r="AD93" s="592">
        <f t="shared" si="53"/>
        <v>29.909162695793711</v>
      </c>
      <c r="AE93" s="593">
        <f t="shared" si="54"/>
        <v>-40.360053339157048</v>
      </c>
      <c r="AG93" s="592">
        <f t="shared" si="55"/>
        <v>21.744987415439191</v>
      </c>
      <c r="AH93" s="593">
        <f t="shared" si="56"/>
        <v>-56.034657318068724</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5">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1.0000024595493922</v>
      </c>
      <c r="N94" s="585">
        <f t="shared" si="41"/>
        <v>-2.2179018693453145E-3</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25.365883441939438</v>
      </c>
      <c r="X94" s="590">
        <f t="shared" si="49"/>
        <v>-98.625101046423396</v>
      </c>
      <c r="Y94" s="593">
        <f t="shared" si="50"/>
        <v>81.374898953576604</v>
      </c>
      <c r="AA94" s="150">
        <f t="shared" si="51"/>
        <v>1000000000</v>
      </c>
      <c r="AB94" s="150">
        <f t="shared" si="52"/>
        <v>3019948.84</v>
      </c>
      <c r="AD94" s="592">
        <f t="shared" si="53"/>
        <v>29.597264906476575</v>
      </c>
      <c r="AE94" s="593">
        <f t="shared" si="54"/>
        <v>-37.833173727142679</v>
      </c>
      <c r="AG94" s="592">
        <f t="shared" si="55"/>
        <v>21.16624450200192</v>
      </c>
      <c r="AH94" s="593">
        <f t="shared" si="56"/>
        <v>-58.289690121325805</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5">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1.0000029571527667</v>
      </c>
      <c r="N95" s="585">
        <f t="shared" si="41"/>
        <v>-2.4319315284012017E-3</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24.480510680051687</v>
      </c>
      <c r="X95" s="590">
        <f t="shared" si="49"/>
        <v>-98.547698478201241</v>
      </c>
      <c r="Y95" s="593">
        <f t="shared" si="50"/>
        <v>81.452301521798759</v>
      </c>
      <c r="AA95" s="150">
        <f t="shared" si="51"/>
        <v>1000000000</v>
      </c>
      <c r="AB95" s="150">
        <f t="shared" si="52"/>
        <v>3630930.25</v>
      </c>
      <c r="AD95" s="592">
        <f t="shared" si="53"/>
        <v>29.319517398115309</v>
      </c>
      <c r="AE95" s="593">
        <f t="shared" si="54"/>
        <v>-35.371347547186325</v>
      </c>
      <c r="AG95" s="592">
        <f t="shared" si="55"/>
        <v>20.559172061110122</v>
      </c>
      <c r="AH95" s="593">
        <f t="shared" si="56"/>
        <v>-60.432687736566791</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5">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1.0000035551451203</v>
      </c>
      <c r="N96" s="585">
        <f t="shared" si="41"/>
        <v>-2.6665087990977005E-3</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23.602174401964149</v>
      </c>
      <c r="X96" s="590">
        <f t="shared" si="49"/>
        <v>-98.454558291777971</v>
      </c>
      <c r="Y96" s="593">
        <f t="shared" si="50"/>
        <v>81.545441708222029</v>
      </c>
      <c r="AA96" s="150">
        <f t="shared" si="51"/>
        <v>1000000000</v>
      </c>
      <c r="AB96" s="150">
        <f t="shared" si="52"/>
        <v>4365174.4900000012</v>
      </c>
      <c r="AD96" s="592">
        <f t="shared" si="53"/>
        <v>29.074239317427949</v>
      </c>
      <c r="AE96" s="593">
        <f t="shared" si="54"/>
        <v>-32.993991301997042</v>
      </c>
      <c r="AG96" s="592">
        <f t="shared" si="55"/>
        <v>19.926778161046244</v>
      </c>
      <c r="AH96" s="593">
        <f t="shared" si="56"/>
        <v>-62.452313490840453</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5">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1.0000042743278754</v>
      </c>
      <c r="N97" s="585">
        <f t="shared" si="41"/>
        <v>-2.9238032254878827E-3</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22.730565858659656</v>
      </c>
      <c r="X97" s="590">
        <f t="shared" si="49"/>
        <v>-98.355799332390973</v>
      </c>
      <c r="Y97" s="593">
        <f t="shared" si="50"/>
        <v>81.644200667609027</v>
      </c>
      <c r="AA97" s="150">
        <f t="shared" si="51"/>
        <v>1000000000</v>
      </c>
      <c r="AB97" s="150">
        <f t="shared" si="52"/>
        <v>5248222.8100000005</v>
      </c>
      <c r="AD97" s="592">
        <f t="shared" si="53"/>
        <v>28.859015314633968</v>
      </c>
      <c r="AE97" s="593">
        <f t="shared" si="54"/>
        <v>-30.714149618126619</v>
      </c>
      <c r="AG97" s="592">
        <f t="shared" si="55"/>
        <v>19.271192484386994</v>
      </c>
      <c r="AH97" s="593">
        <f t="shared" si="56"/>
        <v>-64.343199937366734</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5">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1.0000051387805622</v>
      </c>
      <c r="N98" s="585">
        <f t="shared" si="41"/>
        <v>-3.205856689329449E-3</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21.866264423071392</v>
      </c>
      <c r="X98" s="590">
        <f t="shared" si="49"/>
        <v>-98.261478670355302</v>
      </c>
      <c r="Y98" s="593">
        <f t="shared" si="50"/>
        <v>81.738521329644698</v>
      </c>
      <c r="AA98" s="150">
        <f t="shared" si="51"/>
        <v>1000000000</v>
      </c>
      <c r="AB98" s="150">
        <f t="shared" si="52"/>
        <v>6309641.6100000003</v>
      </c>
      <c r="AD98" s="592">
        <f t="shared" si="53"/>
        <v>28.671515675596254</v>
      </c>
      <c r="AE98" s="593">
        <f t="shared" si="54"/>
        <v>-28.544980173974135</v>
      </c>
      <c r="AG98" s="592">
        <f t="shared" si="55"/>
        <v>18.595350827938493</v>
      </c>
      <c r="AH98" s="593">
        <f t="shared" si="56"/>
        <v>-66.09995067859056</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5">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1.0000061779743818</v>
      </c>
      <c r="N99" s="585">
        <f t="shared" si="41"/>
        <v>-3.5150939036938614E-3</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21.008984660664822</v>
      </c>
      <c r="X99" s="590">
        <f t="shared" si="49"/>
        <v>-98.181039335595273</v>
      </c>
      <c r="Y99" s="593">
        <f t="shared" si="50"/>
        <v>81.818960664404727</v>
      </c>
      <c r="AA99" s="150">
        <f t="shared" si="51"/>
        <v>1000000000</v>
      </c>
      <c r="AB99" s="150">
        <f t="shared" si="52"/>
        <v>7585617.6399999987</v>
      </c>
      <c r="AD99" s="592">
        <f t="shared" si="53"/>
        <v>28.509120712455584</v>
      </c>
      <c r="AE99" s="593">
        <f t="shared" si="54"/>
        <v>-26.494907869196108</v>
      </c>
      <c r="AG99" s="592">
        <f t="shared" si="55"/>
        <v>17.901620124072871</v>
      </c>
      <c r="AH99" s="593">
        <f t="shared" si="56"/>
        <v>-67.720858742939967</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5">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1.0000074279465445</v>
      </c>
      <c r="N100" s="585">
        <f t="shared" si="41"/>
        <v>-3.8543223960063279E-3</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20.157933011077304</v>
      </c>
      <c r="X100" s="590">
        <f t="shared" si="49"/>
        <v>-98.123147430245936</v>
      </c>
      <c r="Y100" s="593">
        <f t="shared" si="50"/>
        <v>81.876852569754064</v>
      </c>
      <c r="AA100" s="150">
        <f t="shared" si="51"/>
        <v>1000000000</v>
      </c>
      <c r="AB100" s="150">
        <f t="shared" si="52"/>
        <v>9120400</v>
      </c>
      <c r="AD100" s="592">
        <f t="shared" si="53"/>
        <v>28.369153906235059</v>
      </c>
      <c r="AE100" s="593">
        <f t="shared" si="54"/>
        <v>-24.568813980946896</v>
      </c>
      <c r="AG100" s="592">
        <f t="shared" si="55"/>
        <v>17.191923274458997</v>
      </c>
      <c r="AH100" s="593">
        <f t="shared" si="56"/>
        <v>-69.206555445789064</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5">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1.0000089300032269</v>
      </c>
      <c r="N101" s="585">
        <f t="shared" si="41"/>
        <v>-4.2260943608151266E-3</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19.313450218925439</v>
      </c>
      <c r="X101" s="590">
        <f t="shared" si="49"/>
        <v>-98.095690371905249</v>
      </c>
      <c r="Y101" s="593">
        <f t="shared" si="50"/>
        <v>81.904309628094751</v>
      </c>
      <c r="AA101" s="150">
        <f t="shared" si="51"/>
        <v>1000000000</v>
      </c>
      <c r="AB101" s="150">
        <f t="shared" si="52"/>
        <v>10964707.690000001</v>
      </c>
      <c r="AD101" s="592">
        <f t="shared" si="53"/>
        <v>28.249204472810668</v>
      </c>
      <c r="AE101" s="593">
        <f t="shared" si="54"/>
        <v>-22.771828884830136</v>
      </c>
      <c r="AG101" s="592">
        <f t="shared" si="55"/>
        <v>16.469057561457319</v>
      </c>
      <c r="AH101" s="593">
        <f t="shared" si="56"/>
        <v>-70.556936507326938</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5">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1.0000107364033495</v>
      </c>
      <c r="N102" s="585">
        <f t="shared" si="41"/>
        <v>-4.633855261377229E-3</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18.474298413421526</v>
      </c>
      <c r="X102" s="590">
        <f t="shared" si="49"/>
        <v>-98.105613008635785</v>
      </c>
      <c r="Y102" s="593">
        <f t="shared" si="50"/>
        <v>81.894386991364215</v>
      </c>
      <c r="AA102" s="150">
        <f t="shared" si="51"/>
        <v>1000000000</v>
      </c>
      <c r="AB102" s="150">
        <f t="shared" si="52"/>
        <v>13182708.640000001</v>
      </c>
      <c r="AD102" s="592">
        <f t="shared" si="53"/>
        <v>28.146748587876502</v>
      </c>
      <c r="AE102" s="593">
        <f t="shared" si="54"/>
        <v>-21.103524831248755</v>
      </c>
      <c r="AG102" s="592">
        <f t="shared" si="55"/>
        <v>15.734366794525297</v>
      </c>
      <c r="AH102" s="593">
        <f t="shared" si="56"/>
        <v>-71.77551169650296</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5">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1.0000129080270557</v>
      </c>
      <c r="N103" s="585">
        <f t="shared" si="41"/>
        <v>-5.0809227920771199E-3</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17.64019448306653</v>
      </c>
      <c r="X103" s="590">
        <f t="shared" si="49"/>
        <v>-98.159117572155495</v>
      </c>
      <c r="Y103" s="593">
        <f t="shared" si="50"/>
        <v>81.840882427844505</v>
      </c>
      <c r="AA103" s="150">
        <f t="shared" si="51"/>
        <v>1000000000</v>
      </c>
      <c r="AB103" s="150">
        <f t="shared" si="52"/>
        <v>15849157.209999999</v>
      </c>
      <c r="AD103" s="592">
        <f t="shared" si="53"/>
        <v>28.059575234616162</v>
      </c>
      <c r="AE103" s="593">
        <f t="shared" si="54"/>
        <v>-19.563786053553503</v>
      </c>
      <c r="AG103" s="592">
        <f t="shared" si="55"/>
        <v>14.989846220368966</v>
      </c>
      <c r="AH103" s="593">
        <f t="shared" si="56"/>
        <v>-72.864887731215532</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5">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1.0000155189173394</v>
      </c>
      <c r="N104" s="585">
        <f t="shared" si="41"/>
        <v>-5.5711249572636418E-3</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16.810447604983455</v>
      </c>
      <c r="X104" s="590">
        <f t="shared" si="49"/>
        <v>-98.261741655395099</v>
      </c>
      <c r="Y104" s="593">
        <f t="shared" si="50"/>
        <v>81.738258344604901</v>
      </c>
      <c r="AA104" s="150">
        <f t="shared" si="51"/>
        <v>1000000000</v>
      </c>
      <c r="AB104" s="150">
        <f t="shared" si="52"/>
        <v>19054971.039999999</v>
      </c>
      <c r="AD104" s="592">
        <f t="shared" si="53"/>
        <v>27.985610985880601</v>
      </c>
      <c r="AE104" s="593">
        <f t="shared" si="54"/>
        <v>-18.150227499566387</v>
      </c>
      <c r="AG104" s="592">
        <f t="shared" si="55"/>
        <v>14.236960271466232</v>
      </c>
      <c r="AH104" s="593">
        <f t="shared" si="56"/>
        <v>-73.828710562059314</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5">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1.0000186574496279</v>
      </c>
      <c r="N105" s="585">
        <f t="shared" si="41"/>
        <v>-6.1085447610438109E-3</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15.984558533228039</v>
      </c>
      <c r="X105" s="590">
        <f t="shared" si="49"/>
        <v>-98.418494128508087</v>
      </c>
      <c r="Y105" s="593">
        <f t="shared" si="50"/>
        <v>81.581505871491913</v>
      </c>
      <c r="AA105" s="150">
        <f t="shared" si="51"/>
        <v>1000000000</v>
      </c>
      <c r="AB105" s="150">
        <f t="shared" si="52"/>
        <v>22908667.690000001</v>
      </c>
      <c r="AD105" s="592">
        <f t="shared" si="53"/>
        <v>27.923002819855004</v>
      </c>
      <c r="AE105" s="593">
        <f t="shared" si="54"/>
        <v>-16.859708903158623</v>
      </c>
      <c r="AG105" s="592">
        <f t="shared" si="55"/>
        <v>13.477160278297724</v>
      </c>
      <c r="AH105" s="593">
        <f t="shared" si="56"/>
        <v>-74.670578167968458</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5">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1.0000224313715624</v>
      </c>
      <c r="N106" s="585">
        <f t="shared" si="41"/>
        <v>-6.6979029949757862E-3</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15.161691317444214</v>
      </c>
      <c r="X106" s="590">
        <f t="shared" si="49"/>
        <v>-98.63411340380479</v>
      </c>
      <c r="Y106" s="593">
        <f t="shared" si="50"/>
        <v>81.36588659619521</v>
      </c>
      <c r="AA106" s="150">
        <f t="shared" si="51"/>
        <v>1000000000</v>
      </c>
      <c r="AB106" s="150">
        <f t="shared" si="52"/>
        <v>27542553.610000003</v>
      </c>
      <c r="AD106" s="592">
        <f t="shared" si="53"/>
        <v>27.870075210040198</v>
      </c>
      <c r="AE106" s="593">
        <f t="shared" si="54"/>
        <v>-15.687807038319542</v>
      </c>
      <c r="AG106" s="592">
        <f t="shared" si="55"/>
        <v>12.711404604384143</v>
      </c>
      <c r="AH106" s="593">
        <f t="shared" si="56"/>
        <v>-75.394399535249065</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5">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1.0000234881326491</v>
      </c>
      <c r="N107" s="585">
        <f t="shared" si="41"/>
        <v>-6.8538562743469837E-3</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14.956484469240635</v>
      </c>
      <c r="X107" s="590">
        <f t="shared" si="49"/>
        <v>-98.697715931340099</v>
      </c>
      <c r="Y107" s="593">
        <f t="shared" si="50"/>
        <v>81.302284068659901</v>
      </c>
      <c r="AA107" s="150">
        <f t="shared" si="51"/>
        <v>1000000000</v>
      </c>
      <c r="AB107" s="150">
        <f t="shared" si="52"/>
        <v>28840122.090000004</v>
      </c>
      <c r="AD107" s="592">
        <f t="shared" si="53"/>
        <v>27.858186902473484</v>
      </c>
      <c r="AE107" s="593">
        <f t="shared" si="54"/>
        <v>-15.412989617142566</v>
      </c>
      <c r="AG107" s="592">
        <f t="shared" si="55"/>
        <v>12.519257305117025</v>
      </c>
      <c r="AH107" s="593">
        <f t="shared" si="56"/>
        <v>-75.55723401947985</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5">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1.0000240384635473</v>
      </c>
      <c r="N108" s="585">
        <f t="shared" si="41"/>
        <v>-6.9336832949597324E-3</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14.853304156554657</v>
      </c>
      <c r="X108" s="590">
        <f t="shared" si="49"/>
        <v>-98.731231907822021</v>
      </c>
      <c r="Y108" s="593">
        <f t="shared" si="50"/>
        <v>81.268768092177979</v>
      </c>
      <c r="AA108" s="150">
        <f t="shared" si="51"/>
        <v>1000000000</v>
      </c>
      <c r="AB108" s="150">
        <f t="shared" si="52"/>
        <v>29515859.122500002</v>
      </c>
      <c r="AD108" s="592">
        <f t="shared" si="53"/>
        <v>27.852393275469272</v>
      </c>
      <c r="AE108" s="593">
        <f t="shared" si="54"/>
        <v>-15.277407232066796</v>
      </c>
      <c r="AG108" s="592">
        <f t="shared" si="55"/>
        <v>12.422480511342787</v>
      </c>
      <c r="AH108" s="593">
        <f t="shared" si="56"/>
        <v>-75.636463033440236</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5">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1.0000245951669449</v>
      </c>
      <c r="N109" s="585">
        <f t="shared" si="41"/>
        <v>-7.0135102272034042E-3</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14.751341990593321</v>
      </c>
      <c r="X109" s="590">
        <f t="shared" si="49"/>
        <v>-98.765374392959473</v>
      </c>
      <c r="Y109" s="593">
        <f t="shared" si="50"/>
        <v>81.234625607040527</v>
      </c>
      <c r="AA109" s="150">
        <f t="shared" si="51"/>
        <v>1000000000</v>
      </c>
      <c r="AB109" s="150">
        <f t="shared" si="52"/>
        <v>30199421.159999996</v>
      </c>
      <c r="AD109" s="592">
        <f t="shared" si="53"/>
        <v>27.846785819115741</v>
      </c>
      <c r="AE109" s="593">
        <f t="shared" si="54"/>
        <v>-15.145126155867432</v>
      </c>
      <c r="AG109" s="592">
        <f t="shared" si="55"/>
        <v>12.326742716081313</v>
      </c>
      <c r="AH109" s="593">
        <f t="shared" si="56"/>
        <v>-75.713021953070182</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5">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1.0000251713713233</v>
      </c>
      <c r="N110" s="585">
        <f t="shared" si="41"/>
        <v>-7.0951875713449837E-3</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14.648246774188465</v>
      </c>
      <c r="X110" s="590">
        <f t="shared" si="49"/>
        <v>-98.800938926101651</v>
      </c>
      <c r="Y110" s="593">
        <f t="shared" si="50"/>
        <v>81.199061073898349</v>
      </c>
      <c r="AA110" s="150">
        <f t="shared" si="51"/>
        <v>1000000000</v>
      </c>
      <c r="AB110" s="150">
        <f t="shared" si="52"/>
        <v>30906928.359999996</v>
      </c>
      <c r="AD110" s="592">
        <f t="shared" si="53"/>
        <v>27.841232731703954</v>
      </c>
      <c r="AE110" s="593">
        <f t="shared" si="54"/>
        <v>-15.013087850630567</v>
      </c>
      <c r="AG110" s="592">
        <f t="shared" si="55"/>
        <v>12.229839069479675</v>
      </c>
      <c r="AH110" s="593">
        <f t="shared" si="56"/>
        <v>-75.78868188320331</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5">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1.0000257542470503</v>
      </c>
      <c r="N111" s="585">
        <f t="shared" si="41"/>
        <v>-7.1768648208184165E-3</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14.546366506822206</v>
      </c>
      <c r="X111" s="590">
        <f t="shared" si="49"/>
        <v>-98.837123628063623</v>
      </c>
      <c r="Y111" s="593">
        <f t="shared" si="50"/>
        <v>81.162876371936377</v>
      </c>
      <c r="AA111" s="150">
        <f t="shared" si="51"/>
        <v>1000000000</v>
      </c>
      <c r="AB111" s="150">
        <f t="shared" si="52"/>
        <v>31622627.559999995</v>
      </c>
      <c r="AD111" s="592">
        <f t="shared" si="53"/>
        <v>27.835858068307804</v>
      </c>
      <c r="AE111" s="593">
        <f t="shared" si="54"/>
        <v>-14.884291374875332</v>
      </c>
      <c r="AG111" s="592">
        <f t="shared" si="55"/>
        <v>12.133979296757126</v>
      </c>
      <c r="AH111" s="593">
        <f t="shared" si="56"/>
        <v>-75.861725192572507</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5">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1.0000263576916359</v>
      </c>
      <c r="N112" s="585">
        <f t="shared" si="41"/>
        <v>-7.2604562816670389E-3</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14.443326269738527</v>
      </c>
      <c r="X112" s="590">
        <f t="shared" si="49"/>
        <v>-98.87478062658883</v>
      </c>
      <c r="Y112" s="593">
        <f t="shared" si="50"/>
        <v>81.12521937341117</v>
      </c>
      <c r="AA112" s="150">
        <f t="shared" si="51"/>
        <v>1000000000</v>
      </c>
      <c r="AB112" s="150">
        <f t="shared" si="52"/>
        <v>32363583.209999997</v>
      </c>
      <c r="AD112" s="592">
        <f t="shared" si="53"/>
        <v>27.830534170431282</v>
      </c>
      <c r="AE112" s="593">
        <f t="shared" si="54"/>
        <v>-14.755726718343322</v>
      </c>
      <c r="AG112" s="592">
        <f t="shared" si="55"/>
        <v>12.036931533123646</v>
      </c>
      <c r="AH112" s="593">
        <f t="shared" si="56"/>
        <v>-75.933859463709865</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5">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1.0000269681239295</v>
      </c>
      <c r="N113" s="585">
        <f t="shared" si="41"/>
        <v>-7.3440476410486562E-3</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14.341498467202625</v>
      </c>
      <c r="X113" s="590">
        <f t="shared" si="49"/>
        <v>-98.913051412360502</v>
      </c>
      <c r="Y113" s="593">
        <f t="shared" si="50"/>
        <v>81.086948587639498</v>
      </c>
      <c r="AA113" s="150">
        <f t="shared" si="51"/>
        <v>1000000000</v>
      </c>
      <c r="AB113" s="150">
        <f t="shared" si="52"/>
        <v>33113119.359999996</v>
      </c>
      <c r="AD113" s="592">
        <f t="shared" si="53"/>
        <v>27.825381320452408</v>
      </c>
      <c r="AE113" s="593">
        <f t="shared" si="54"/>
        <v>-14.630346382389121</v>
      </c>
      <c r="AG113" s="592">
        <f t="shared" si="55"/>
        <v>11.940932850290869</v>
      </c>
      <c r="AH113" s="593">
        <f t="shared" si="56"/>
        <v>-76.003428601758202</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5">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1.0000275997651513</v>
      </c>
      <c r="N114" s="585">
        <f t="shared" si="41"/>
        <v>-7.4295532001735316E-3</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14.238563106373288</v>
      </c>
      <c r="X114" s="590">
        <f t="shared" si="49"/>
        <v>-98.95281573475755</v>
      </c>
      <c r="Y114" s="593">
        <f t="shared" si="50"/>
        <v>81.04718426524245</v>
      </c>
      <c r="AA114" s="150">
        <f t="shared" si="51"/>
        <v>1000000000</v>
      </c>
      <c r="AB114" s="150">
        <f t="shared" si="52"/>
        <v>33888697.959999993</v>
      </c>
      <c r="AD114" s="592">
        <f t="shared" si="53"/>
        <v>27.820279742473417</v>
      </c>
      <c r="AE114" s="593">
        <f t="shared" si="54"/>
        <v>-14.505284711367718</v>
      </c>
      <c r="AG114" s="592">
        <f t="shared" si="55"/>
        <v>11.84379878300199</v>
      </c>
      <c r="AH114" s="593">
        <f t="shared" si="56"/>
        <v>-76.072023713350987</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5">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1.0000282387177664</v>
      </c>
      <c r="N115" s="585">
        <f t="shared" si="41"/>
        <v>-7.5150586506586379E-3</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14.136836477243271</v>
      </c>
      <c r="X115" s="590">
        <f t="shared" si="49"/>
        <v>-98.993186506117723</v>
      </c>
      <c r="Y115" s="593">
        <f t="shared" si="50"/>
        <v>81.006813493882277</v>
      </c>
      <c r="AA115" s="150">
        <f t="shared" si="51"/>
        <v>1000000000</v>
      </c>
      <c r="AB115" s="150">
        <f t="shared" si="52"/>
        <v>34673254.559999995</v>
      </c>
      <c r="AD115" s="592">
        <f t="shared" si="53"/>
        <v>27.815341935947711</v>
      </c>
      <c r="AE115" s="593">
        <f t="shared" si="54"/>
        <v>-14.383346965659378</v>
      </c>
      <c r="AG115" s="592">
        <f t="shared" si="55"/>
        <v>11.747717723023246</v>
      </c>
      <c r="AH115" s="593">
        <f t="shared" si="56"/>
        <v>-76.138107128778941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5">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1.0000289005043153</v>
      </c>
      <c r="N116" s="585">
        <f t="shared" si="41"/>
        <v>-7.6026059084815115E-3</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14.033902989159547</v>
      </c>
      <c r="X116" s="590">
        <f t="shared" si="49"/>
        <v>-99.035131774784631</v>
      </c>
      <c r="Y116" s="593">
        <f t="shared" si="50"/>
        <v>80.964868225215369</v>
      </c>
      <c r="AA116" s="150">
        <f t="shared" si="51"/>
        <v>1000000000</v>
      </c>
      <c r="AB116" s="150">
        <f t="shared" si="52"/>
        <v>35485849</v>
      </c>
      <c r="AD116" s="592">
        <f t="shared" si="53"/>
        <v>27.810448503808711</v>
      </c>
      <c r="AE116" s="593">
        <f t="shared" si="54"/>
        <v>-14.26163094552671</v>
      </c>
      <c r="AG116" s="592">
        <f t="shared" si="55"/>
        <v>11.650410667216008</v>
      </c>
      <c r="AH116" s="593">
        <f t="shared" si="56"/>
        <v>-76.203251460429371</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5">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1.0000295699555979</v>
      </c>
      <c r="N117" s="585">
        <f t="shared" si="41"/>
        <v>-7.6901530497616088E-3</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13.932176912043463</v>
      </c>
      <c r="X117" s="590">
        <f t="shared" si="49"/>
        <v>-99.077677018050423</v>
      </c>
      <c r="Y117" s="593">
        <f t="shared" si="50"/>
        <v>80.922322981949577</v>
      </c>
      <c r="AA117" s="150">
        <f t="shared" si="51"/>
        <v>1000000000</v>
      </c>
      <c r="AB117" s="150">
        <f t="shared" si="52"/>
        <v>36307855.360000007</v>
      </c>
      <c r="AD117" s="592">
        <f t="shared" si="53"/>
        <v>27.805712142185783</v>
      </c>
      <c r="AE117" s="593">
        <f t="shared" si="54"/>
        <v>-14.142984841287962</v>
      </c>
      <c r="AG117" s="592">
        <f t="shared" si="55"/>
        <v>11.55416238398206</v>
      </c>
      <c r="AH117" s="593">
        <f t="shared" si="56"/>
        <v>-76.26593204942516</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5">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1.0000302629558611</v>
      </c>
      <c r="N118" s="585">
        <f t="shared" si="41"/>
        <v>-7.7797419848216554E-3</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13.829298334789966</v>
      </c>
      <c r="X118" s="590">
        <f t="shared" si="49"/>
        <v>-99.121817791214582</v>
      </c>
      <c r="Y118" s="593">
        <f t="shared" si="50"/>
        <v>80.878182208785418</v>
      </c>
      <c r="AA118" s="150">
        <f t="shared" si="51"/>
        <v>1000000000</v>
      </c>
      <c r="AB118" s="150">
        <f t="shared" si="52"/>
        <v>37158777.640000001</v>
      </c>
      <c r="AD118" s="592">
        <f t="shared" si="53"/>
        <v>27.801020816679216</v>
      </c>
      <c r="AE118" s="593">
        <f t="shared" si="54"/>
        <v>-14.024648114607807</v>
      </c>
      <c r="AG118" s="592">
        <f t="shared" si="55"/>
        <v>11.456742584714984</v>
      </c>
      <c r="AH118" s="593">
        <f t="shared" si="56"/>
        <v>-76.327607654285089</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5">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1.0000309639825329</v>
      </c>
      <c r="N119" s="585">
        <f t="shared" si="41"/>
        <v>-7.8693307949961825E-3</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13.727624585552862</v>
      </c>
      <c r="X119" s="590">
        <f t="shared" si="49"/>
        <v>-99.166551128510022</v>
      </c>
      <c r="Y119" s="593">
        <f t="shared" si="50"/>
        <v>80.833448871489978</v>
      </c>
      <c r="AA119" s="150">
        <f t="shared" si="51"/>
        <v>1000000000</v>
      </c>
      <c r="AB119" s="150">
        <f t="shared" si="52"/>
        <v>38019556</v>
      </c>
      <c r="AD119" s="592">
        <f t="shared" si="53"/>
        <v>27.796479935543076</v>
      </c>
      <c r="AE119" s="593">
        <f t="shared" si="54"/>
        <v>-13.909324309949014</v>
      </c>
      <c r="AG119" s="592">
        <f t="shared" si="55"/>
        <v>11.360385994896644</v>
      </c>
      <c r="AH119" s="593">
        <f t="shared" si="56"/>
        <v>-76.386869541355765</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5">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1.0000316892899042</v>
      </c>
      <c r="N120" s="585">
        <f t="shared" si="41"/>
        <v>-7.96096138468789E-3</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13.624850080318129</v>
      </c>
      <c r="X120" s="590">
        <f t="shared" si="49"/>
        <v>-99.212899165752958</v>
      </c>
      <c r="Y120" s="593">
        <f t="shared" si="50"/>
        <v>80.787100834247042</v>
      </c>
      <c r="AA120" s="150">
        <f t="shared" si="51"/>
        <v>1000000000</v>
      </c>
      <c r="AB120" s="150">
        <f t="shared" si="52"/>
        <v>38910148.840000004</v>
      </c>
      <c r="AD120" s="592">
        <f t="shared" si="53"/>
        <v>27.791984372576756</v>
      </c>
      <c r="AE120" s="593">
        <f t="shared" si="54"/>
        <v>-13.794388929212873</v>
      </c>
      <c r="AG120" s="592">
        <f t="shared" si="55"/>
        <v>11.262910151421675</v>
      </c>
      <c r="AH120" s="593">
        <f t="shared" si="56"/>
        <v>-76.445067323992618</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5">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1.0000324229936943</v>
      </c>
      <c r="N121" s="585">
        <f t="shared" si="41"/>
        <v>-8.0525918406938821E-3</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13.523276654355572</v>
      </c>
      <c r="X121" s="590">
        <f t="shared" si="49"/>
        <v>-99.259831517632179</v>
      </c>
      <c r="Y121" s="593">
        <f t="shared" si="50"/>
        <v>80.740168482367821</v>
      </c>
      <c r="AA121" s="150">
        <f t="shared" si="51"/>
        <v>1000000000</v>
      </c>
      <c r="AB121" s="150">
        <f t="shared" si="52"/>
        <v>39811052.160000004</v>
      </c>
      <c r="AD121" s="592">
        <f t="shared" si="53"/>
        <v>27.787632730715714</v>
      </c>
      <c r="AE121" s="593">
        <f t="shared" si="54"/>
        <v>-13.68240696383663</v>
      </c>
      <c r="AG121" s="592">
        <f t="shared" si="55"/>
        <v>11.166500694174912</v>
      </c>
      <c r="AH121" s="593">
        <f t="shared" si="56"/>
        <v>-76.500903111363357</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5">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1.0000331822464128</v>
      </c>
      <c r="N122" s="585">
        <f t="shared" si="41"/>
        <v>-8.1463278705884538E-3</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13.420582209883358</v>
      </c>
      <c r="X122" s="590">
        <f t="shared" si="49"/>
        <v>-99.308429258664816</v>
      </c>
      <c r="Y122" s="593">
        <f t="shared" si="50"/>
        <v>80.691570741335184</v>
      </c>
      <c r="AA122" s="150">
        <f t="shared" si="51"/>
        <v>1000000000</v>
      </c>
      <c r="AB122" s="150">
        <f t="shared" si="52"/>
        <v>40743327.302500002</v>
      </c>
      <c r="AD122" s="592">
        <f t="shared" si="53"/>
        <v>27.783323474810157</v>
      </c>
      <c r="AE122" s="593">
        <f t="shared" si="54"/>
        <v>-13.570809495424088</v>
      </c>
      <c r="AG122" s="592">
        <f t="shared" si="55"/>
        <v>11.068956046249045</v>
      </c>
      <c r="AH122" s="593">
        <f t="shared" si="56"/>
        <v>-76.555658430762691</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5">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1.0000339502858528</v>
      </c>
      <c r="N123" s="585">
        <f t="shared" si="41"/>
        <v>-8.2400637573255813E-3</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13.319085633651142</v>
      </c>
      <c r="X123" s="590">
        <f t="shared" si="49"/>
        <v>-99.357603092070377</v>
      </c>
      <c r="Y123" s="593">
        <f t="shared" si="50"/>
        <v>80.642396907929623</v>
      </c>
      <c r="AA123" s="150">
        <f t="shared" si="51"/>
        <v>1000000000</v>
      </c>
      <c r="AB123" s="150">
        <f t="shared" si="52"/>
        <v>41686392.25</v>
      </c>
      <c r="AD123" s="592">
        <f t="shared" si="53"/>
        <v>27.779151926594565</v>
      </c>
      <c r="AE123" s="593">
        <f t="shared" si="54"/>
        <v>-13.462107740226545</v>
      </c>
      <c r="AG123" s="592">
        <f t="shared" si="55"/>
        <v>10.97248121085736</v>
      </c>
      <c r="AH123" s="593">
        <f t="shared" si="56"/>
        <v>-76.608101735354566</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5">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1.000034745727614</v>
      </c>
      <c r="N124" s="585">
        <f t="shared" si="41"/>
        <v>-8.3360328201251676E-3</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13.216382310565999</v>
      </c>
      <c r="X124" s="590">
        <f t="shared" si="49"/>
        <v>-99.408527697078554</v>
      </c>
      <c r="Y124" s="593">
        <f t="shared" si="50"/>
        <v>80.591472302921446</v>
      </c>
      <c r="AA124" s="150">
        <f t="shared" si="51"/>
        <v>1000000000</v>
      </c>
      <c r="AB124" s="150">
        <f t="shared" si="52"/>
        <v>42663104.890000001</v>
      </c>
      <c r="AD124" s="592">
        <f t="shared" si="53"/>
        <v>27.775017385272896</v>
      </c>
      <c r="AE124" s="593">
        <f t="shared" si="54"/>
        <v>-13.353719556681536</v>
      </c>
      <c r="AG124" s="592">
        <f t="shared" si="55"/>
        <v>10.874792875123527</v>
      </c>
      <c r="AH124" s="593">
        <f t="shared" si="56"/>
        <v>-76.65947820841869</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5">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1.0000355503797413</v>
      </c>
      <c r="N125" s="585">
        <f t="shared" si="41"/>
        <v>-8.432001729370699E-3</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13.114875681764131</v>
      </c>
      <c r="X125" s="590">
        <f t="shared" si="49"/>
        <v>-99.460020924837934</v>
      </c>
      <c r="Y125" s="593">
        <f t="shared" si="50"/>
        <v>80.539979075162066</v>
      </c>
      <c r="AA125" s="150">
        <f t="shared" si="51"/>
        <v>1000000000</v>
      </c>
      <c r="AB125" s="150">
        <f t="shared" si="52"/>
        <v>43651127.609999992</v>
      </c>
      <c r="AD125" s="592">
        <f t="shared" si="53"/>
        <v>27.771014795507433</v>
      </c>
      <c r="AE125" s="593">
        <f t="shared" si="54"/>
        <v>-13.248174701181737</v>
      </c>
      <c r="AG125" s="592">
        <f t="shared" si="55"/>
        <v>10.778179393936364</v>
      </c>
      <c r="AH125" s="593">
        <f t="shared" si="56"/>
        <v>-76.708588131400134</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5">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1.0000363832914936</v>
      </c>
      <c r="N126" s="585">
        <f t="shared" si="41"/>
        <v>-8.5302037968484033E-3</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13.012216193174353</v>
      </c>
      <c r="X126" s="590">
        <f t="shared" si="49"/>
        <v>-99.513283507192639</v>
      </c>
      <c r="Y126" s="593">
        <f t="shared" si="50"/>
        <v>80.486716492807361</v>
      </c>
      <c r="AA126" s="150">
        <f t="shared" si="51"/>
        <v>1000000000</v>
      </c>
      <c r="AB126" s="150">
        <f t="shared" si="52"/>
        <v>44673850.822500005</v>
      </c>
      <c r="AD126" s="592">
        <f t="shared" si="53"/>
        <v>27.767049633874379</v>
      </c>
      <c r="AE126" s="593">
        <f t="shared" si="54"/>
        <v>-13.143022035868446</v>
      </c>
      <c r="AG126" s="592">
        <f t="shared" si="55"/>
        <v>10.680406813785323</v>
      </c>
      <c r="AH126" s="593">
        <f t="shared" si="56"/>
        <v>-76.756572130996517</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5">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1.0000372258472265</v>
      </c>
      <c r="N127" s="585">
        <f t="shared" si="41"/>
        <v>-8.6284056997978607E-3</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12.910750975424126</v>
      </c>
      <c r="X127" s="590">
        <f t="shared" si="49"/>
        <v>-99.567106439546308</v>
      </c>
      <c r="Y127" s="593">
        <f t="shared" si="50"/>
        <v>80.432893560453692</v>
      </c>
      <c r="AA127" s="150">
        <f t="shared" si="51"/>
        <v>1000000000</v>
      </c>
      <c r="AB127" s="150">
        <f t="shared" si="52"/>
        <v>45708416.640000001</v>
      </c>
      <c r="AD127" s="592">
        <f t="shared" si="53"/>
        <v>27.763210742116943</v>
      </c>
      <c r="AE127" s="593">
        <f t="shared" si="54"/>
        <v>-13.040657738062333</v>
      </c>
      <c r="AG127" s="592">
        <f t="shared" si="55"/>
        <v>10.583712816413948</v>
      </c>
      <c r="AH127" s="593">
        <f t="shared" si="56"/>
        <v>-76.802336847542506</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5">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1.0000380980968446</v>
      </c>
      <c r="N128" s="585">
        <f t="shared" si="41"/>
        <v>-8.7289045509620928E-3</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12.808119424635612</v>
      </c>
      <c r="X128" s="590">
        <f t="shared" si="49"/>
        <v>-99.622751081607262</v>
      </c>
      <c r="Y128" s="593">
        <f t="shared" si="50"/>
        <v>80.377248918392738</v>
      </c>
      <c r="AA128" s="150">
        <f t="shared" si="51"/>
        <v>1000000000</v>
      </c>
      <c r="AB128" s="150">
        <f t="shared" si="52"/>
        <v>46779444.202500001</v>
      </c>
      <c r="AD128" s="592">
        <f t="shared" si="53"/>
        <v>27.759407011779484</v>
      </c>
      <c r="AE128" s="593">
        <f t="shared" si="54"/>
        <v>-12.938692522580867</v>
      </c>
      <c r="AG128" s="592">
        <f t="shared" si="55"/>
        <v>10.485850086165096</v>
      </c>
      <c r="AH128" s="593">
        <f t="shared" si="56"/>
        <v>-76.846950354962246</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5">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1.000038980446849</v>
      </c>
      <c r="N129" s="585">
        <f t="shared" si="41"/>
        <v>-8.8294032257979528E-3</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12.706680061057776</v>
      </c>
      <c r="X129" s="590">
        <f t="shared" si="49"/>
        <v>-99.678947779444641</v>
      </c>
      <c r="Y129" s="593">
        <f t="shared" si="50"/>
        <v>80.321052220555359</v>
      </c>
      <c r="AA129" s="150">
        <f t="shared" si="51"/>
        <v>1000000000</v>
      </c>
      <c r="AB129" s="150">
        <f t="shared" si="52"/>
        <v>47862874.890000001</v>
      </c>
      <c r="AD129" s="592">
        <f t="shared" si="53"/>
        <v>27.755724116855411</v>
      </c>
      <c r="AE129" s="593">
        <f t="shared" si="54"/>
        <v>-12.839461986451575</v>
      </c>
      <c r="AG129" s="592">
        <f t="shared" si="55"/>
        <v>10.389069783678995</v>
      </c>
      <c r="AH129" s="593">
        <f t="shared" si="56"/>
        <v>-76.889390595682869</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5">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1.0000398939841395</v>
      </c>
      <c r="N130" s="585">
        <f t="shared" si="41"/>
        <v>-8.9322626371752811E-3</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12.60406289557406</v>
      </c>
      <c r="X130" s="590">
        <f t="shared" si="49"/>
        <v>-99.737018965048875</v>
      </c>
      <c r="Y130" s="593">
        <f t="shared" si="50"/>
        <v>80.262981034951125</v>
      </c>
      <c r="AA130" s="150">
        <f t="shared" si="51"/>
        <v>1000000000</v>
      </c>
      <c r="AB130" s="150">
        <f t="shared" si="52"/>
        <v>48984601.209999993</v>
      </c>
      <c r="AD130" s="592">
        <f t="shared" si="53"/>
        <v>27.752074289286995</v>
      </c>
      <c r="AE130" s="593">
        <f t="shared" si="54"/>
        <v>-12.740640285347441</v>
      </c>
      <c r="AG130" s="592">
        <f t="shared" si="55"/>
        <v>10.291113009812623</v>
      </c>
      <c r="AH130" s="593">
        <f t="shared" si="56"/>
        <v>-76.93065199091582</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5">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1.0000408181018912</v>
      </c>
      <c r="N131" s="585">
        <f t="shared" si="41"/>
        <v>-9.0351218595402082E-3</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12.502636116429592</v>
      </c>
      <c r="X131" s="590">
        <f t="shared" si="49"/>
        <v>-99.79563387803141</v>
      </c>
      <c r="Y131" s="593">
        <f t="shared" si="50"/>
        <v>80.20436612196859</v>
      </c>
      <c r="AA131" s="150">
        <f t="shared" si="51"/>
        <v>1000000000</v>
      </c>
      <c r="AB131" s="150">
        <f t="shared" si="52"/>
        <v>50119320.25</v>
      </c>
      <c r="AD131" s="592">
        <f t="shared" si="53"/>
        <v>27.748540092993039</v>
      </c>
      <c r="AE131" s="593">
        <f t="shared" si="54"/>
        <v>-12.644500706923518</v>
      </c>
      <c r="AG131" s="592">
        <f t="shared" si="55"/>
        <v>10.194242586142879</v>
      </c>
      <c r="AH131" s="593">
        <f t="shared" si="56"/>
        <v>-76.969785016284149</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5">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1.0000417743782777</v>
      </c>
      <c r="N132" s="585">
        <f t="shared" si="41"/>
        <v>-9.1403417967388378E-3</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12.40008377248423</v>
      </c>
      <c r="X132" s="590">
        <f t="shared" si="49"/>
        <v>-99.856139558901475</v>
      </c>
      <c r="Y132" s="593">
        <f t="shared" si="50"/>
        <v>80.143860441098525</v>
      </c>
      <c r="AA132" s="150">
        <f t="shared" si="51"/>
        <v>1000000000</v>
      </c>
      <c r="AB132" s="150">
        <f t="shared" si="52"/>
        <v>51293527.802499995</v>
      </c>
      <c r="AD132" s="592">
        <f t="shared" si="53"/>
        <v>27.745039109380095</v>
      </c>
      <c r="AE132" s="593">
        <f t="shared" si="54"/>
        <v>-12.548839429235841</v>
      </c>
      <c r="AG132" s="592">
        <f t="shared" si="55"/>
        <v>10.096248839922957</v>
      </c>
      <c r="AH132" s="593">
        <f t="shared" si="56"/>
        <v>-77.007687157354539</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5">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1.0000427417263404</v>
      </c>
      <c r="N133" s="585">
        <f t="shared" si="41"/>
        <v>-9.2455615315424726E-3</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12.298718820743426</v>
      </c>
      <c r="X133" s="590">
        <f t="shared" si="49"/>
        <v>-99.917179955131957</v>
      </c>
      <c r="Y133" s="593">
        <f t="shared" si="50"/>
        <v>80.082820044868043</v>
      </c>
      <c r="AA133" s="150">
        <f t="shared" si="51"/>
        <v>1000000000</v>
      </c>
      <c r="AB133" s="150">
        <f t="shared" si="52"/>
        <v>52481331.359999992</v>
      </c>
      <c r="AD133" s="592">
        <f t="shared" si="53"/>
        <v>27.741648637141783</v>
      </c>
      <c r="AE133" s="593">
        <f t="shared" si="54"/>
        <v>-12.455805590903084</v>
      </c>
      <c r="AG133" s="592">
        <f t="shared" si="55"/>
        <v>9.9993441000192469</v>
      </c>
      <c r="AH133" s="593">
        <f t="shared" si="56"/>
        <v>-77.043507304635995</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5">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1.0000437428235234</v>
      </c>
      <c r="N134" s="585">
        <f t="shared" si="41"/>
        <v>-9.3532057663720958E-3</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12.196217627979042</v>
      </c>
      <c r="X134" s="590">
        <f t="shared" si="49"/>
        <v>-99.980163286705562</v>
      </c>
      <c r="Y134" s="593">
        <f t="shared" si="50"/>
        <v>80.019836713294438</v>
      </c>
      <c r="AA134" s="150">
        <f t="shared" si="51"/>
        <v>1000000000</v>
      </c>
      <c r="AB134" s="150">
        <f t="shared" si="52"/>
        <v>53710576.5625</v>
      </c>
      <c r="AD134" s="592">
        <f t="shared" si="53"/>
        <v>27.7382893082208</v>
      </c>
      <c r="AE134" s="593">
        <f t="shared" si="54"/>
        <v>-12.363258288934896</v>
      </c>
      <c r="AG134" s="592">
        <f t="shared" si="55"/>
        <v>9.9013091706730272</v>
      </c>
      <c r="AH134" s="593">
        <f t="shared" si="56"/>
        <v>-77.078070001852453</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5">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1.0000447555084711</v>
      </c>
      <c r="N135" s="585">
        <f t="shared" si="41"/>
        <v>-9.4608497844393836E-3</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12.094901118300891</v>
      </c>
      <c r="X135" s="590">
        <f t="shared" si="49"/>
        <v>-100.04367233691497</v>
      </c>
      <c r="Y135" s="593">
        <f t="shared" si="50"/>
        <v>79.956327663085034</v>
      </c>
      <c r="AA135" s="150">
        <f t="shared" si="51"/>
        <v>1000000000</v>
      </c>
      <c r="AB135" s="150">
        <f t="shared" si="52"/>
        <v>54954051.610000007</v>
      </c>
      <c r="AD135" s="592">
        <f t="shared" si="53"/>
        <v>27.735035595587508</v>
      </c>
      <c r="AE135" s="593">
        <f t="shared" si="54"/>
        <v>-12.273285010978471</v>
      </c>
      <c r="AG135" s="592">
        <f t="shared" si="55"/>
        <v>9.8043659900978746</v>
      </c>
      <c r="AH135" s="593">
        <f t="shared" si="56"/>
        <v>-77.110595879931665</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5">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1.0000458042080342</v>
      </c>
      <c r="N136" s="585">
        <f t="shared" si="41"/>
        <v>-9.571045893522423E-3</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11.992380422551506</v>
      </c>
      <c r="X136" s="590">
        <f t="shared" si="49"/>
        <v>-100.10921491380199</v>
      </c>
      <c r="Y136" s="593">
        <f t="shared" si="50"/>
        <v>79.890785086198008</v>
      </c>
      <c r="AA136" s="150">
        <f t="shared" si="51"/>
        <v>1000000000</v>
      </c>
      <c r="AB136" s="150">
        <f t="shared" si="52"/>
        <v>56241750.302499995</v>
      </c>
      <c r="AD136" s="592">
        <f t="shared" si="53"/>
        <v>27.731809259713202</v>
      </c>
      <c r="AE136" s="593">
        <f t="shared" si="54"/>
        <v>-12.183757714892817</v>
      </c>
      <c r="AG136" s="592">
        <f t="shared" si="55"/>
        <v>9.7062309254776356</v>
      </c>
      <c r="AH136" s="593">
        <f t="shared" si="56"/>
        <v>-77.141853370077726</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5">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1.0000468650513104</v>
      </c>
      <c r="N137" s="585">
        <f t="shared" si="41"/>
        <v>-9.6812417701529416E-3</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11.891043289700566</v>
      </c>
      <c r="X137" s="590">
        <f t="shared" si="49"/>
        <v>-100.17527480606836</v>
      </c>
      <c r="Y137" s="593">
        <f t="shared" si="50"/>
        <v>79.824725193931641</v>
      </c>
      <c r="AA137" s="150">
        <f t="shared" si="51"/>
        <v>1000000000</v>
      </c>
      <c r="AB137" s="150">
        <f t="shared" si="52"/>
        <v>57544361.640000001</v>
      </c>
      <c r="AD137" s="592">
        <f t="shared" si="53"/>
        <v>27.728683969515181</v>
      </c>
      <c r="AE137" s="593">
        <f t="shared" si="54"/>
        <v>-12.096755050576695</v>
      </c>
      <c r="AG137" s="592">
        <f t="shared" si="55"/>
        <v>9.6091916589314899</v>
      </c>
      <c r="AH137" s="593">
        <f t="shared" si="56"/>
        <v>-77.171115855131674</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5">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1.0000479630341941</v>
      </c>
      <c r="N138" s="585">
        <f t="shared" si="41"/>
        <v>-9.7939897109094644E-3</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11.788555050652075</v>
      </c>
      <c r="X138" s="590">
        <f t="shared" si="49"/>
        <v>-100.24338345765194</v>
      </c>
      <c r="Y138" s="593">
        <f t="shared" si="50"/>
        <v>79.756616542348056</v>
      </c>
      <c r="AA138" s="150">
        <f t="shared" si="51"/>
        <v>1000000000</v>
      </c>
      <c r="AB138" s="150">
        <f t="shared" si="52"/>
        <v>58892578.222499996</v>
      </c>
      <c r="AD138" s="592">
        <f t="shared" si="53"/>
        <v>27.725586200496068</v>
      </c>
      <c r="AE138" s="593">
        <f t="shared" si="54"/>
        <v>-12.010264864236431</v>
      </c>
      <c r="AG138" s="592">
        <f t="shared" si="55"/>
        <v>9.5110146643373294</v>
      </c>
      <c r="AH138" s="593">
        <f t="shared" si="56"/>
        <v>-77.199060106422408</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5">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1.0000490737297576</v>
      </c>
      <c r="N139" s="585">
        <f t="shared" si="41"/>
        <v>-9.9067374026542577E-3</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11.687248024006717</v>
      </c>
      <c r="X139" s="590">
        <f t="shared" si="49"/>
        <v>-100.31200038436414</v>
      </c>
      <c r="Y139" s="593">
        <f t="shared" si="50"/>
        <v>79.68799961563586</v>
      </c>
      <c r="AA139" s="150">
        <f t="shared" si="51"/>
        <v>1000000000</v>
      </c>
      <c r="AB139" s="150">
        <f t="shared" si="52"/>
        <v>60256406.25</v>
      </c>
      <c r="AD139" s="592">
        <f t="shared" si="53"/>
        <v>27.722584976609252</v>
      </c>
      <c r="AE139" s="593">
        <f t="shared" si="54"/>
        <v>-11.926247871301943</v>
      </c>
      <c r="AG139" s="592">
        <f t="shared" si="55"/>
        <v>9.4139362296320499</v>
      </c>
      <c r="AH139" s="593">
        <f t="shared" si="56"/>
        <v>-77.225052620620801</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5">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1.0000502233554978</v>
      </c>
      <c r="N140" s="585">
        <f t="shared" si="41"/>
        <v>-1.0022100937434344E-2</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11.584784095280183</v>
      </c>
      <c r="X140" s="590">
        <f t="shared" si="49"/>
        <v>-100.38271900970989</v>
      </c>
      <c r="Y140" s="593">
        <f t="shared" si="50"/>
        <v>79.617280990290112</v>
      </c>
      <c r="AA140" s="150">
        <f t="shared" si="51"/>
        <v>1000000000</v>
      </c>
      <c r="AB140" s="150">
        <f t="shared" si="52"/>
        <v>61668038.409999996</v>
      </c>
      <c r="AD140" s="592">
        <f t="shared" si="53"/>
        <v>27.719609567454206</v>
      </c>
      <c r="AE140" s="593">
        <f t="shared" si="54"/>
        <v>-11.842757521691503</v>
      </c>
      <c r="AG140" s="592">
        <f t="shared" si="55"/>
        <v>9.3157179311613696</v>
      </c>
      <c r="AH140" s="593">
        <f t="shared" si="56"/>
        <v>-77.249695506028615</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5">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1.0000513862906208</v>
      </c>
      <c r="N141" s="585">
        <f t="shared" ref="N141:N204" si="74">-ATAN(G141/z_RHP)</f>
        <v>-1.0137464205442943E-2</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11.483499177439988</v>
      </c>
      <c r="X141" s="590">
        <f t="shared" ref="X141:X204" si="82">((L141+R141+N141+V141)-(J141+P141+T141))*radconv</f>
        <v>-100.45393685807653</v>
      </c>
      <c r="Y141" s="593">
        <f t="shared" ref="Y141:Y204" si="83">IF(X141&gt;0,X141,X141+180)</f>
        <v>79.546063141923469</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9.2186009459472356</v>
      </c>
      <c r="AH141" s="593">
        <f t="shared" ref="AH141:AH204" si="89">(L141+N141-(J141+V141))*radconv</f>
        <v>-77.27242900659769</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5">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1.0000525900175226</v>
      </c>
      <c r="N142" s="585">
        <f t="shared" si="74"/>
        <v>-1.0255507093035236E-2</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11.381052989037407</v>
      </c>
      <c r="X142" s="590">
        <f t="shared" si="82"/>
        <v>-100.52730951123606</v>
      </c>
      <c r="Y142" s="593">
        <f t="shared" si="83"/>
        <v>79.472690488763945</v>
      </c>
      <c r="AA142" s="150">
        <f t="shared" si="84"/>
        <v>1000000000</v>
      </c>
      <c r="AB142" s="150">
        <f t="shared" si="85"/>
        <v>64574081.640000001</v>
      </c>
      <c r="AD142" s="592">
        <f t="shared" si="86"/>
        <v>27.713867413960568</v>
      </c>
      <c r="AE142" s="593">
        <f t="shared" si="87"/>
        <v>-11.681164586867085</v>
      </c>
      <c r="AG142" s="592">
        <f t="shared" si="88"/>
        <v>9.1203433693834697</v>
      </c>
      <c r="AH142" s="593">
        <f t="shared" si="89"/>
        <v>-77.293780259925953</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5">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1.0000538076792467</v>
      </c>
      <c r="N143" s="585">
        <f t="shared" si="74"/>
        <v>-1.0373549694815201E-2</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11.279783719922605</v>
      </c>
      <c r="X143" s="590">
        <f t="shared" si="82"/>
        <v>-100.60117231671057</v>
      </c>
      <c r="Y143" s="593">
        <f t="shared" si="83"/>
        <v>79.398827683289426</v>
      </c>
      <c r="AA143" s="150">
        <f t="shared" si="84"/>
        <v>1000000000</v>
      </c>
      <c r="AB143" s="150">
        <f t="shared" si="85"/>
        <v>66069260.890000001</v>
      </c>
      <c r="AD143" s="592">
        <f t="shared" si="86"/>
        <v>27.711096530871401</v>
      </c>
      <c r="AE143" s="593">
        <f t="shared" si="87"/>
        <v>-11.603012416854828</v>
      </c>
      <c r="AG143" s="592">
        <f t="shared" si="88"/>
        <v>9.0231898236107035</v>
      </c>
      <c r="AH143" s="593">
        <f t="shared" si="89"/>
        <v>-77.313263640886731</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5">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1.0000550680677474</v>
      </c>
      <c r="N144" s="585">
        <f t="shared" si="74"/>
        <v>-1.0494335690216572E-2</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11.1773501414721</v>
      </c>
      <c r="X144" s="590">
        <f t="shared" si="82"/>
        <v>-100.67724315550097</v>
      </c>
      <c r="Y144" s="593">
        <f t="shared" si="83"/>
        <v>79.322756844499025</v>
      </c>
      <c r="AA144" s="150">
        <f t="shared" si="84"/>
        <v>1000000000</v>
      </c>
      <c r="AB144" s="150">
        <f t="shared" si="85"/>
        <v>67616906.702500015</v>
      </c>
      <c r="AD144" s="592">
        <f t="shared" si="86"/>
        <v>27.708348321867511</v>
      </c>
      <c r="AE144" s="593">
        <f t="shared" si="87"/>
        <v>-11.525419539483751</v>
      </c>
      <c r="AG144" s="592">
        <f t="shared" si="88"/>
        <v>8.9248962838576826</v>
      </c>
      <c r="AH144" s="593">
        <f t="shared" si="89"/>
        <v>-77.331331117563693</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5">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1.00005570373326</v>
      </c>
      <c r="N145" s="585">
        <f t="shared" si="74"/>
        <v>-1.0554728573305115E-2</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11.126575682246768</v>
      </c>
      <c r="X145" s="590">
        <f t="shared" si="82"/>
        <v>-100.71545994204189</v>
      </c>
      <c r="Y145" s="593">
        <f t="shared" si="83"/>
        <v>79.284540057958111</v>
      </c>
      <c r="AA145" s="150">
        <f t="shared" si="84"/>
        <v>1000000000</v>
      </c>
      <c r="AB145" s="150">
        <f t="shared" si="85"/>
        <v>68397448.575625017</v>
      </c>
      <c r="AD145" s="592">
        <f t="shared" si="86"/>
        <v>27.707006002818098</v>
      </c>
      <c r="AE145" s="593">
        <f t="shared" si="87"/>
        <v>-11.487499563390196</v>
      </c>
      <c r="AG145" s="592">
        <f t="shared" si="88"/>
        <v>8.8761660232368982</v>
      </c>
      <c r="AH145" s="593">
        <f t="shared" si="89"/>
        <v>-77.339675816871747</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5">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1.0000563430462714</v>
      </c>
      <c r="N146" s="585">
        <f t="shared" si="74"/>
        <v>-1.0615121379398362E-2</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11.076091464804389</v>
      </c>
      <c r="X146" s="590">
        <f t="shared" si="82"/>
        <v>-100.75379505184512</v>
      </c>
      <c r="Y146" s="593">
        <f t="shared" si="83"/>
        <v>79.246204948154883</v>
      </c>
      <c r="AA146" s="150">
        <f t="shared" si="84"/>
        <v>1000000000</v>
      </c>
      <c r="AB146" s="150">
        <f t="shared" si="85"/>
        <v>69182469.760000005</v>
      </c>
      <c r="AD146" s="592">
        <f t="shared" si="86"/>
        <v>27.70568423202554</v>
      </c>
      <c r="AE146" s="593">
        <f t="shared" si="87"/>
        <v>-11.450151033761774</v>
      </c>
      <c r="AG146" s="592">
        <f t="shared" si="88"/>
        <v>8.8277094314300246</v>
      </c>
      <c r="AH146" s="593">
        <f t="shared" si="89"/>
        <v>-77.34757146075448</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5">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1.0000570013354817</v>
      </c>
      <c r="N147" s="585">
        <f t="shared" si="74"/>
        <v>-1.0676949750422026E-2</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11.024704263028703</v>
      </c>
      <c r="X147" s="590">
        <f t="shared" si="82"/>
        <v>-100.79316205592474</v>
      </c>
      <c r="Y147" s="593">
        <f t="shared" si="83"/>
        <v>79.206837944075261</v>
      </c>
      <c r="AA147" s="150">
        <f t="shared" si="84"/>
        <v>1000000000</v>
      </c>
      <c r="AB147" s="150">
        <f t="shared" si="85"/>
        <v>69990792.602499992</v>
      </c>
      <c r="AD147" s="592">
        <f t="shared" si="86"/>
        <v>27.704351841715148</v>
      </c>
      <c r="AE147" s="593">
        <f t="shared" si="87"/>
        <v>-11.412496849063368</v>
      </c>
      <c r="AG147" s="592">
        <f t="shared" si="88"/>
        <v>8.7783813714673578</v>
      </c>
      <c r="AH147" s="593">
        <f t="shared" si="89"/>
        <v>-77.355197449519849</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5">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1.0000576634476521</v>
      </c>
      <c r="N148" s="585">
        <f t="shared" si="74"/>
        <v>-1.0738778039812135E-2</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10.973614103949288</v>
      </c>
      <c r="X148" s="590">
        <f t="shared" si="82"/>
        <v>-100.83264910270677</v>
      </c>
      <c r="Y148" s="593">
        <f t="shared" si="83"/>
        <v>79.167350897293232</v>
      </c>
      <c r="AA148" s="150">
        <f t="shared" si="84"/>
        <v>1000000000</v>
      </c>
      <c r="AB148" s="150">
        <f t="shared" si="85"/>
        <v>70803810.25</v>
      </c>
      <c r="AD148" s="592">
        <f t="shared" si="86"/>
        <v>27.70304001580039</v>
      </c>
      <c r="AE148" s="593">
        <f t="shared" si="87"/>
        <v>-11.375421916279153</v>
      </c>
      <c r="AG148" s="592">
        <f t="shared" si="88"/>
        <v>8.7293339544359245</v>
      </c>
      <c r="AH148" s="593">
        <f t="shared" si="89"/>
        <v>-77.362368540497826</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5">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1.0000583293827754</v>
      </c>
      <c r="N149" s="585">
        <f t="shared" si="74"/>
        <v>-1.0800606247096141E-2</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10.922817459951927</v>
      </c>
      <c r="X149" s="590">
        <f t="shared" si="82"/>
        <v>-100.87225424309328</v>
      </c>
      <c r="Y149" s="593">
        <f t="shared" si="83"/>
        <v>79.12774575690672</v>
      </c>
      <c r="AA149" s="150">
        <f t="shared" si="84"/>
        <v>1000000000</v>
      </c>
      <c r="AB149" s="150">
        <f t="shared" si="85"/>
        <v>71621522.702500015</v>
      </c>
      <c r="AD149" s="592">
        <f t="shared" si="86"/>
        <v>27.701748282677595</v>
      </c>
      <c r="AE149" s="593">
        <f t="shared" si="87"/>
        <v>-11.338916601306835</v>
      </c>
      <c r="AG149" s="592">
        <f t="shared" si="88"/>
        <v>8.680564123354479</v>
      </c>
      <c r="AH149" s="593">
        <f t="shared" si="89"/>
        <v>-77.369092442932171</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5">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1.0000589991408437</v>
      </c>
      <c r="N150" s="585">
        <f t="shared" si="74"/>
        <v>-1.08624343718015E-2</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10.872310865706659</v>
      </c>
      <c r="X150" s="590">
        <f t="shared" si="82"/>
        <v>-100.9119755674937</v>
      </c>
      <c r="Y150" s="593">
        <f t="shared" si="83"/>
        <v>79.088024432506302</v>
      </c>
      <c r="AA150" s="150">
        <f t="shared" si="84"/>
        <v>1000000000</v>
      </c>
      <c r="AB150" s="150">
        <f t="shared" si="85"/>
        <v>72443929.959999993</v>
      </c>
      <c r="AD150" s="592">
        <f t="shared" si="86"/>
        <v>27.700476183810419</v>
      </c>
      <c r="AE150" s="593">
        <f t="shared" si="87"/>
        <v>-11.302971480571923</v>
      </c>
      <c r="AG150" s="592">
        <f t="shared" si="88"/>
        <v>8.6320688704536295</v>
      </c>
      <c r="AH150" s="593">
        <f t="shared" si="89"/>
        <v>-77.375376695030951</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5">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1.0000596880590931</v>
      </c>
      <c r="N151" s="585">
        <f t="shared" si="74"/>
        <v>-1.0925666145115644E-2</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10.820954033657291</v>
      </c>
      <c r="X151" s="590">
        <f t="shared" si="82"/>
        <v>-100.95271693863528</v>
      </c>
      <c r="Y151" s="593">
        <f t="shared" si="83"/>
        <v>79.047283061364723</v>
      </c>
      <c r="AA151" s="150">
        <f t="shared" si="84"/>
        <v>1000000000</v>
      </c>
      <c r="AB151" s="150">
        <f t="shared" si="85"/>
        <v>73289864.902500018</v>
      </c>
      <c r="AD151" s="592">
        <f t="shared" si="86"/>
        <v>27.699195046799154</v>
      </c>
      <c r="AE151" s="593">
        <f t="shared" si="87"/>
        <v>-11.266780078764606</v>
      </c>
      <c r="AG151" s="592">
        <f t="shared" si="88"/>
        <v>8.5827535060171201</v>
      </c>
      <c r="AH151" s="593">
        <f t="shared" si="89"/>
        <v>-77.381356568962062</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5">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1.0000603809758328</v>
      </c>
      <c r="N152" s="585">
        <f t="shared" si="74"/>
        <v>-1.0988897831059184E-2</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10.769893433275568</v>
      </c>
      <c r="X152" s="590">
        <f t="shared" si="82"/>
        <v>-100.99357591173349</v>
      </c>
      <c r="Y152" s="593">
        <f t="shared" si="83"/>
        <v>79.006424088266513</v>
      </c>
      <c r="AA152" s="150">
        <f t="shared" si="84"/>
        <v>1000000000</v>
      </c>
      <c r="AB152" s="150">
        <f t="shared" si="85"/>
        <v>74140710.25</v>
      </c>
      <c r="AD152" s="592">
        <f t="shared" si="86"/>
        <v>27.69793351563489</v>
      </c>
      <c r="AE152" s="593">
        <f t="shared" si="87"/>
        <v>-11.231155310406276</v>
      </c>
      <c r="AG152" s="592">
        <f t="shared" si="88"/>
        <v>8.5337191191669852</v>
      </c>
      <c r="AH152" s="593">
        <f t="shared" si="89"/>
        <v>-77.386892022720787</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5">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1.0000610778910544</v>
      </c>
      <c r="N153" s="585">
        <f t="shared" si="74"/>
        <v>-1.1052129429126674E-2</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10.719125550551468</v>
      </c>
      <c r="X153" s="590">
        <f t="shared" si="82"/>
        <v>-101.03455056612826</v>
      </c>
      <c r="Y153" s="593">
        <f t="shared" si="83"/>
        <v>78.96544943387174</v>
      </c>
      <c r="AA153" s="150">
        <f t="shared" si="84"/>
        <v>1000000000</v>
      </c>
      <c r="AB153" s="150">
        <f t="shared" si="85"/>
        <v>74996466.002499983</v>
      </c>
      <c r="AD153" s="592">
        <f t="shared" si="86"/>
        <v>27.69669113949675</v>
      </c>
      <c r="AE153" s="593">
        <f t="shared" si="87"/>
        <v>-11.196087742276855</v>
      </c>
      <c r="AG153" s="592">
        <f t="shared" si="88"/>
        <v>8.4849626456529013</v>
      </c>
      <c r="AH153" s="593">
        <f t="shared" si="89"/>
        <v>-77.39199059474214</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5">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1.0000617788047497</v>
      </c>
      <c r="N154" s="585">
        <f t="shared" si="74"/>
        <v>-1.1115360938812671E-2</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10.668646933421712</v>
      </c>
      <c r="X154" s="590">
        <f t="shared" si="82"/>
        <v>-101.0756390202618</v>
      </c>
      <c r="Y154" s="593">
        <f t="shared" si="83"/>
        <v>78.924360979738196</v>
      </c>
      <c r="AA154" s="150">
        <f t="shared" si="84"/>
        <v>1000000000</v>
      </c>
      <c r="AB154" s="150">
        <f t="shared" si="85"/>
        <v>75857132.160000011</v>
      </c>
      <c r="AD154" s="592">
        <f t="shared" si="86"/>
        <v>27.69546748006168</v>
      </c>
      <c r="AE154" s="593">
        <f t="shared" si="87"/>
        <v>-11.161568147553679</v>
      </c>
      <c r="AG154" s="592">
        <f t="shared" si="88"/>
        <v>8.4364810706677016</v>
      </c>
      <c r="AH154" s="593">
        <f t="shared" si="89"/>
        <v>-77.396659656149865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5">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1.0000625004813215</v>
      </c>
      <c r="N155" s="585">
        <f t="shared" si="74"/>
        <v>-1.1180091791817063E-2</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10.617267391180649</v>
      </c>
      <c r="X155" s="590">
        <f t="shared" si="82"/>
        <v>-101.11781777742827</v>
      </c>
      <c r="Y155" s="593">
        <f t="shared" si="83"/>
        <v>78.882182222571728</v>
      </c>
      <c r="AA155" s="150">
        <f t="shared" si="84"/>
        <v>1000000000</v>
      </c>
      <c r="AB155" s="150">
        <f t="shared" si="85"/>
        <v>76743294.105625018</v>
      </c>
      <c r="AD155" s="592">
        <f t="shared" si="86"/>
        <v>27.694233746261183</v>
      </c>
      <c r="AE155" s="593">
        <f t="shared" si="87"/>
        <v>-11.126788171841484</v>
      </c>
      <c r="AG155" s="592">
        <f t="shared" si="88"/>
        <v>8.3871314889436643</v>
      </c>
      <c r="AH155" s="593">
        <f t="shared" si="89"/>
        <v>-77.401002052733247</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5">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1.0000632263482327</v>
      </c>
      <c r="N156" s="585">
        <f t="shared" si="74"/>
        <v>-1.1244822551126655E-2</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10.566183867580035</v>
      </c>
      <c r="X156" s="590">
        <f t="shared" si="82"/>
        <v>-101.16011192641737</v>
      </c>
      <c r="Y156" s="593">
        <f t="shared" si="83"/>
        <v>78.839888073582628</v>
      </c>
      <c r="AA156" s="150">
        <f t="shared" si="84"/>
        <v>1000000000</v>
      </c>
      <c r="AB156" s="150">
        <f t="shared" si="85"/>
        <v>77634602.102499992</v>
      </c>
      <c r="AD156" s="592">
        <f t="shared" si="86"/>
        <v>27.693018736120329</v>
      </c>
      <c r="AE156" s="593">
        <f t="shared" si="87"/>
        <v>-11.092563536633934</v>
      </c>
      <c r="AG156" s="592">
        <f t="shared" si="88"/>
        <v>8.3380637582917494</v>
      </c>
      <c r="AH156" s="593">
        <f t="shared" si="89"/>
        <v>-77.404909442262209</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5">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1.0000639564054739</v>
      </c>
      <c r="N157" s="585">
        <f t="shared" si="74"/>
        <v>-1.1309553216199199E-2</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10.515392851483991</v>
      </c>
      <c r="X157" s="590">
        <f t="shared" si="82"/>
        <v>-101.20251956971309</v>
      </c>
      <c r="Y157" s="593">
        <f t="shared" si="83"/>
        <v>78.79748043028691</v>
      </c>
      <c r="AA157" s="150">
        <f t="shared" si="84"/>
        <v>1000000000</v>
      </c>
      <c r="AB157" s="150">
        <f t="shared" si="85"/>
        <v>78531056.15062499</v>
      </c>
      <c r="AD157" s="592">
        <f t="shared" si="86"/>
        <v>27.691822017449997</v>
      </c>
      <c r="AE157" s="593">
        <f t="shared" si="87"/>
        <v>-11.058884979345324</v>
      </c>
      <c r="AG157" s="592">
        <f t="shared" si="88"/>
        <v>8.2892747986017028</v>
      </c>
      <c r="AH157" s="593">
        <f t="shared" si="89"/>
        <v>-77.40838921750273</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5">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1.0000646906530359</v>
      </c>
      <c r="N158" s="585">
        <f t="shared" si="74"/>
        <v>-1.137428378649245E-2</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10.464890893617573</v>
      </c>
      <c r="X158" s="590">
        <f t="shared" si="82"/>
        <v>-101.24503884862297</v>
      </c>
      <c r="Y158" s="593">
        <f t="shared" si="83"/>
        <v>78.754961151377032</v>
      </c>
      <c r="AA158" s="150">
        <f t="shared" si="84"/>
        <v>1000000000</v>
      </c>
      <c r="AB158" s="150">
        <f t="shared" si="85"/>
        <v>79432656.25</v>
      </c>
      <c r="AD158" s="592">
        <f t="shared" si="86"/>
        <v>27.690643170059587</v>
      </c>
      <c r="AE158" s="593">
        <f t="shared" si="87"/>
        <v>-11.025743440490219</v>
      </c>
      <c r="AG158" s="592">
        <f t="shared" si="88"/>
        <v>8.2407615796191394</v>
      </c>
      <c r="AH158" s="593">
        <f t="shared" si="89"/>
        <v>-77.411448606929497</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5">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1.0000654462458298</v>
      </c>
      <c r="N159" s="585">
        <f t="shared" si="74"/>
        <v>-1.1440513684836734E-2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10.413514747528419</v>
      </c>
      <c r="X159" s="590">
        <f t="shared" si="82"/>
        <v>-101.28865669477851</v>
      </c>
      <c r="Y159" s="593">
        <f t="shared" si="83"/>
        <v>78.71134330522149</v>
      </c>
      <c r="AA159" s="150">
        <f t="shared" si="84"/>
        <v>1000000000</v>
      </c>
      <c r="AB159" s="150">
        <f t="shared" si="85"/>
        <v>80360467.359999999</v>
      </c>
      <c r="AD159" s="592">
        <f t="shared" si="86"/>
        <v>27.689455086648017</v>
      </c>
      <c r="AE159" s="593">
        <f t="shared" si="87"/>
        <v>-10.992380787064137</v>
      </c>
      <c r="AG159" s="592">
        <f t="shared" si="88"/>
        <v>8.191406880837075</v>
      </c>
      <c r="AH159" s="593">
        <f t="shared" si="89"/>
        <v>-77.4141511307851</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5">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1.0000662062253034</v>
      </c>
      <c r="N160" s="585">
        <f t="shared" si="74"/>
        <v>-1.1506743482811466E-2</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10.362434092944028</v>
      </c>
      <c r="X160" s="590">
        <f t="shared" si="82"/>
        <v>-101.33238759197428</v>
      </c>
      <c r="Y160" s="593">
        <f t="shared" si="83"/>
        <v>78.667612408025718</v>
      </c>
      <c r="AA160" s="150">
        <f t="shared" si="84"/>
        <v>1000000000</v>
      </c>
      <c r="AB160" s="150">
        <f t="shared" si="85"/>
        <v>81293665.689999983</v>
      </c>
      <c r="AD160" s="592">
        <f t="shared" si="86"/>
        <v>27.688284858869451</v>
      </c>
      <c r="AE160" s="593">
        <f t="shared" si="87"/>
        <v>-10.959561759131644</v>
      </c>
      <c r="AG160" s="592">
        <f t="shared" si="88"/>
        <v>8.1423345825970745</v>
      </c>
      <c r="AH160" s="593">
        <f t="shared" si="89"/>
        <v>-77.416428369954403</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5">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1.0000669705914471</v>
      </c>
      <c r="N161" s="585">
        <f t="shared" si="74"/>
        <v>-1.1572973179835857E-2</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10.311645427052799</v>
      </c>
      <c r="X161" s="590">
        <f t="shared" si="82"/>
        <v>-101.37622966930468</v>
      </c>
      <c r="Y161" s="593">
        <f t="shared" si="83"/>
        <v>78.623770330695322</v>
      </c>
      <c r="AA161" s="150">
        <f t="shared" si="84"/>
        <v>1000000000</v>
      </c>
      <c r="AB161" s="150">
        <f t="shared" si="85"/>
        <v>82232251.24000001</v>
      </c>
      <c r="AD161" s="592">
        <f t="shared" si="86"/>
        <v>27.687132073120708</v>
      </c>
      <c r="AE161" s="593">
        <f t="shared" si="87"/>
        <v>-10.927277277848349</v>
      </c>
      <c r="AG161" s="592">
        <f t="shared" si="88"/>
        <v>8.0935415944167879</v>
      </c>
      <c r="AH161" s="593">
        <f t="shared" si="89"/>
        <v>-77.418287561975006</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5">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1.0000677393442505</v>
      </c>
      <c r="N162" s="585">
        <f t="shared" si="74"/>
        <v>-1.1639202775329122E-2</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10.261145308690448</v>
      </c>
      <c r="X162" s="590">
        <f t="shared" si="82"/>
        <v>-101.42018109430256</v>
      </c>
      <c r="Y162" s="593">
        <f t="shared" si="83"/>
        <v>78.579818905697437</v>
      </c>
      <c r="AA162" s="150">
        <f t="shared" si="84"/>
        <v>1000000000</v>
      </c>
      <c r="AB162" s="150">
        <f t="shared" si="85"/>
        <v>83176224.010000005</v>
      </c>
      <c r="AD162" s="592">
        <f t="shared" si="86"/>
        <v>27.685996327291058</v>
      </c>
      <c r="AE162" s="593">
        <f t="shared" si="87"/>
        <v>-10.895518463747203</v>
      </c>
      <c r="AG162" s="592">
        <f t="shared" si="88"/>
        <v>8.0450248759619249</v>
      </c>
      <c r="AH162" s="593">
        <f t="shared" si="89"/>
        <v>-77.419735783427328</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5">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1.0000685304116457</v>
      </c>
      <c r="N163" s="585">
        <f t="shared" si="74"/>
        <v>-1.1706963585264114E-2</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10.209772663885765</v>
      </c>
      <c r="X163" s="590">
        <f t="shared" si="82"/>
        <v>-101.46526003469492</v>
      </c>
      <c r="Y163" s="593">
        <f t="shared" si="83"/>
        <v>78.534739965305079</v>
      </c>
      <c r="AA163" s="150">
        <f t="shared" si="84"/>
        <v>1000000000</v>
      </c>
      <c r="AB163" s="150">
        <f t="shared" si="85"/>
        <v>84147598.24000001</v>
      </c>
      <c r="AD163" s="592">
        <f t="shared" si="86"/>
        <v>27.684851549179221</v>
      </c>
      <c r="AE163" s="593">
        <f t="shared" si="87"/>
        <v>-10.863560323547439</v>
      </c>
      <c r="AG163" s="592">
        <f t="shared" si="88"/>
        <v>7.9956691894906227</v>
      </c>
      <c r="AH163" s="593">
        <f t="shared" si="89"/>
        <v>-77.420799372224394</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5">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1.0000693260708753</v>
      </c>
      <c r="N164" s="585">
        <f t="shared" si="74"/>
        <v>-1.1774724287688675E-2</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10.158694967981301</v>
      </c>
      <c r="X164" s="590">
        <f t="shared" si="82"/>
        <v>-101.51044967610775</v>
      </c>
      <c r="Y164" s="593">
        <f t="shared" si="83"/>
        <v>78.489550323892246</v>
      </c>
      <c r="AA164" s="150">
        <f t="shared" si="84"/>
        <v>1000000000</v>
      </c>
      <c r="AB164" s="150">
        <f t="shared" si="85"/>
        <v>85124611.689999983</v>
      </c>
      <c r="AD164" s="592">
        <f t="shared" si="86"/>
        <v>27.683723791713003</v>
      </c>
      <c r="AE164" s="593">
        <f t="shared" si="87"/>
        <v>-10.83213425127056</v>
      </c>
      <c r="AG164" s="592">
        <f t="shared" si="88"/>
        <v>7.9465964134140528</v>
      </c>
      <c r="AH164" s="593">
        <f t="shared" si="89"/>
        <v>-77.421447255863313</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5">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1.0000701263219289</v>
      </c>
      <c r="N165" s="585">
        <f t="shared" si="74"/>
        <v>-1.1842484881980819E-2</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10.107908726635237</v>
      </c>
      <c r="X165" s="590">
        <f t="shared" si="82"/>
        <v>-101.5557481747211</v>
      </c>
      <c r="Y165" s="593">
        <f t="shared" si="83"/>
        <v>78.444251825278897</v>
      </c>
      <c r="AA165" s="150">
        <f t="shared" si="84"/>
        <v>1000000000</v>
      </c>
      <c r="AB165" s="150">
        <f t="shared" si="85"/>
        <v>86107264.359999999</v>
      </c>
      <c r="AD165" s="592">
        <f t="shared" si="86"/>
        <v>27.682612659163194</v>
      </c>
      <c r="AE165" s="593">
        <f t="shared" si="87"/>
        <v>-10.801231350475557</v>
      </c>
      <c r="AG165" s="592">
        <f t="shared" si="88"/>
        <v>7.8978034477252868</v>
      </c>
      <c r="AH165" s="593">
        <f t="shared" si="89"/>
        <v>-77.421686518589595</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5">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1.0000709311647953</v>
      </c>
      <c r="N166" s="585">
        <f t="shared" si="74"/>
        <v>-1.1910245367518561E-2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10.057410506936657</v>
      </c>
      <c r="X166" s="590">
        <f t="shared" si="82"/>
        <v>-101.60115372473996</v>
      </c>
      <c r="Y166" s="593">
        <f t="shared" si="83"/>
        <v>78.398846275260041</v>
      </c>
      <c r="AA166" s="150">
        <f t="shared" si="84"/>
        <v>1000000000</v>
      </c>
      <c r="AB166" s="150">
        <f t="shared" si="85"/>
        <v>87095556.25</v>
      </c>
      <c r="AD166" s="592">
        <f t="shared" si="86"/>
        <v>27.681517766805015</v>
      </c>
      <c r="AE166" s="593">
        <f t="shared" si="87"/>
        <v>-10.770842920370754</v>
      </c>
      <c r="AG166" s="592">
        <f t="shared" si="88"/>
        <v>7.8492872428362865</v>
      </c>
      <c r="AH166" s="593">
        <f t="shared" si="89"/>
        <v>-77.421524087003789</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5">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1.0000717597092705</v>
      </c>
      <c r="N167" s="585">
        <f t="shared" si="74"/>
        <v>-1.1979600854790348E-2</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10.006018286130233</v>
      </c>
      <c r="X167" s="590">
        <f t="shared" si="82"/>
        <v>-101.64773715894428</v>
      </c>
      <c r="Y167" s="593">
        <f t="shared" si="83"/>
        <v>78.352262841055719</v>
      </c>
      <c r="AA167" s="150">
        <f t="shared" si="84"/>
        <v>1000000000</v>
      </c>
      <c r="AB167" s="150">
        <f t="shared" si="85"/>
        <v>88112952.922499999</v>
      </c>
      <c r="AD167" s="592">
        <f t="shared" si="86"/>
        <v>27.680413527915817</v>
      </c>
      <c r="AE167" s="593">
        <f t="shared" si="87"/>
        <v>-10.740263029981616</v>
      </c>
      <c r="AG167" s="592">
        <f t="shared" si="88"/>
        <v>7.7999124217442128</v>
      </c>
      <c r="AH167" s="593">
        <f t="shared" si="89"/>
        <v>-77.420948910439265</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5">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1.0000725930642667</v>
      </c>
      <c r="N168" s="585">
        <f t="shared" si="74"/>
        <v>-1.2048956226808655E-2</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9.9549207203713692</v>
      </c>
      <c r="X168" s="590">
        <f t="shared" si="82"/>
        <v>-101.69442903371062</v>
      </c>
      <c r="Y168" s="593">
        <f t="shared" si="83"/>
        <v>78.30557096628938</v>
      </c>
      <c r="AA168" s="150">
        <f t="shared" si="84"/>
        <v>1000000000</v>
      </c>
      <c r="AB168" s="150">
        <f t="shared" si="85"/>
        <v>89136257.440000013</v>
      </c>
      <c r="AD168" s="592">
        <f t="shared" si="86"/>
        <v>27.679325520991537</v>
      </c>
      <c r="AE168" s="593">
        <f t="shared" si="87"/>
        <v>-10.710204277203562</v>
      </c>
      <c r="AG168" s="592">
        <f t="shared" si="88"/>
        <v>7.7508212372742937</v>
      </c>
      <c r="AH168" s="593">
        <f t="shared" si="89"/>
        <v>-77.419967101442268</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5">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1.0000734312297714</v>
      </c>
      <c r="N169" s="585">
        <f t="shared" si="74"/>
        <v>-1.2118311482906546E-2</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9.9041143192486114</v>
      </c>
      <c r="X169" s="590">
        <f t="shared" si="82"/>
        <v>-101.74122753026195</v>
      </c>
      <c r="Y169" s="593">
        <f t="shared" si="83"/>
        <v>78.258772469738048</v>
      </c>
      <c r="AA169" s="150">
        <f t="shared" si="84"/>
        <v>1000000000</v>
      </c>
      <c r="AB169" s="150">
        <f t="shared" si="85"/>
        <v>90165469.80249998</v>
      </c>
      <c r="AD169" s="592">
        <f t="shared" si="86"/>
        <v>27.678253366979035</v>
      </c>
      <c r="AE169" s="593">
        <f t="shared" si="87"/>
        <v>-10.680657934829782</v>
      </c>
      <c r="AG169" s="592">
        <f t="shared" si="88"/>
        <v>7.7020105765402569</v>
      </c>
      <c r="AH169" s="593">
        <f t="shared" si="89"/>
        <v>-77.418585602264884</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5">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1.0000742742057729</v>
      </c>
      <c r="N170" s="585">
        <f t="shared" si="74"/>
        <v>-1.2187666622417099E-2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9.8535956536713787</v>
      </c>
      <c r="X170" s="590">
        <f t="shared" si="82"/>
        <v>-101.78813086747191</v>
      </c>
      <c r="Y170" s="593">
        <f t="shared" si="83"/>
        <v>78.211869132528093</v>
      </c>
      <c r="AA170" s="150">
        <f t="shared" si="84"/>
        <v>1000000000</v>
      </c>
      <c r="AB170" s="150">
        <f t="shared" si="85"/>
        <v>91200590.00999999</v>
      </c>
      <c r="AD170" s="592">
        <f t="shared" si="86"/>
        <v>27.677196697378026</v>
      </c>
      <c r="AE170" s="593">
        <f t="shared" si="87"/>
        <v>-10.651615467917171</v>
      </c>
      <c r="AG170" s="592">
        <f t="shared" si="88"/>
        <v>7.6534773774156273</v>
      </c>
      <c r="AH170" s="593">
        <f t="shared" si="89"/>
        <v>-77.416811200528159</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5">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1.0000751419382827</v>
      </c>
      <c r="N171" s="585">
        <f t="shared" si="74"/>
        <v>-1.2258648647002371E-2</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9.8021862917257447</v>
      </c>
      <c r="X171" s="590">
        <f t="shared" si="82"/>
        <v>-101.83624125146561</v>
      </c>
      <c r="Y171" s="593">
        <f t="shared" si="83"/>
        <v>78.163758748534391</v>
      </c>
      <c r="AA171" s="150">
        <f t="shared" si="84"/>
        <v>1000000000</v>
      </c>
      <c r="AB171" s="150">
        <f t="shared" si="85"/>
        <v>92266110.52562499</v>
      </c>
      <c r="AD171" s="592">
        <f t="shared" si="86"/>
        <v>27.676130899002796</v>
      </c>
      <c r="AE171" s="593">
        <f t="shared" si="87"/>
        <v>-10.622404726328242</v>
      </c>
      <c r="AG171" s="592">
        <f t="shared" si="88"/>
        <v>7.6040897930461782</v>
      </c>
      <c r="AH171" s="593">
        <f t="shared" si="89"/>
        <v>-77.414595262116308</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5">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1.0000760147096102</v>
      </c>
      <c r="N172" s="585">
        <f t="shared" si="74"/>
        <v>-1.2329630548052547E-2</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9.7510712463027751</v>
      </c>
      <c r="X172" s="590">
        <f t="shared" si="82"/>
        <v>-101.88445779433673</v>
      </c>
      <c r="Y172" s="593">
        <f t="shared" si="83"/>
        <v>78.115542205663274</v>
      </c>
      <c r="AA172" s="150">
        <f t="shared" si="84"/>
        <v>1000000000</v>
      </c>
      <c r="AB172" s="150">
        <f t="shared" si="85"/>
        <v>93337819.32249999</v>
      </c>
      <c r="AD172" s="592">
        <f t="shared" si="86"/>
        <v>27.675080571385415</v>
      </c>
      <c r="AE172" s="593">
        <f t="shared" si="87"/>
        <v>-10.593704282969103</v>
      </c>
      <c r="AG172" s="592">
        <f t="shared" si="88"/>
        <v>7.5549865089677244</v>
      </c>
      <c r="AH172" s="593">
        <f t="shared" si="89"/>
        <v>-77.411981679255589</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5">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1.0000768925197421</v>
      </c>
      <c r="N173" s="585">
        <f t="shared" si="74"/>
        <v>-1.2400612324852678E-2</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9.7002470315770175</v>
      </c>
      <c r="X173" s="590">
        <f t="shared" si="82"/>
        <v>-101.9327787029985</v>
      </c>
      <c r="Y173" s="593">
        <f t="shared" si="83"/>
        <v>78.067221297001495</v>
      </c>
      <c r="AA173" s="150">
        <f t="shared" si="84"/>
        <v>1000000000</v>
      </c>
      <c r="AB173" s="150">
        <f t="shared" si="85"/>
        <v>94415716.40062499</v>
      </c>
      <c r="AD173" s="592">
        <f t="shared" si="86"/>
        <v>27.67404535157867</v>
      </c>
      <c r="AE173" s="593">
        <f t="shared" si="87"/>
        <v>-10.565505579995357</v>
      </c>
      <c r="AG173" s="592">
        <f t="shared" si="88"/>
        <v>7.5061644006282693</v>
      </c>
      <c r="AH173" s="593">
        <f t="shared" si="89"/>
        <v>-77.408977252867302</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5">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1.0000777753686652</v>
      </c>
      <c r="N174" s="585">
        <f t="shared" si="74"/>
        <v>-1.247159397668782E-2</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9.6497102229188929</v>
      </c>
      <c r="X174" s="590">
        <f t="shared" si="82"/>
        <v>-101.98120222161258</v>
      </c>
      <c r="Y174" s="593">
        <f t="shared" si="83"/>
        <v>78.018797778387423</v>
      </c>
      <c r="AA174" s="150">
        <f t="shared" si="84"/>
        <v>1000000000</v>
      </c>
      <c r="AB174" s="150">
        <f t="shared" si="85"/>
        <v>95499801.75999999</v>
      </c>
      <c r="AD174" s="592">
        <f t="shared" si="86"/>
        <v>27.673024886750209</v>
      </c>
      <c r="AE174" s="593">
        <f t="shared" si="87"/>
        <v>-10.537800248396527</v>
      </c>
      <c r="AG174" s="592">
        <f t="shared" si="88"/>
        <v>7.4576203945478072</v>
      </c>
      <c r="AH174" s="593">
        <f t="shared" si="89"/>
        <v>-77.405588632265108</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5">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1.0000786836670206</v>
      </c>
      <c r="N175" s="585">
        <f t="shared" si="74"/>
        <v>-1.2544202493648899E-2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9.5983088979501172</v>
      </c>
      <c r="X175" s="590">
        <f t="shared" si="82"/>
        <v>-102.03084004491437</v>
      </c>
      <c r="Y175" s="593">
        <f t="shared" si="83"/>
        <v>77.96915995508563</v>
      </c>
      <c r="AA175" s="150">
        <f t="shared" si="84"/>
        <v>1000000000</v>
      </c>
      <c r="AB175" s="150">
        <f t="shared" si="85"/>
        <v>96615138.48999998</v>
      </c>
      <c r="AD175" s="592">
        <f t="shared" si="86"/>
        <v>27.671995940059517</v>
      </c>
      <c r="AE175" s="593">
        <f t="shared" si="87"/>
        <v>-10.50996180479231</v>
      </c>
      <c r="AG175" s="592">
        <f t="shared" si="88"/>
        <v>7.4082482795710085</v>
      </c>
      <c r="AH175" s="593">
        <f t="shared" si="89"/>
        <v>-77.401731613089851</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5">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1.0000795972377781</v>
      </c>
      <c r="N176" s="585">
        <f t="shared" si="74"/>
        <v>-1.2616810878337294E-2</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9.5472012464691112</v>
      </c>
      <c r="X176" s="590">
        <f t="shared" si="82"/>
        <v>-102.08058163463676</v>
      </c>
      <c r="Y176" s="593">
        <f t="shared" si="83"/>
        <v>77.919418365363242</v>
      </c>
      <c r="AA176" s="150">
        <f t="shared" si="84"/>
        <v>1000000000</v>
      </c>
      <c r="AB176" s="150">
        <f t="shared" si="85"/>
        <v>97736950.440000013</v>
      </c>
      <c r="AD176" s="592">
        <f t="shared" si="86"/>
        <v>27.670981716633172</v>
      </c>
      <c r="AE176" s="593">
        <f t="shared" si="87"/>
        <v>-10.482622477335614</v>
      </c>
      <c r="AG176" s="592">
        <f t="shared" si="88"/>
        <v>7.3591608151565593</v>
      </c>
      <c r="AH176" s="593">
        <f t="shared" si="89"/>
        <v>-77.397486192324891</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5">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1.0000805160809232</v>
      </c>
      <c r="N177" s="585">
        <f t="shared" si="74"/>
        <v>-1.2689419129987785E-2</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9.4963837924879186</v>
      </c>
      <c r="X177" s="590">
        <f t="shared" si="82"/>
        <v>-102.13042522627666</v>
      </c>
      <c r="Y177" s="593">
        <f t="shared" si="83"/>
        <v>77.869574773723343</v>
      </c>
      <c r="AA177" s="150">
        <f t="shared" si="84"/>
        <v>1000000000</v>
      </c>
      <c r="AB177" s="150">
        <f t="shared" si="85"/>
        <v>98865237.610000014</v>
      </c>
      <c r="AD177" s="592">
        <f t="shared" si="86"/>
        <v>27.669981869525728</v>
      </c>
      <c r="AE177" s="593">
        <f t="shared" si="87"/>
        <v>-10.455773888516783</v>
      </c>
      <c r="AG177" s="592">
        <f t="shared" si="88"/>
        <v>7.3103548704312793</v>
      </c>
      <c r="AH177" s="593">
        <f t="shared" si="89"/>
        <v>-77.392859021578772</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5">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1.0000814401964413</v>
      </c>
      <c r="N178" s="585">
        <f t="shared" si="74"/>
        <v>-1.2762027247835166E-2</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9.4458531209673264</v>
      </c>
      <c r="X178" s="590">
        <f t="shared" si="82"/>
        <v>-102.18036909208382</v>
      </c>
      <c r="Y178" s="593">
        <f t="shared" si="83"/>
        <v>77.819630907916178</v>
      </c>
      <c r="AA178" s="150">
        <f t="shared" si="84"/>
        <v>1000000000</v>
      </c>
      <c r="AB178" s="150">
        <f t="shared" si="85"/>
        <v>100000000</v>
      </c>
      <c r="AD178" s="592">
        <f t="shared" si="86"/>
        <v>27.668996061465304</v>
      </c>
      <c r="AE178" s="593">
        <f t="shared" si="87"/>
        <v>-10.429407845867878</v>
      </c>
      <c r="AG178" s="592">
        <f t="shared" si="88"/>
        <v>7.2618273657875818</v>
      </c>
      <c r="AH178" s="593">
        <f t="shared" si="89"/>
        <v>-77.387856604143522</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5">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1.0000823916988502</v>
      </c>
      <c r="N179" s="585">
        <f t="shared" si="74"/>
        <v>-1.2836357914490011E-2</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9.3944171334881972</v>
      </c>
      <c r="X179" s="590">
        <f t="shared" si="82"/>
        <v>-102.23160002254646</v>
      </c>
      <c r="Y179" s="593">
        <f t="shared" si="83"/>
        <v>77.768399977453541</v>
      </c>
      <c r="AA179" s="150">
        <f t="shared" si="84"/>
        <v>1000000000</v>
      </c>
      <c r="AB179" s="150">
        <f t="shared" si="85"/>
        <v>101168393.0625</v>
      </c>
      <c r="AD179" s="592">
        <f t="shared" si="86"/>
        <v>27.668001064604553</v>
      </c>
      <c r="AE179" s="593">
        <f t="shared" si="87"/>
        <v>-10.402907737611438</v>
      </c>
      <c r="AG179" s="592">
        <f t="shared" si="88"/>
        <v>7.2124337707495325</v>
      </c>
      <c r="AH179" s="593">
        <f t="shared" si="89"/>
        <v>-77.382353431719892</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5">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1.0000833487267518</v>
      </c>
      <c r="N180" s="585">
        <f t="shared" si="74"/>
        <v>-1.2910688439294346E-2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9.3432746448794362</v>
      </c>
      <c r="X180" s="590">
        <f t="shared" si="82"/>
        <v>-102.28293249138406</v>
      </c>
      <c r="Y180" s="593">
        <f t="shared" si="83"/>
        <v>77.717067508615941</v>
      </c>
      <c r="AA180" s="150">
        <f t="shared" si="84"/>
        <v>1000000000</v>
      </c>
      <c r="AB180" s="150">
        <f t="shared" si="85"/>
        <v>102343572.25</v>
      </c>
      <c r="AD180" s="592">
        <f t="shared" si="86"/>
        <v>27.667020095240446</v>
      </c>
      <c r="AE180" s="593">
        <f t="shared" si="87"/>
        <v>-10.376896541925834</v>
      </c>
      <c r="AG180" s="592">
        <f t="shared" si="88"/>
        <v>7.163325613341347</v>
      </c>
      <c r="AH180" s="593">
        <f t="shared" si="89"/>
        <v>-77.376470329455387</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5">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1.0000843112801303</v>
      </c>
      <c r="N181" s="585">
        <f t="shared" si="74"/>
        <v>-1.2985018821427228E-2</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9.2924221805516876</v>
      </c>
      <c r="X181" s="590">
        <f t="shared" si="82"/>
        <v>-102.33436475853986</v>
      </c>
      <c r="Y181" s="593">
        <f t="shared" si="83"/>
        <v>77.665635241460137</v>
      </c>
      <c r="AA181" s="150">
        <f t="shared" si="84"/>
        <v>1000000000</v>
      </c>
      <c r="AB181" s="150">
        <f t="shared" si="85"/>
        <v>103525537.5625</v>
      </c>
      <c r="AD181" s="592">
        <f t="shared" si="86"/>
        <v>27.666052820969774</v>
      </c>
      <c r="AE181" s="593">
        <f t="shared" si="87"/>
        <v>-10.351366039422345</v>
      </c>
      <c r="AG181" s="592">
        <f t="shared" si="88"/>
        <v>7.1144997493701005</v>
      </c>
      <c r="AH181" s="593">
        <f t="shared" si="89"/>
        <v>-77.370213817978978</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5">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1.0000852793589696</v>
      </c>
      <c r="N182" s="585">
        <f t="shared" si="74"/>
        <v>-1.3059349060067714E-2</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9.2418563268146574</v>
      </c>
      <c r="X182" s="590">
        <f t="shared" si="82"/>
        <v>-102.38589512031564</v>
      </c>
      <c r="Y182" s="593">
        <f t="shared" si="83"/>
        <v>77.614104879684362</v>
      </c>
      <c r="AA182" s="150">
        <f t="shared" si="84"/>
        <v>1000000000</v>
      </c>
      <c r="AB182" s="150">
        <f t="shared" si="85"/>
        <v>104714289</v>
      </c>
      <c r="AD182" s="592">
        <f t="shared" si="86"/>
        <v>27.665098918668782</v>
      </c>
      <c r="AE182" s="593">
        <f t="shared" si="87"/>
        <v>-10.326308192574253</v>
      </c>
      <c r="AG182" s="592">
        <f t="shared" si="88"/>
        <v>7.0659530862519491</v>
      </c>
      <c r="AH182" s="593">
        <f t="shared" si="89"/>
        <v>-77.363590272382936</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5">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1.0000862739166076</v>
      </c>
      <c r="N183" s="585">
        <f t="shared" si="74"/>
        <v>-1.3135274219209033E-2</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9.1904977837699384</v>
      </c>
      <c r="X183" s="590">
        <f t="shared" si="82"/>
        <v>-102.43863082411275</v>
      </c>
      <c r="Y183" s="593">
        <f t="shared" si="83"/>
        <v>77.561369175887251</v>
      </c>
      <c r="AA183" s="150">
        <f t="shared" si="84"/>
        <v>1000000000</v>
      </c>
      <c r="AB183" s="150">
        <f t="shared" si="85"/>
        <v>105935556.25</v>
      </c>
      <c r="AD183" s="592">
        <f t="shared" si="86"/>
        <v>27.664138025229764</v>
      </c>
      <c r="AE183" s="593">
        <f t="shared" si="87"/>
        <v>-10.301192429852707</v>
      </c>
      <c r="AG183" s="592">
        <f t="shared" si="88"/>
        <v>7.0166497386416502</v>
      </c>
      <c r="AH183" s="593">
        <f t="shared" si="89"/>
        <v>-77.356452138527231</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5">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1.0000872742393612</v>
      </c>
      <c r="N184" s="585">
        <f t="shared" si="74"/>
        <v>-1.3211199226901957E-2</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9.1394312724497357</v>
      </c>
      <c r="X184" s="590">
        <f t="shared" si="82"/>
        <v>-102.49146539641271</v>
      </c>
      <c r="Y184" s="593">
        <f t="shared" si="83"/>
        <v>77.508534603587293</v>
      </c>
      <c r="AA184" s="150">
        <f t="shared" si="84"/>
        <v>1000000000</v>
      </c>
      <c r="AB184" s="150">
        <f t="shared" si="85"/>
        <v>107163904</v>
      </c>
      <c r="AD184" s="592">
        <f t="shared" si="86"/>
        <v>27.66319043060237</v>
      </c>
      <c r="AE184" s="593">
        <f t="shared" si="87"/>
        <v>-10.276553432795181</v>
      </c>
      <c r="AG184" s="592">
        <f t="shared" si="88"/>
        <v>6.9676313405221659</v>
      </c>
      <c r="AH184" s="593">
        <f t="shared" si="89"/>
        <v>-77.348944047870987</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5">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1.0000882803272131</v>
      </c>
      <c r="N185" s="585">
        <f t="shared" si="74"/>
        <v>-1.3287124082271586E-2</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9.0886533423786542</v>
      </c>
      <c r="X185" s="590">
        <f t="shared" si="82"/>
        <v>-102.54439713296037</v>
      </c>
      <c r="Y185" s="593">
        <f t="shared" si="83"/>
        <v>77.45560286703963</v>
      </c>
      <c r="AA185" s="150">
        <f t="shared" si="84"/>
        <v>1000000000</v>
      </c>
      <c r="AB185" s="150">
        <f t="shared" si="85"/>
        <v>108399332.25</v>
      </c>
      <c r="AD185" s="592">
        <f t="shared" si="86"/>
        <v>27.66225581844099</v>
      </c>
      <c r="AE185" s="593">
        <f t="shared" si="87"/>
        <v>-10.252383191228965</v>
      </c>
      <c r="AG185" s="592">
        <f t="shared" si="88"/>
        <v>6.9188947555790135</v>
      </c>
      <c r="AH185" s="593">
        <f t="shared" si="89"/>
        <v>-77.341072350209387</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5">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1.0000892921801461</v>
      </c>
      <c r="N186" s="585">
        <f t="shared" si="74"/>
        <v>-1.3363048784443035E-2</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9.0381606034029449</v>
      </c>
      <c r="X186" s="590">
        <f t="shared" si="82"/>
        <v>-102.59742436513319</v>
      </c>
      <c r="Y186" s="593">
        <f t="shared" si="83"/>
        <v>77.402575634866807</v>
      </c>
      <c r="AA186" s="150">
        <f t="shared" si="84"/>
        <v>1000000000</v>
      </c>
      <c r="AB186" s="150">
        <f t="shared" si="85"/>
        <v>109641841</v>
      </c>
      <c r="AD186" s="592">
        <f t="shared" si="86"/>
        <v>27.661333881222575</v>
      </c>
      <c r="AE186" s="593">
        <f t="shared" si="87"/>
        <v>-10.228673872122551</v>
      </c>
      <c r="AG186" s="592">
        <f t="shared" si="88"/>
        <v>6.870436898984785</v>
      </c>
      <c r="AH186" s="593">
        <f t="shared" si="89"/>
        <v>-77.332843253795474</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5">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1.0000903355268782</v>
      </c>
      <c r="N187" s="585">
        <f t="shared" si="74"/>
        <v>-1.3440887394780504E-2</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8.9866875175501573</v>
      </c>
      <c r="X187" s="590">
        <f t="shared" si="82"/>
        <v>-102.65188584518762</v>
      </c>
      <c r="Y187" s="593">
        <f t="shared" si="83"/>
        <v>77.348114154812379</v>
      </c>
      <c r="AA187" s="150">
        <f t="shared" si="84"/>
        <v>1000000000</v>
      </c>
      <c r="AB187" s="150">
        <f t="shared" si="85"/>
        <v>110923024</v>
      </c>
      <c r="AD187" s="592">
        <f t="shared" si="86"/>
        <v>27.660401547216395</v>
      </c>
      <c r="AE187" s="593">
        <f t="shared" si="87"/>
        <v>-10.204837319278994</v>
      </c>
      <c r="AG187" s="592">
        <f t="shared" si="88"/>
        <v>6.8210435965161009</v>
      </c>
      <c r="AH187" s="593">
        <f t="shared" si="89"/>
        <v>-77.324042027960559</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5">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1.0000913849329944</v>
      </c>
      <c r="N188" s="585">
        <f t="shared" si="74"/>
        <v>-1.3518725842235884E-2</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8.9355071555776515</v>
      </c>
      <c r="X188" s="590">
        <f t="shared" si="82"/>
        <v>-102.70644425554121</v>
      </c>
      <c r="Y188" s="593">
        <f t="shared" si="83"/>
        <v>77.293555744458786</v>
      </c>
      <c r="AA188" s="150">
        <f t="shared" si="84"/>
        <v>1000000000</v>
      </c>
      <c r="AB188" s="150">
        <f t="shared" si="85"/>
        <v>112211649</v>
      </c>
      <c r="AD188" s="592">
        <f t="shared" si="86"/>
        <v>27.659481907874973</v>
      </c>
      <c r="AE188" s="593">
        <f t="shared" si="87"/>
        <v>-10.181469098485682</v>
      </c>
      <c r="AG188" s="592">
        <f t="shared" si="88"/>
        <v>6.7719368479143682</v>
      </c>
      <c r="AH188" s="593">
        <f t="shared" si="89"/>
        <v>-77.314877931551891</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5">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1.0000924403984754</v>
      </c>
      <c r="N189" s="585">
        <f t="shared" si="74"/>
        <v>-1.3596564125866472E-2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8.884616052779359</v>
      </c>
      <c r="X189" s="590">
        <f t="shared" si="82"/>
        <v>-102.76109790882629</v>
      </c>
      <c r="Y189" s="593">
        <f t="shared" si="83"/>
        <v>77.238902091173713</v>
      </c>
      <c r="AA189" s="150">
        <f t="shared" si="84"/>
        <v>1000000000</v>
      </c>
      <c r="AB189" s="150">
        <f t="shared" si="85"/>
        <v>113507716</v>
      </c>
      <c r="AD189" s="592">
        <f t="shared" si="86"/>
        <v>27.658574658819091</v>
      </c>
      <c r="AE189" s="593">
        <f t="shared" si="87"/>
        <v>-10.158561317743132</v>
      </c>
      <c r="AG189" s="592">
        <f t="shared" si="88"/>
        <v>6.7231134904476111</v>
      </c>
      <c r="AH189" s="593">
        <f t="shared" si="89"/>
        <v>-77.3053572163317</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5">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1.0000935019233022</v>
      </c>
      <c r="N190" s="585">
        <f t="shared" si="74"/>
        <v>-1.3674402244729574E-2</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8.8340108050855477</v>
      </c>
      <c r="X190" s="590">
        <f t="shared" si="82"/>
        <v>-102.81584515309672</v>
      </c>
      <c r="Y190" s="593">
        <f t="shared" si="83"/>
        <v>77.184154846903283</v>
      </c>
      <c r="AA190" s="150">
        <f t="shared" si="84"/>
        <v>1000000000</v>
      </c>
      <c r="AB190" s="150">
        <f t="shared" si="85"/>
        <v>114811225</v>
      </c>
      <c r="AD190" s="592">
        <f t="shared" si="86"/>
        <v>27.657679504180528</v>
      </c>
      <c r="AE190" s="593">
        <f t="shared" si="87"/>
        <v>-10.136106260111969</v>
      </c>
      <c r="AG190" s="592">
        <f t="shared" si="88"/>
        <v>6.6745704134965091</v>
      </c>
      <c r="AH190" s="593">
        <f t="shared" si="89"/>
        <v>-77.295485994385643</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5">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1.0000945958358562</v>
      </c>
      <c r="N191" s="585">
        <f t="shared" si="74"/>
        <v>-1.3754154243815323E-2</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8.7824541541270928</v>
      </c>
      <c r="X191" s="590">
        <f t="shared" si="82"/>
        <v>-102.87203402135735</v>
      </c>
      <c r="Y191" s="593">
        <f t="shared" si="83"/>
        <v>77.127965978642649</v>
      </c>
      <c r="AA191" s="150">
        <f t="shared" si="84"/>
        <v>1000000000</v>
      </c>
      <c r="AB191" s="150">
        <f t="shared" si="85"/>
        <v>116154506.25</v>
      </c>
      <c r="AD191" s="592">
        <f t="shared" si="86"/>
        <v>27.656774580991183</v>
      </c>
      <c r="AE191" s="593">
        <f t="shared" si="87"/>
        <v>-10.113560697308673</v>
      </c>
      <c r="AG191" s="592">
        <f t="shared" si="88"/>
        <v>6.625121158691913</v>
      </c>
      <c r="AH191" s="593">
        <f t="shared" si="89"/>
        <v>-77.285014744736117</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5">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1.0000956961093794</v>
      </c>
      <c r="N192" s="585">
        <f t="shared" si="74"/>
        <v>-1.3833906067927091E-2</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8.7311905437209685</v>
      </c>
      <c r="X192" s="590">
        <f t="shared" si="82"/>
        <v>-102.92831773905692</v>
      </c>
      <c r="Y192" s="593">
        <f t="shared" si="83"/>
        <v>77.071682260943078</v>
      </c>
      <c r="AA192" s="150">
        <f t="shared" si="84"/>
        <v>1000000000</v>
      </c>
      <c r="AB192" s="150">
        <f t="shared" si="85"/>
        <v>117505600</v>
      </c>
      <c r="AD192" s="592">
        <f t="shared" si="86"/>
        <v>27.655881751686668</v>
      </c>
      <c r="AE192" s="593">
        <f t="shared" si="87"/>
        <v>-10.09147453781631</v>
      </c>
      <c r="AG192" s="592">
        <f t="shared" si="88"/>
        <v>6.5759596897927661</v>
      </c>
      <c r="AH192" s="593">
        <f t="shared" si="89"/>
        <v>-77.274188095994745</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5">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1.0000968027438508</v>
      </c>
      <c r="N193" s="585">
        <f t="shared" si="74"/>
        <v>-1.3913657716050958E-2</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8.680216501391758</v>
      </c>
      <c r="X193" s="590">
        <f t="shared" si="82"/>
        <v>-102.98469463910196</v>
      </c>
      <c r="Y193" s="593">
        <f t="shared" si="83"/>
        <v>77.01530536089804</v>
      </c>
      <c r="AA193" s="150">
        <f t="shared" si="84"/>
        <v>1000000000</v>
      </c>
      <c r="AB193" s="150">
        <f t="shared" si="85"/>
        <v>118864506.25</v>
      </c>
      <c r="AD193" s="592">
        <f t="shared" si="86"/>
        <v>27.655000724011774</v>
      </c>
      <c r="AE193" s="593">
        <f t="shared" si="87"/>
        <v>-10.069840022121074</v>
      </c>
      <c r="AG193" s="592">
        <f t="shared" si="88"/>
        <v>6.5270828239360359</v>
      </c>
      <c r="AH193" s="593">
        <f t="shared" si="89"/>
        <v>-77.263012191105346</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5">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1.0000979157392489</v>
      </c>
      <c r="N194" s="585">
        <f t="shared" si="74"/>
        <v>-1.3993409187173013E-2</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8.6295286154654978</v>
      </c>
      <c r="X194" s="590">
        <f t="shared" si="82"/>
        <v>-103.04116308950366</v>
      </c>
      <c r="Y194" s="593">
        <f t="shared" si="83"/>
        <v>76.958836910496345</v>
      </c>
      <c r="AA194" s="150">
        <f t="shared" si="84"/>
        <v>1000000000</v>
      </c>
      <c r="AB194" s="150">
        <f t="shared" si="85"/>
        <v>120231225</v>
      </c>
      <c r="AD194" s="592">
        <f t="shared" si="86"/>
        <v>27.654131213899259</v>
      </c>
      <c r="AE194" s="593">
        <f t="shared" si="87"/>
        <v>-10.048649563236371</v>
      </c>
      <c r="AG194" s="592">
        <f t="shared" si="88"/>
        <v>6.4784874308585829</v>
      </c>
      <c r="AH194" s="593">
        <f t="shared" si="89"/>
        <v>-77.251493035546929</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5">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1.0000990575475601</v>
      </c>
      <c r="N195" s="585">
        <f t="shared" si="74"/>
        <v>-1.4074755504318769E-2</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8.5781182938996512</v>
      </c>
      <c r="X195" s="590">
        <f t="shared" si="82"/>
        <v>-103.09885356723304</v>
      </c>
      <c r="Y195" s="593">
        <f t="shared" si="83"/>
        <v>76.901146432766964</v>
      </c>
      <c r="AA195" s="150">
        <f t="shared" si="84"/>
        <v>1000000000</v>
      </c>
      <c r="AB195" s="150">
        <f t="shared" si="85"/>
        <v>121633326.5625</v>
      </c>
      <c r="AD195" s="592">
        <f t="shared" si="86"/>
        <v>27.653255892628511</v>
      </c>
      <c r="AE195" s="593">
        <f t="shared" si="87"/>
        <v>-10.027485069129687</v>
      </c>
      <c r="AG195" s="592">
        <f t="shared" si="88"/>
        <v>6.4292069105082428</v>
      </c>
      <c r="AH195" s="593">
        <f t="shared" si="89"/>
        <v>-77.239395968858688</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5">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1.0001002059737349</v>
      </c>
      <c r="N196" s="585">
        <f t="shared" si="74"/>
        <v>-1.4156101635181051E-2</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8.526998706630275</v>
      </c>
      <c r="X196" s="590">
        <f t="shared" si="82"/>
        <v>-103.1566359717893</v>
      </c>
      <c r="Y196" s="593">
        <f t="shared" si="83"/>
        <v>76.843364028210701</v>
      </c>
      <c r="AA196" s="150">
        <f t="shared" si="84"/>
        <v>1000000000</v>
      </c>
      <c r="AB196" s="150">
        <f t="shared" si="85"/>
        <v>123043556.25</v>
      </c>
      <c r="AD196" s="592">
        <f t="shared" si="86"/>
        <v>27.65239198209207</v>
      </c>
      <c r="AE196" s="593">
        <f t="shared" si="87"/>
        <v>-10.006767154898537</v>
      </c>
      <c r="AG196" s="592">
        <f t="shared" si="88"/>
        <v>6.3802128181220041</v>
      </c>
      <c r="AH196" s="593">
        <f t="shared" si="89"/>
        <v>-77.226953984793866</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5">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1.0001013610177507</v>
      </c>
      <c r="N197" s="585">
        <f t="shared" si="74"/>
        <v>-1.4237447578683936E-2</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8.4761664196710331</v>
      </c>
      <c r="X197" s="590">
        <f t="shared" si="82"/>
        <v>-103.21450867833167</v>
      </c>
      <c r="Y197" s="593">
        <f t="shared" si="83"/>
        <v>76.785491321668331</v>
      </c>
      <c r="AA197" s="150">
        <f t="shared" si="84"/>
        <v>1000000000</v>
      </c>
      <c r="AB197" s="150">
        <f t="shared" si="85"/>
        <v>124461914.0625</v>
      </c>
      <c r="AD197" s="592">
        <f t="shared" si="86"/>
        <v>27.651539205439256</v>
      </c>
      <c r="AE197" s="593">
        <f t="shared" si="87"/>
        <v>-9.986488293821921</v>
      </c>
      <c r="AG197" s="592">
        <f t="shared" si="88"/>
        <v>6.3315019936997006</v>
      </c>
      <c r="AH197" s="593">
        <f t="shared" si="89"/>
        <v>-77.214173038662963</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5">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1.0001025226795843</v>
      </c>
      <c r="N198" s="585">
        <f t="shared" si="74"/>
        <v>-1.4318793333751518E-2</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8.4256180589281744</v>
      </c>
      <c r="X198" s="590">
        <f t="shared" si="82"/>
        <v>-103.27247009618084</v>
      </c>
      <c r="Y198" s="593">
        <f t="shared" si="83"/>
        <v>76.72752990381916</v>
      </c>
      <c r="AA198" s="150">
        <f t="shared" si="84"/>
        <v>1000000000</v>
      </c>
      <c r="AB198" s="150">
        <f t="shared" si="85"/>
        <v>125888400</v>
      </c>
      <c r="AD198" s="592">
        <f t="shared" si="86"/>
        <v>27.650697293556576</v>
      </c>
      <c r="AE198" s="593">
        <f t="shared" si="87"/>
        <v>-9.9666411261759524</v>
      </c>
      <c r="AG198" s="592">
        <f t="shared" si="88"/>
        <v>6.2830713293816878</v>
      </c>
      <c r="AH198" s="593">
        <f t="shared" si="89"/>
        <v>-77.201058952892268</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5">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1.0001037231229597</v>
      </c>
      <c r="N199" s="585">
        <f t="shared" si="74"/>
        <v>-1.4402371912150186E-2</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8.3739743358508889</v>
      </c>
      <c r="X199" s="590">
        <f t="shared" si="82"/>
        <v>-103.3321133725871</v>
      </c>
      <c r="Y199" s="593">
        <f t="shared" si="83"/>
        <v>76.667886627412898</v>
      </c>
      <c r="AA199" s="150">
        <f t="shared" si="84"/>
        <v>1000000000</v>
      </c>
      <c r="AB199" s="150">
        <f t="shared" si="85"/>
        <v>127362510.25</v>
      </c>
      <c r="AD199" s="592">
        <f t="shared" si="86"/>
        <v>27.649843311657616</v>
      </c>
      <c r="AE199" s="593">
        <f t="shared" si="87"/>
        <v>-9.9466912021816647</v>
      </c>
      <c r="AG199" s="592">
        <f t="shared" si="88"/>
        <v>6.2335997848697042</v>
      </c>
      <c r="AH199" s="593">
        <f t="shared" si="89"/>
        <v>-77.187243873089798</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5">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1.0001049305524214</v>
      </c>
      <c r="N200" s="585">
        <f t="shared" si="74"/>
        <v>-1.448595028932338E-2</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8.3226233078333962</v>
      </c>
      <c r="X200" s="590">
        <f t="shared" si="82"/>
        <v>-103.39184700002446</v>
      </c>
      <c r="Y200" s="593">
        <f t="shared" si="83"/>
        <v>76.608152999975545</v>
      </c>
      <c r="AA200" s="150">
        <f t="shared" si="84"/>
        <v>1000000000</v>
      </c>
      <c r="AB200" s="150">
        <f t="shared" si="85"/>
        <v>128845201</v>
      </c>
      <c r="AD200" s="592">
        <f t="shared" si="86"/>
        <v>27.649000247225469</v>
      </c>
      <c r="AE200" s="593">
        <f t="shared" si="87"/>
        <v>-9.9271817678076815</v>
      </c>
      <c r="AG200" s="592">
        <f t="shared" si="88"/>
        <v>6.1844175054761124</v>
      </c>
      <c r="AH200" s="593">
        <f t="shared" si="89"/>
        <v>-77.173089159067047</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5">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1.0001061449679447</v>
      </c>
      <c r="N201" s="585">
        <f t="shared" si="74"/>
        <v>-1.4569528464104184E-2</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8.2715615036960735</v>
      </c>
      <c r="X201" s="590">
        <f t="shared" si="82"/>
        <v>-103.45166936001941</v>
      </c>
      <c r="Y201" s="593">
        <f t="shared" si="83"/>
        <v>76.548330639980591</v>
      </c>
      <c r="AA201" s="150">
        <f t="shared" si="84"/>
        <v>1000000000</v>
      </c>
      <c r="AB201" s="150">
        <f t="shared" si="85"/>
        <v>130336472.25</v>
      </c>
      <c r="AD201" s="592">
        <f t="shared" si="86"/>
        <v>27.648167832219677</v>
      </c>
      <c r="AE201" s="593">
        <f t="shared" si="87"/>
        <v>-9.9081053613689356</v>
      </c>
      <c r="AG201" s="592">
        <f t="shared" si="88"/>
        <v>6.1355212848888074</v>
      </c>
      <c r="AH201" s="593">
        <f t="shared" si="89"/>
        <v>-77.158600711775577</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5">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1.0001073663695035</v>
      </c>
      <c r="N202" s="585">
        <f t="shared" si="74"/>
        <v>-1.4653106435325696E-2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8.2207855130018714</v>
      </c>
      <c r="X202" s="590">
        <f t="shared" si="82"/>
        <v>-103.51157886830734</v>
      </c>
      <c r="Y202" s="593">
        <f t="shared" si="83"/>
        <v>76.488421131692661</v>
      </c>
      <c r="AA202" s="150">
        <f t="shared" si="84"/>
        <v>1000000000</v>
      </c>
      <c r="AB202" s="150">
        <f t="shared" si="85"/>
        <v>131836324</v>
      </c>
      <c r="AD202" s="592">
        <f t="shared" si="86"/>
        <v>27.647345806125788</v>
      </c>
      <c r="AE202" s="593">
        <f t="shared" si="87"/>
        <v>-9.8894546875667544</v>
      </c>
      <c r="AG202" s="592">
        <f t="shared" si="88"/>
        <v>6.0869079699952753</v>
      </c>
      <c r="AH202" s="593">
        <f t="shared" si="89"/>
        <v>-77.143784299935348</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5">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1.0001086182675158</v>
      </c>
      <c r="N203" s="585">
        <f t="shared" si="74"/>
        <v>-1.473827919536643E-2</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8.1693310927338842</v>
      </c>
      <c r="X203" s="590">
        <f t="shared" si="82"/>
        <v>-103.57271974105981</v>
      </c>
      <c r="Y203" s="593">
        <f t="shared" si="83"/>
        <v>76.427280258940186</v>
      </c>
      <c r="AA203" s="150">
        <f t="shared" si="84"/>
        <v>1000000000</v>
      </c>
      <c r="AB203" s="150">
        <f t="shared" si="85"/>
        <v>133373626.5625</v>
      </c>
      <c r="AD203" s="592">
        <f t="shared" si="86"/>
        <v>27.646518518549648</v>
      </c>
      <c r="AE203" s="593">
        <f t="shared" si="87"/>
        <v>-9.8708786971276954</v>
      </c>
      <c r="AG203" s="592">
        <f t="shared" si="88"/>
        <v>6.0376547652884751</v>
      </c>
      <c r="AH203" s="593">
        <f t="shared" si="89"/>
        <v>-77.128353558526697</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5">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1.0001098774206969</v>
      </c>
      <c r="N204" s="585">
        <f t="shared" si="74"/>
        <v>-1.4823451741557497E-2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8.1181665341359981</v>
      </c>
      <c r="X204" s="590">
        <f t="shared" si="82"/>
        <v>-103.6339479026846</v>
      </c>
      <c r="Y204" s="593">
        <f t="shared" si="83"/>
        <v>76.366052097315404</v>
      </c>
      <c r="AA204" s="150">
        <f t="shared" si="84"/>
        <v>1000000000</v>
      </c>
      <c r="AB204" s="150">
        <f t="shared" si="85"/>
        <v>134919840.25</v>
      </c>
      <c r="AD204" s="592">
        <f t="shared" si="86"/>
        <v>27.645701496713123</v>
      </c>
      <c r="AE204" s="593">
        <f t="shared" si="87"/>
        <v>-9.8527300541836134</v>
      </c>
      <c r="AG204" s="592">
        <f t="shared" si="88"/>
        <v>5.9886889191983759</v>
      </c>
      <c r="AH204" s="593">
        <f t="shared" si="89"/>
        <v>-77.112593908279067</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5">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1.0001111438290193</v>
      </c>
      <c r="N205" s="585">
        <f t="shared" ref="N205:N268" si="110">-ATAN(G205/z_RHP)</f>
        <v>-1.4908624072663964E-2</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8.0672884135195861</v>
      </c>
      <c r="X205" s="590">
        <f t="shared" ref="X205:X268" si="116">((L205+R205+N205+V205)-(J205+P205+T205))*radconv</f>
        <v>-103.69526178040893</v>
      </c>
      <c r="Y205" s="593">
        <f t="shared" ref="Y205:Y268" si="117">IF(X205&gt;0,X205,X205+180)</f>
        <v>76.304738219591073</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5.9400072577816951</v>
      </c>
      <c r="AH205" s="593">
        <f t="shared" ref="AH205:AH268" si="123">(L205+N205-(J205+V205))*radconv</f>
        <v>-77.096511053985665</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5">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1.0001124174924558</v>
      </c>
      <c r="N206" s="585">
        <f t="shared" si="110"/>
        <v>-1.4993796187450918E-2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8.0166933668228975</v>
      </c>
      <c r="X206" s="590">
        <f t="shared" si="116"/>
        <v>-103.75665983460298</v>
      </c>
      <c r="Y206" s="593">
        <f t="shared" si="117"/>
        <v>76.243340165397015</v>
      </c>
      <c r="AA206" s="150">
        <f t="shared" si="118"/>
        <v>1000000000</v>
      </c>
      <c r="AB206" s="150">
        <f t="shared" si="119"/>
        <v>138039001</v>
      </c>
      <c r="AD206" s="592">
        <f t="shared" si="120"/>
        <v>27.644097244643</v>
      </c>
      <c r="AE206" s="593">
        <f t="shared" si="121"/>
        <v>-9.8176861044377244</v>
      </c>
      <c r="AG206" s="592">
        <f t="shared" si="122"/>
        <v>5.891606659619856</v>
      </c>
      <c r="AH206" s="593">
        <f t="shared" si="123"/>
        <v>-77.080110573099986</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5">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1.000113732090709</v>
      </c>
      <c r="N207" s="585">
        <f t="shared" si="110"/>
        <v>-1.508120105283413E-2</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7.9650626949550336</v>
      </c>
      <c r="X207" s="590">
        <f t="shared" si="116"/>
        <v>-103.81975351068303</v>
      </c>
      <c r="Y207" s="593">
        <f t="shared" si="117"/>
        <v>76.180246489316971</v>
      </c>
      <c r="AA207" s="150">
        <f t="shared" si="118"/>
        <v>1000000000</v>
      </c>
      <c r="AB207" s="150">
        <f t="shared" si="119"/>
        <v>139653306.25</v>
      </c>
      <c r="AD207" s="592">
        <f t="shared" si="120"/>
        <v>27.643289003392859</v>
      </c>
      <c r="AE207" s="593">
        <f t="shared" si="121"/>
        <v>-9.8003389294098735</v>
      </c>
      <c r="AG207" s="592">
        <f t="shared" si="122"/>
        <v>5.8422261254444692</v>
      </c>
      <c r="AH207" s="593">
        <f t="shared" si="123"/>
        <v>-77.062955609093606</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5">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1.0001150543294215</v>
      </c>
      <c r="N208" s="585">
        <f t="shared" si="110"/>
        <v>-1.5168605687771473E-2</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7.9137231428335078</v>
      </c>
      <c r="X208" s="590">
        <f t="shared" si="116"/>
        <v>-103.88293265288405</v>
      </c>
      <c r="Y208" s="593">
        <f t="shared" si="117"/>
        <v>76.117067347115949</v>
      </c>
      <c r="AA208" s="150">
        <f t="shared" si="118"/>
        <v>1000000000</v>
      </c>
      <c r="AB208" s="150">
        <f t="shared" si="119"/>
        <v>141276996</v>
      </c>
      <c r="AD208" s="592">
        <f t="shared" si="120"/>
        <v>27.642490544199458</v>
      </c>
      <c r="AE208" s="593">
        <f t="shared" si="121"/>
        <v>-9.7834122148084859</v>
      </c>
      <c r="AG208" s="592">
        <f t="shared" si="122"/>
        <v>5.793135089355637</v>
      </c>
      <c r="AH208" s="593">
        <f t="shared" si="123"/>
        <v>-77.045477650590399</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5">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1.000116384208563</v>
      </c>
      <c r="N209" s="585">
        <f t="shared" si="110"/>
        <v>-1.5256010090928399E-2</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7.8626712616822489</v>
      </c>
      <c r="X209" s="590">
        <f t="shared" si="116"/>
        <v>-103.94619570045523</v>
      </c>
      <c r="Y209" s="593">
        <f t="shared" si="117"/>
        <v>76.053804299544765</v>
      </c>
      <c r="AA209" s="150">
        <f t="shared" si="118"/>
        <v>1000000000</v>
      </c>
      <c r="AB209" s="150">
        <f t="shared" si="119"/>
        <v>142910070.25</v>
      </c>
      <c r="AD209" s="592">
        <f t="shared" si="120"/>
        <v>27.641701622849023</v>
      </c>
      <c r="AE209" s="593">
        <f t="shared" si="121"/>
        <v>-9.7668988329557944</v>
      </c>
      <c r="AG209" s="592">
        <f t="shared" si="122"/>
        <v>5.7443303430064248</v>
      </c>
      <c r="AH209" s="593">
        <f t="shared" si="123"/>
        <v>-77.027682330041813</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5">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1.000117721728103</v>
      </c>
      <c r="N210" s="585">
        <f t="shared" si="110"/>
        <v>-1.5343414260970377E-2</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7.8119036629212779</v>
      </c>
      <c r="X210" s="590">
        <f t="shared" si="116"/>
        <v>-104.0095411256531</v>
      </c>
      <c r="Y210" s="593">
        <f t="shared" si="117"/>
        <v>75.990458874346899</v>
      </c>
      <c r="AA210" s="150">
        <f t="shared" si="118"/>
        <v>1000000000</v>
      </c>
      <c r="AB210" s="150">
        <f t="shared" si="119"/>
        <v>144552529</v>
      </c>
      <c r="AD210" s="592">
        <f t="shared" si="120"/>
        <v>27.640922001985196</v>
      </c>
      <c r="AE210" s="593">
        <f t="shared" si="121"/>
        <v>-9.7507918152108228</v>
      </c>
      <c r="AG210" s="592">
        <f t="shared" si="122"/>
        <v>5.6958087313687455</v>
      </c>
      <c r="AH210" s="593">
        <f t="shared" si="123"/>
        <v>-77.009575153803482</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5">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1.0001190964295523</v>
      </c>
      <c r="N211" s="585">
        <f t="shared" si="110"/>
        <v>-1.5432732148723658E-2</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7.7603145884784617</v>
      </c>
      <c r="X211" s="590">
        <f t="shared" si="116"/>
        <v>-104.07435722396757</v>
      </c>
      <c r="Y211" s="593">
        <f t="shared" si="117"/>
        <v>75.925642776032433</v>
      </c>
      <c r="AA211" s="150">
        <f t="shared" si="118"/>
        <v>1000000000</v>
      </c>
      <c r="AB211" s="150">
        <f t="shared" si="119"/>
        <v>146240649</v>
      </c>
      <c r="AD211" s="592">
        <f t="shared" si="120"/>
        <v>27.640134677273327</v>
      </c>
      <c r="AE211" s="593">
        <f t="shared" si="121"/>
        <v>-9.7347448083383608</v>
      </c>
      <c r="AG211" s="592">
        <f t="shared" si="122"/>
        <v>5.646513876682957</v>
      </c>
      <c r="AH211" s="593">
        <f t="shared" si="123"/>
        <v>-76.990754897984345</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5">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1.0001204791096148</v>
      </c>
      <c r="N212" s="585">
        <f t="shared" si="110"/>
        <v>-1.5522049790223112E-2</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7.7090154146904757</v>
      </c>
      <c r="X212" s="590">
        <f t="shared" si="116"/>
        <v>-104.13925622318897</v>
      </c>
      <c r="Y212" s="593">
        <f t="shared" si="117"/>
        <v>75.860743776811034</v>
      </c>
      <c r="AA212" s="150">
        <f t="shared" si="118"/>
        <v>1000000000</v>
      </c>
      <c r="AB212" s="150">
        <f t="shared" si="119"/>
        <v>147938569</v>
      </c>
      <c r="AD212" s="592">
        <f t="shared" si="120"/>
        <v>27.639356584600215</v>
      </c>
      <c r="AE212" s="593">
        <f t="shared" si="121"/>
        <v>-9.7191079329757706</v>
      </c>
      <c r="AG212" s="592">
        <f t="shared" si="122"/>
        <v>5.5975081962916988</v>
      </c>
      <c r="AH212" s="593">
        <f t="shared" si="123"/>
        <v>-76.971620217434619</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5">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1.0001218697682575</v>
      </c>
      <c r="N213" s="585">
        <f t="shared" si="110"/>
        <v>-1.561136718404468E-2</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7.6580027113435758</v>
      </c>
      <c r="X213" s="590">
        <f t="shared" si="116"/>
        <v>-104.20423659422406</v>
      </c>
      <c r="Y213" s="593">
        <f t="shared" si="117"/>
        <v>75.795763405775944</v>
      </c>
      <c r="AA213" s="150">
        <f t="shared" si="118"/>
        <v>1000000000</v>
      </c>
      <c r="AB213" s="150">
        <f t="shared" si="119"/>
        <v>149646289</v>
      </c>
      <c r="AD213" s="592">
        <f t="shared" si="120"/>
        <v>27.638587491408735</v>
      </c>
      <c r="AE213" s="593">
        <f t="shared" si="121"/>
        <v>-9.7038742392327819</v>
      </c>
      <c r="AG213" s="592">
        <f t="shared" si="122"/>
        <v>5.5487884884143943</v>
      </c>
      <c r="AH213" s="593">
        <f t="shared" si="123"/>
        <v>-76.952176602581531</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5">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1.0001232684054471</v>
      </c>
      <c r="N214" s="585">
        <f t="shared" si="110"/>
        <v>-1.5700684328764321E-2</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7.6072731079780205</v>
      </c>
      <c r="X214" s="590">
        <f t="shared" si="116"/>
        <v>-104.26929684029034</v>
      </c>
      <c r="Y214" s="593">
        <f t="shared" si="117"/>
        <v>75.730703159709662</v>
      </c>
      <c r="AA214" s="150">
        <f t="shared" si="118"/>
        <v>1000000000</v>
      </c>
      <c r="AB214" s="150">
        <f t="shared" si="119"/>
        <v>151363809</v>
      </c>
      <c r="AD214" s="592">
        <f t="shared" si="120"/>
        <v>27.637827171667141</v>
      </c>
      <c r="AE214" s="593">
        <f t="shared" si="121"/>
        <v>-9.6890369322121863</v>
      </c>
      <c r="AG214" s="592">
        <f t="shared" si="122"/>
        <v>5.5003516044779559</v>
      </c>
      <c r="AH214" s="593">
        <f t="shared" si="123"/>
        <v>-76.932429421094781</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5">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1.0001247052502307</v>
      </c>
      <c r="N215" s="585">
        <f t="shared" si="110"/>
        <v>-1.5791915153652792E-2</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7.5557452628912705</v>
      </c>
      <c r="X215" s="590">
        <f t="shared" si="116"/>
        <v>-104.33583217186739</v>
      </c>
      <c r="Y215" s="593">
        <f t="shared" si="117"/>
        <v>75.664167828132605</v>
      </c>
      <c r="AA215" s="150">
        <f t="shared" si="118"/>
        <v>1000000000</v>
      </c>
      <c r="AB215" s="150">
        <f t="shared" si="119"/>
        <v>153128250.25</v>
      </c>
      <c r="AD215" s="592">
        <f t="shared" si="120"/>
        <v>27.637059388404218</v>
      </c>
      <c r="AE215" s="593">
        <f t="shared" si="121"/>
        <v>-9.6742839941802021</v>
      </c>
      <c r="AG215" s="592">
        <f t="shared" si="122"/>
        <v>5.4511655476366698</v>
      </c>
      <c r="AH215" s="593">
        <f t="shared" si="123"/>
        <v>-76.911951148177849</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5">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1.0001261504190917</v>
      </c>
      <c r="N216" s="585">
        <f t="shared" si="110"/>
        <v>-1.588314571564595E-2</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7.5045058571033296</v>
      </c>
      <c r="X216" s="590">
        <f t="shared" si="116"/>
        <v>-104.40244778108767</v>
      </c>
      <c r="Y216" s="593">
        <f t="shared" si="117"/>
        <v>75.597552218912327</v>
      </c>
      <c r="AA216" s="150">
        <f t="shared" si="118"/>
        <v>1000000000</v>
      </c>
      <c r="AB216" s="150">
        <f t="shared" si="119"/>
        <v>154902916</v>
      </c>
      <c r="AD216" s="592">
        <f t="shared" si="120"/>
        <v>27.636300301817336</v>
      </c>
      <c r="AE216" s="593">
        <f t="shared" si="121"/>
        <v>-9.6599307587404049</v>
      </c>
      <c r="AG216" s="592">
        <f t="shared" si="122"/>
        <v>5.4022680900934592</v>
      </c>
      <c r="AH216" s="593">
        <f t="shared" si="123"/>
        <v>-76.891167102548692</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5">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1.000127603911994</v>
      </c>
      <c r="N217" s="585">
        <f t="shared" si="110"/>
        <v>-1.5974376013226307E-2</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7.4535514830483347</v>
      </c>
      <c r="X217" s="590">
        <f t="shared" si="116"/>
        <v>-104.46914217179174</v>
      </c>
      <c r="Y217" s="593">
        <f t="shared" si="117"/>
        <v>75.530857828208255</v>
      </c>
      <c r="AA217" s="150">
        <f t="shared" si="118"/>
        <v>1000000000</v>
      </c>
      <c r="AB217" s="150">
        <f t="shared" si="119"/>
        <v>156687806.25</v>
      </c>
      <c r="AD217" s="592">
        <f t="shared" si="120"/>
        <v>27.635549690731942</v>
      </c>
      <c r="AE217" s="593">
        <f t="shared" si="121"/>
        <v>-9.6459704582711971</v>
      </c>
      <c r="AG217" s="592">
        <f t="shared" si="122"/>
        <v>5.3536560409704439</v>
      </c>
      <c r="AH217" s="593">
        <f t="shared" si="123"/>
        <v>-76.870082629545308</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5">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1.0001290657289013</v>
      </c>
      <c r="N218" s="585">
        <f t="shared" si="110"/>
        <v>-1.6065606044876401E-2</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7.4028787923800623</v>
      </c>
      <c r="X218" s="590">
        <f t="shared" si="116"/>
        <v>-104.5359138793857</v>
      </c>
      <c r="Y218" s="593">
        <f t="shared" si="117"/>
        <v>75.464086120614297</v>
      </c>
      <c r="AA218" s="150">
        <f t="shared" si="118"/>
        <v>1000000000</v>
      </c>
      <c r="AB218" s="150">
        <f t="shared" si="119"/>
        <v>158482921</v>
      </c>
      <c r="AD218" s="592">
        <f t="shared" si="120"/>
        <v>27.634807340172308</v>
      </c>
      <c r="AE218" s="593">
        <f t="shared" si="121"/>
        <v>-9.6323964759341543</v>
      </c>
      <c r="AG218" s="592">
        <f t="shared" si="122"/>
        <v>5.3053262623873607</v>
      </c>
      <c r="AH218" s="593">
        <f t="shared" si="123"/>
        <v>-76.848702955204615</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5">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1.0001305719566056</v>
      </c>
      <c r="N219" s="585">
        <f t="shared" si="110"/>
        <v>-1.6159068702039529E-2</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7.3512545305524242</v>
      </c>
      <c r="X219" s="590">
        <f t="shared" si="116"/>
        <v>-104.60439853927041</v>
      </c>
      <c r="Y219" s="593">
        <f t="shared" si="117"/>
        <v>75.395601460729594</v>
      </c>
      <c r="AA219" s="150">
        <f t="shared" si="118"/>
        <v>1000000000</v>
      </c>
      <c r="AB219" s="150">
        <f t="shared" si="119"/>
        <v>160332575.0625</v>
      </c>
      <c r="AD219" s="592">
        <f t="shared" si="120"/>
        <v>27.63405516801495</v>
      </c>
      <c r="AE219" s="593">
        <f t="shared" si="121"/>
        <v>-9.6188841165890668</v>
      </c>
      <c r="AG219" s="592">
        <f t="shared" si="122"/>
        <v>5.2561030792429362</v>
      </c>
      <c r="AH219" s="593">
        <f t="shared" si="123"/>
        <v>-76.826499216256266</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5">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1.0001320869206927</v>
      </c>
      <c r="N220" s="585">
        <f t="shared" si="110"/>
        <v>-1.6252531076871336E-2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7.2999189796990169</v>
      </c>
      <c r="X220" s="590">
        <f t="shared" si="116"/>
        <v>-104.67296133311287</v>
      </c>
      <c r="Y220" s="593">
        <f t="shared" si="117"/>
        <v>75.327038666887134</v>
      </c>
      <c r="AA220" s="150">
        <f t="shared" si="118"/>
        <v>1000000000</v>
      </c>
      <c r="AB220" s="150">
        <f t="shared" si="119"/>
        <v>162192960.25</v>
      </c>
      <c r="AD220" s="592">
        <f t="shared" si="120"/>
        <v>27.633311227975188</v>
      </c>
      <c r="AE220" s="593">
        <f t="shared" si="121"/>
        <v>-9.6057636253954737</v>
      </c>
      <c r="AG220" s="592">
        <f t="shared" si="122"/>
        <v>5.2071696513809336</v>
      </c>
      <c r="AH220" s="593">
        <f t="shared" si="123"/>
        <v>-76.803996383326947</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5">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1.0001336106211223</v>
      </c>
      <c r="N221" s="585">
        <f t="shared" si="110"/>
        <v>-1.6345993167740283E-2</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7.2488687240714498</v>
      </c>
      <c r="X221" s="590">
        <f t="shared" si="116"/>
        <v>-104.7416007837691</v>
      </c>
      <c r="Y221" s="593">
        <f t="shared" si="117"/>
        <v>75.258399216230899</v>
      </c>
      <c r="AA221" s="150">
        <f t="shared" si="118"/>
        <v>1000000000</v>
      </c>
      <c r="AB221" s="150">
        <f t="shared" si="119"/>
        <v>164064076.5625</v>
      </c>
      <c r="AD221" s="592">
        <f t="shared" si="120"/>
        <v>27.632575307814822</v>
      </c>
      <c r="AE221" s="593">
        <f t="shared" si="121"/>
        <v>-9.593028353152361</v>
      </c>
      <c r="AG221" s="592">
        <f t="shared" si="122"/>
        <v>5.1585227703668082</v>
      </c>
      <c r="AH221" s="593">
        <f t="shared" si="123"/>
        <v>-76.78119970753994</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5">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1.0001351430578551</v>
      </c>
      <c r="N222" s="585">
        <f t="shared" si="110"/>
        <v>-1.6439454973014855E-2</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7.1981004073204877</v>
      </c>
      <c r="X222" s="590">
        <f t="shared" si="116"/>
        <v>-104.81031544529363</v>
      </c>
      <c r="Y222" s="593">
        <f t="shared" si="117"/>
        <v>75.189684554706375</v>
      </c>
      <c r="AA222" s="150">
        <f t="shared" si="118"/>
        <v>1000000000</v>
      </c>
      <c r="AB222" s="150">
        <f t="shared" si="119"/>
        <v>165945924</v>
      </c>
      <c r="AD222" s="592">
        <f t="shared" si="120"/>
        <v>27.631847201254644</v>
      </c>
      <c r="AE222" s="593">
        <f t="shared" si="121"/>
        <v>-9.5806717990917836</v>
      </c>
      <c r="AG222" s="592">
        <f t="shared" si="122"/>
        <v>5.1101592811808496</v>
      </c>
      <c r="AH222" s="593">
        <f t="shared" si="123"/>
        <v>-76.75811432269154</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5">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1.0001367264331815</v>
      </c>
      <c r="N223" s="585">
        <f t="shared" si="110"/>
        <v>-1.6535468337342027E-2</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7.1462360503908782</v>
      </c>
      <c r="X223" s="590">
        <f t="shared" si="116"/>
        <v>-104.88098310697622</v>
      </c>
      <c r="Y223" s="593">
        <f t="shared" si="117"/>
        <v>75.119016893023783</v>
      </c>
      <c r="AA223" s="150">
        <f t="shared" si="118"/>
        <v>1000000000</v>
      </c>
      <c r="AB223" s="150">
        <f t="shared" si="119"/>
        <v>167890327.5625</v>
      </c>
      <c r="AD223" s="592">
        <f t="shared" si="120"/>
        <v>27.631107140508824</v>
      </c>
      <c r="AE223" s="593">
        <f t="shared" si="121"/>
        <v>-9.5683655563324876</v>
      </c>
      <c r="AG223" s="592">
        <f t="shared" si="122"/>
        <v>5.0607671310755347</v>
      </c>
      <c r="AH223" s="593">
        <f t="shared" si="123"/>
        <v>-76.734103253202946</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5">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1.0001383190283053</v>
      </c>
      <c r="N224" s="585">
        <f t="shared" si="110"/>
        <v>-1.6631481396775758E-2</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7.0946622442359155</v>
      </c>
      <c r="X224" s="590">
        <f t="shared" si="116"/>
        <v>-104.95172714662834</v>
      </c>
      <c r="Y224" s="593">
        <f t="shared" si="117"/>
        <v>75.048272853371657</v>
      </c>
      <c r="AA224" s="150">
        <f t="shared" si="118"/>
        <v>1000000000</v>
      </c>
      <c r="AB224" s="150">
        <f t="shared" si="119"/>
        <v>169846056.25</v>
      </c>
      <c r="AD224" s="592">
        <f t="shared" si="120"/>
        <v>27.630374902998057</v>
      </c>
      <c r="AE224" s="593">
        <f t="shared" si="121"/>
        <v>-9.5564455500710785</v>
      </c>
      <c r="AG224" s="592">
        <f t="shared" si="122"/>
        <v>5.0116674773211445</v>
      </c>
      <c r="AH224" s="593">
        <f t="shared" si="123"/>
        <v>-76.709798111223421</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5">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1.0001399208431825</v>
      </c>
      <c r="N225" s="585">
        <f t="shared" si="110"/>
        <v>-1.6727494149547321E-2</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7.0433755368739632</v>
      </c>
      <c r="X225" s="590">
        <f t="shared" si="116"/>
        <v>-105.02254609402257</v>
      </c>
      <c r="Y225" s="593">
        <f t="shared" si="117"/>
        <v>74.977453905977427</v>
      </c>
      <c r="AA225" s="150">
        <f t="shared" si="118"/>
        <v>1000000000</v>
      </c>
      <c r="AB225" s="150">
        <f t="shared" si="119"/>
        <v>171813110.0625</v>
      </c>
      <c r="AD225" s="592">
        <f t="shared" si="120"/>
        <v>27.629650283434227</v>
      </c>
      <c r="AE225" s="593">
        <f t="shared" si="121"/>
        <v>-9.5449051949696653</v>
      </c>
      <c r="AG225" s="592">
        <f t="shared" si="122"/>
        <v>4.9628570677746149</v>
      </c>
      <c r="AH225" s="593">
        <f t="shared" si="123"/>
        <v>-76.685204097171123</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5">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1.0001415318777684</v>
      </c>
      <c r="N226" s="585">
        <f t="shared" si="110"/>
        <v>-1.6823506593888014E-2</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6.9923725365528249</v>
      </c>
      <c r="X226" s="590">
        <f t="shared" si="116"/>
        <v>-105.09343851009422</v>
      </c>
      <c r="Y226" s="593">
        <f t="shared" si="117"/>
        <v>74.906561489905783</v>
      </c>
      <c r="AA226" s="150">
        <f t="shared" si="118"/>
        <v>1000000000</v>
      </c>
      <c r="AB226" s="150">
        <f t="shared" si="119"/>
        <v>173791489</v>
      </c>
      <c r="AD226" s="592">
        <f t="shared" si="120"/>
        <v>27.628933082318689</v>
      </c>
      <c r="AE226" s="593">
        <f t="shared" si="121"/>
        <v>-9.533738053370918</v>
      </c>
      <c r="AG226" s="592">
        <f t="shared" si="122"/>
        <v>4.9143327047049432</v>
      </c>
      <c r="AH226" s="593">
        <f t="shared" si="123"/>
        <v>-76.660326294837304</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5">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1.0001431845231676</v>
      </c>
      <c r="N227" s="585">
        <f t="shared" si="110"/>
        <v>-1.6921432588002779E-2</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6.9406416557204818</v>
      </c>
      <c r="X227" s="590">
        <f t="shared" si="116"/>
        <v>-105.16581828340674</v>
      </c>
      <c r="Y227" s="593">
        <f t="shared" si="117"/>
        <v>74.834181716593264</v>
      </c>
      <c r="AA227" s="150">
        <f t="shared" si="118"/>
        <v>1000000000</v>
      </c>
      <c r="AB227" s="150">
        <f t="shared" si="119"/>
        <v>175820970.0625</v>
      </c>
      <c r="AD227" s="592">
        <f t="shared" si="120"/>
        <v>27.628209025532875</v>
      </c>
      <c r="AE227" s="593">
        <f t="shared" si="121"/>
        <v>-9.5227262319179253</v>
      </c>
      <c r="AG227" s="592">
        <f t="shared" si="122"/>
        <v>4.8651324743561624</v>
      </c>
      <c r="AH227" s="593">
        <f t="shared" si="123"/>
        <v>-76.634665412927419</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5">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1.0001448467594085</v>
      </c>
      <c r="N228" s="585">
        <f t="shared" si="110"/>
        <v>-1.7019358257551472E-2</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6.889198963675276</v>
      </c>
      <c r="X228" s="590">
        <f t="shared" si="116"/>
        <v>-105.23827155515397</v>
      </c>
      <c r="Y228" s="593">
        <f t="shared" si="117"/>
        <v>74.761728444846028</v>
      </c>
      <c r="AA228" s="150">
        <f t="shared" si="118"/>
        <v>1000000000</v>
      </c>
      <c r="AB228" s="150">
        <f t="shared" si="119"/>
        <v>177862232.25</v>
      </c>
      <c r="AD228" s="592">
        <f t="shared" si="120"/>
        <v>27.627492284265283</v>
      </c>
      <c r="AE228" s="593">
        <f t="shared" si="121"/>
        <v>-9.5120895757121193</v>
      </c>
      <c r="AG228" s="592">
        <f t="shared" si="122"/>
        <v>4.8162232564584198</v>
      </c>
      <c r="AH228" s="593">
        <f t="shared" si="123"/>
        <v>-76.608719641915386</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5">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1.0001465185864431</v>
      </c>
      <c r="N229" s="585">
        <f t="shared" si="110"/>
        <v>-1.7117283600657614E-2</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6.8380410465190042</v>
      </c>
      <c r="X229" s="590">
        <f t="shared" si="116"/>
        <v>-105.31079689334722</v>
      </c>
      <c r="Y229" s="593">
        <f t="shared" si="117"/>
        <v>74.689203106652784</v>
      </c>
      <c r="AA229" s="150">
        <f t="shared" si="118"/>
        <v>1000000000</v>
      </c>
      <c r="AB229" s="150">
        <f t="shared" si="119"/>
        <v>179915275.5625</v>
      </c>
      <c r="AD229" s="592">
        <f t="shared" si="120"/>
        <v>27.626782664232799</v>
      </c>
      <c r="AE229" s="593">
        <f t="shared" si="121"/>
        <v>-9.50182170311923</v>
      </c>
      <c r="AG229" s="592">
        <f t="shared" si="122"/>
        <v>4.7676018254954036</v>
      </c>
      <c r="AH229" s="593">
        <f t="shared" si="123"/>
        <v>-76.582494021497951</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5">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1.0001482000042232</v>
      </c>
      <c r="N230" s="585">
        <f t="shared" si="110"/>
        <v>-1.7215208615444764E-2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6.7871645496935535</v>
      </c>
      <c r="X230" s="590">
        <f t="shared" si="116"/>
        <v>-105.38339289623113</v>
      </c>
      <c r="Y230" s="593">
        <f t="shared" si="117"/>
        <v>74.616607103768871</v>
      </c>
      <c r="AA230" s="150">
        <f t="shared" si="118"/>
        <v>1000000000</v>
      </c>
      <c r="AB230" s="150">
        <f t="shared" si="119"/>
        <v>181980100</v>
      </c>
      <c r="AD230" s="592">
        <f t="shared" si="120"/>
        <v>27.626079976616897</v>
      </c>
      <c r="AE230" s="593">
        <f t="shared" si="121"/>
        <v>-9.4919163752460882</v>
      </c>
      <c r="AG230" s="592">
        <f t="shared" si="122"/>
        <v>4.7192650097963815</v>
      </c>
      <c r="AH230" s="593">
        <f t="shared" si="123"/>
        <v>-76.555993478743545</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5">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1.0001499296817304</v>
      </c>
      <c r="N231" s="585">
        <f t="shared" si="110"/>
        <v>-1.7315366106569346E-2</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6.735415685288566</v>
      </c>
      <c r="X231" s="590">
        <f t="shared" si="116"/>
        <v>-105.4577158522502</v>
      </c>
      <c r="Y231" s="593">
        <f t="shared" si="117"/>
        <v>74.542284147749797</v>
      </c>
      <c r="AA231" s="150">
        <f t="shared" si="118"/>
        <v>1000000000</v>
      </c>
      <c r="AB231" s="150">
        <f t="shared" si="119"/>
        <v>184104192.25</v>
      </c>
      <c r="AD231" s="592">
        <f t="shared" si="120"/>
        <v>27.625368246854258</v>
      </c>
      <c r="AE231" s="593">
        <f t="shared" si="121"/>
        <v>-9.4821538742043163</v>
      </c>
      <c r="AG231" s="592">
        <f t="shared" si="122"/>
        <v>4.6701172246540104</v>
      </c>
      <c r="AH231" s="593">
        <f t="shared" si="123"/>
        <v>-76.528609313256155</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5">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1.0001516693922299</v>
      </c>
      <c r="N232" s="585">
        <f t="shared" si="110"/>
        <v>-1.7415523250261418E-2</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6.6839543066315503</v>
      </c>
      <c r="X232" s="590">
        <f t="shared" si="116"/>
        <v>-105.53210985928719</v>
      </c>
      <c r="Y232" s="593">
        <f t="shared" si="117"/>
        <v>74.467890140712811</v>
      </c>
      <c r="AA232" s="150">
        <f t="shared" si="118"/>
        <v>1000000000</v>
      </c>
      <c r="AB232" s="150">
        <f t="shared" si="119"/>
        <v>186240609</v>
      </c>
      <c r="AD232" s="592">
        <f t="shared" si="120"/>
        <v>27.624663386410564</v>
      </c>
      <c r="AE232" s="593">
        <f t="shared" si="121"/>
        <v>-9.4727578774577808</v>
      </c>
      <c r="AG232" s="592">
        <f t="shared" si="122"/>
        <v>4.6212606377425196</v>
      </c>
      <c r="AH232" s="593">
        <f t="shared" si="123"/>
        <v>-76.500947624239572</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5">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1.0001534191356694</v>
      </c>
      <c r="N233" s="585">
        <f t="shared" si="110"/>
        <v>-1.751568004451336E-2</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6.632777008276955</v>
      </c>
      <c r="X233" s="590">
        <f t="shared" si="116"/>
        <v>-105.60657351043771</v>
      </c>
      <c r="Y233" s="593">
        <f t="shared" si="117"/>
        <v>74.393426489562287</v>
      </c>
      <c r="AA233" s="150">
        <f t="shared" si="118"/>
        <v>1000000000</v>
      </c>
      <c r="AB233" s="150">
        <f t="shared" si="119"/>
        <v>188389350.25</v>
      </c>
      <c r="AD233" s="592">
        <f t="shared" si="120"/>
        <v>27.623965209828029</v>
      </c>
      <c r="AE233" s="593">
        <f t="shared" si="121"/>
        <v>-9.463722147578423</v>
      </c>
      <c r="AG233" s="592">
        <f t="shared" si="122"/>
        <v>4.5726920226308811</v>
      </c>
      <c r="AH233" s="593">
        <f t="shared" si="123"/>
        <v>-76.473013338056106</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5">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1.000155178911996</v>
      </c>
      <c r="N234" s="585">
        <f t="shared" si="110"/>
        <v>-1.7615836487317595E-2</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6.5818804439176501</v>
      </c>
      <c r="X234" s="590">
        <f t="shared" si="116"/>
        <v>-105.68110542845825</v>
      </c>
      <c r="Y234" s="593">
        <f t="shared" si="117"/>
        <v>74.318894571541747</v>
      </c>
      <c r="AA234" s="150">
        <f t="shared" si="118"/>
        <v>1000000000</v>
      </c>
      <c r="AB234" s="150">
        <f t="shared" si="119"/>
        <v>190550416</v>
      </c>
      <c r="AD234" s="592">
        <f t="shared" si="120"/>
        <v>27.623273536865959</v>
      </c>
      <c r="AE234" s="593">
        <f t="shared" si="121"/>
        <v>-9.4550405866784732</v>
      </c>
      <c r="AG234" s="592">
        <f t="shared" si="122"/>
        <v>4.524408206776906</v>
      </c>
      <c r="AH234" s="593">
        <f t="shared" si="123"/>
        <v>-76.444811271055698</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5">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1.0001569882898249</v>
      </c>
      <c r="N235" s="585">
        <f t="shared" si="110"/>
        <v>-1.7718225351685456E-2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6.5301360098827912</v>
      </c>
      <c r="X235" s="590">
        <f t="shared" si="116"/>
        <v>-105.75736804869538</v>
      </c>
      <c r="Y235" s="593">
        <f t="shared" si="117"/>
        <v>74.242631951304617</v>
      </c>
      <c r="AA235" s="150">
        <f t="shared" si="118"/>
        <v>1000000000</v>
      </c>
      <c r="AB235" s="150">
        <f t="shared" si="119"/>
        <v>192772398.0625</v>
      </c>
      <c r="AD235" s="592">
        <f t="shared" si="120"/>
        <v>27.622572984739698</v>
      </c>
      <c r="AE235" s="593">
        <f t="shared" si="121"/>
        <v>-9.4465253799101276</v>
      </c>
      <c r="AG235" s="592">
        <f t="shared" si="122"/>
        <v>4.4753391450859654</v>
      </c>
      <c r="AH235" s="593">
        <f t="shared" si="123"/>
        <v>-76.415708597375342</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5">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1.0001588081527413</v>
      </c>
      <c r="N236" s="585">
        <f t="shared" si="110"/>
        <v>-1.7820613844518478E-2</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6.4786780771616215</v>
      </c>
      <c r="X236" s="590">
        <f t="shared" si="116"/>
        <v>-105.83369919416555</v>
      </c>
      <c r="Y236" s="593">
        <f t="shared" si="117"/>
        <v>74.166300805834453</v>
      </c>
      <c r="AA236" s="150">
        <f t="shared" si="118"/>
        <v>1000000000</v>
      </c>
      <c r="AB236" s="150">
        <f t="shared" si="119"/>
        <v>195007260.25</v>
      </c>
      <c r="AD236" s="592">
        <f t="shared" si="120"/>
        <v>27.6218788644446</v>
      </c>
      <c r="AE236" s="593">
        <f t="shared" si="121"/>
        <v>-9.4383678511611198</v>
      </c>
      <c r="AG236" s="592">
        <f t="shared" si="122"/>
        <v>4.426561184446939</v>
      </c>
      <c r="AH236" s="593">
        <f t="shared" si="123"/>
        <v>-76.386335911011741</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5">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1.0001606385006876</v>
      </c>
      <c r="N237" s="585">
        <f t="shared" si="110"/>
        <v>-1.7923001963671935E-2</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6.4275032535399372</v>
      </c>
      <c r="X237" s="590">
        <f t="shared" si="116"/>
        <v>-105.91009748446403</v>
      </c>
      <c r="Y237" s="593">
        <f t="shared" si="117"/>
        <v>74.089902515535968</v>
      </c>
      <c r="AA237" s="150">
        <f t="shared" si="118"/>
        <v>1000000000</v>
      </c>
      <c r="AB237" s="150">
        <f t="shared" si="119"/>
        <v>197255002.5625</v>
      </c>
      <c r="AD237" s="592">
        <f t="shared" si="120"/>
        <v>27.621190999210476</v>
      </c>
      <c r="AE237" s="593">
        <f t="shared" si="121"/>
        <v>-9.4305619130254001</v>
      </c>
      <c r="AG237" s="592">
        <f t="shared" si="122"/>
        <v>4.378071102392366</v>
      </c>
      <c r="AH237" s="593">
        <f t="shared" si="123"/>
        <v>-76.356698020787562</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5">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1.0001624793336064</v>
      </c>
      <c r="N238" s="585">
        <f t="shared" si="110"/>
        <v>-1.8025389707001158E-2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6.3766082056315518</v>
      </c>
      <c r="X238" s="590">
        <f t="shared" si="116"/>
        <v>-105.98656156822375</v>
      </c>
      <c r="Y238" s="593">
        <f t="shared" si="117"/>
        <v>74.013438431776251</v>
      </c>
      <c r="AA238" s="150">
        <f t="shared" si="118"/>
        <v>1000000000</v>
      </c>
      <c r="AB238" s="150">
        <f t="shared" si="119"/>
        <v>199515625</v>
      </c>
      <c r="AD238" s="592">
        <f t="shared" si="120"/>
        <v>27.620509217238258</v>
      </c>
      <c r="AE238" s="593">
        <f t="shared" si="121"/>
        <v>-9.4231016142346711</v>
      </c>
      <c r="AG238" s="592">
        <f t="shared" si="122"/>
        <v>4.3298657302762553</v>
      </c>
      <c r="AH238" s="593">
        <f t="shared" si="123"/>
        <v>-76.326799628277982</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5">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1.0001643769241109</v>
      </c>
      <c r="N239" s="585">
        <f t="shared" si="110"/>
        <v>-1.8130328777555875E-2</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6.32473163955326</v>
      </c>
      <c r="X239" s="590">
        <f t="shared" si="116"/>
        <v>-106.0649981881824</v>
      </c>
      <c r="Y239" s="593">
        <f t="shared" si="117"/>
        <v>73.9350018118176</v>
      </c>
      <c r="AA239" s="150">
        <f t="shared" si="118"/>
        <v>1000000000</v>
      </c>
      <c r="AB239" s="150">
        <f t="shared" si="119"/>
        <v>201845952.5625</v>
      </c>
      <c r="AD239" s="592">
        <f t="shared" si="120"/>
        <v>27.619816581679789</v>
      </c>
      <c r="AE239" s="593">
        <f t="shared" si="121"/>
        <v>-9.41580796921372</v>
      </c>
      <c r="AG239" s="592">
        <f t="shared" si="122"/>
        <v>4.2807511598985366</v>
      </c>
      <c r="AH239" s="593">
        <f t="shared" si="123"/>
        <v>-76.295890592482721</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5">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1.0001662855285922</v>
      </c>
      <c r="N240" s="585">
        <f t="shared" si="110"/>
        <v>-1.8235267448758436E-2</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6.2731420613886666</v>
      </c>
      <c r="X240" s="590">
        <f t="shared" si="116"/>
        <v>-106.14350113757344</v>
      </c>
      <c r="Y240" s="593">
        <f t="shared" si="117"/>
        <v>73.856498862426562</v>
      </c>
      <c r="AA240" s="150">
        <f t="shared" si="118"/>
        <v>1000000000</v>
      </c>
      <c r="AB240" s="150">
        <f t="shared" si="119"/>
        <v>204189810.25</v>
      </c>
      <c r="AD240" s="592">
        <f t="shared" si="120"/>
        <v>27.619129986243696</v>
      </c>
      <c r="AE240" s="593">
        <f t="shared" si="121"/>
        <v>-9.4088651697058427</v>
      </c>
      <c r="AG240" s="592">
        <f t="shared" si="122"/>
        <v>4.2319290956727622</v>
      </c>
      <c r="AH240" s="593">
        <f t="shared" si="123"/>
        <v>-76.264717576184168</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5">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1.0001682051469873</v>
      </c>
      <c r="N241" s="585">
        <f t="shared" si="110"/>
        <v>-1.8340205718299932E-2</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6.2218360658703711</v>
      </c>
      <c r="X241" s="590">
        <f t="shared" si="116"/>
        <v>-106.22206905135539</v>
      </c>
      <c r="Y241" s="593">
        <f t="shared" si="117"/>
        <v>73.77793094864461</v>
      </c>
      <c r="AA241" s="150">
        <f t="shared" si="118"/>
        <v>1000000000</v>
      </c>
      <c r="AB241" s="150">
        <f t="shared" si="119"/>
        <v>206547198.0625</v>
      </c>
      <c r="AD241" s="592">
        <f t="shared" si="120"/>
        <v>27.618449261149681</v>
      </c>
      <c r="AE241" s="593">
        <f t="shared" si="121"/>
        <v>-9.402267229094468</v>
      </c>
      <c r="AG241" s="592">
        <f t="shared" si="122"/>
        <v>4.1833962943972551</v>
      </c>
      <c r="AH241" s="593">
        <f t="shared" si="123"/>
        <v>-76.233285309941166</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5">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1.0001701357792327</v>
      </c>
      <c r="N242" s="585">
        <f t="shared" si="110"/>
        <v>-1.8445143583871518E-2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6.1708103068557776</v>
      </c>
      <c r="X242" s="590">
        <f t="shared" si="116"/>
        <v>-106.30070059320033</v>
      </c>
      <c r="Y242" s="593">
        <f t="shared" si="117"/>
        <v>73.699299406799668</v>
      </c>
      <c r="AA242" s="150">
        <f t="shared" si="118"/>
        <v>1000000000</v>
      </c>
      <c r="AB242" s="150">
        <f t="shared" si="119"/>
        <v>208918116</v>
      </c>
      <c r="AD242" s="592">
        <f t="shared" si="120"/>
        <v>27.617774241402557</v>
      </c>
      <c r="AE242" s="593">
        <f t="shared" si="121"/>
        <v>-9.3960082949349211</v>
      </c>
      <c r="AG242" s="592">
        <f t="shared" si="122"/>
        <v>4.1351495671719736</v>
      </c>
      <c r="AH242" s="593">
        <f t="shared" si="123"/>
        <v>-76.20159841869031</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5">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1.0001741253280296</v>
      </c>
      <c r="N243" s="585">
        <f t="shared" si="110"/>
        <v>-1.8660121405026046E-2</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6.0671386092644131</v>
      </c>
      <c r="X243" s="590">
        <f t="shared" si="116"/>
        <v>-106.46198091468389</v>
      </c>
      <c r="Y243" s="593">
        <f t="shared" si="117"/>
        <v>73.538019085316108</v>
      </c>
      <c r="AA243" s="150">
        <f t="shared" si="118"/>
        <v>1000000000</v>
      </c>
      <c r="AB243" s="150">
        <f t="shared" si="119"/>
        <v>213817506.25</v>
      </c>
      <c r="AD243" s="592">
        <f t="shared" si="120"/>
        <v>27.616408519734406</v>
      </c>
      <c r="AE243" s="593">
        <f t="shared" si="121"/>
        <v>-9.3842207034030842</v>
      </c>
      <c r="AG243" s="592">
        <f t="shared" si="122"/>
        <v>4.0371899509511673</v>
      </c>
      <c r="AH243" s="593">
        <f t="shared" si="123"/>
        <v>-76.135907446766723</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5">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1.0001761374361409</v>
      </c>
      <c r="N244" s="585">
        <f t="shared" si="110"/>
        <v>-1.8767609669984402E-2</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6.0157300103321063</v>
      </c>
      <c r="X244" s="590">
        <f t="shared" si="116"/>
        <v>-106.5427157440879</v>
      </c>
      <c r="Y244" s="593">
        <f t="shared" si="117"/>
        <v>73.4572842559121</v>
      </c>
      <c r="AA244" s="150">
        <f t="shared" si="118"/>
        <v>1000000000</v>
      </c>
      <c r="AB244" s="150">
        <f t="shared" si="119"/>
        <v>216288495.5625</v>
      </c>
      <c r="AD244" s="592">
        <f t="shared" si="120"/>
        <v>27.615733971826138</v>
      </c>
      <c r="AE244" s="593">
        <f t="shared" si="121"/>
        <v>-9.3788365496408108</v>
      </c>
      <c r="AG244" s="592">
        <f t="shared" si="122"/>
        <v>3.9886472130481692</v>
      </c>
      <c r="AH244" s="593">
        <f t="shared" si="123"/>
        <v>-76.10268011216769</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5">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1.0001781610999674</v>
      </c>
      <c r="N245" s="585">
        <f t="shared" si="110"/>
        <v>-1.8875097501221905E-2</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5.9646017544869423</v>
      </c>
      <c r="X245" s="590">
        <f t="shared" si="116"/>
        <v>-106.62351191758641</v>
      </c>
      <c r="Y245" s="593">
        <f t="shared" si="117"/>
        <v>73.376488082413587</v>
      </c>
      <c r="AA245" s="150">
        <f t="shared" si="118"/>
        <v>1000000000</v>
      </c>
      <c r="AB245" s="150">
        <f t="shared" si="119"/>
        <v>218773681</v>
      </c>
      <c r="AD245" s="592">
        <f t="shared" si="120"/>
        <v>27.615064753475597</v>
      </c>
      <c r="AE245" s="593">
        <f t="shared" si="121"/>
        <v>-9.3737844543939879</v>
      </c>
      <c r="AG245" s="592">
        <f t="shared" si="122"/>
        <v>3.9403915662029991</v>
      </c>
      <c r="AH245" s="593">
        <f t="shared" si="123"/>
        <v>-76.069204301313135</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5">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1.0001802447736694</v>
      </c>
      <c r="N246" s="585">
        <f t="shared" si="110"/>
        <v>-1.8985136520492468E-2</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5.9125467363297819</v>
      </c>
      <c r="X246" s="590">
        <f t="shared" si="116"/>
        <v>-106.70628829847062</v>
      </c>
      <c r="Y246" s="593">
        <f t="shared" si="117"/>
        <v>73.293711701529375</v>
      </c>
      <c r="AA246" s="150">
        <f t="shared" si="118"/>
        <v>1000000000</v>
      </c>
      <c r="AB246" s="150">
        <f t="shared" si="119"/>
        <v>221332567.5625</v>
      </c>
      <c r="AD246" s="592">
        <f t="shared" si="120"/>
        <v>27.614385009016193</v>
      </c>
      <c r="AE246" s="593">
        <f t="shared" si="121"/>
        <v>-9.3689505414841072</v>
      </c>
      <c r="AG246" s="592">
        <f t="shared" si="122"/>
        <v>3.8912844912382609</v>
      </c>
      <c r="AH246" s="593">
        <f t="shared" si="123"/>
        <v>-76.034681053856275</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5">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1.000182340558089</v>
      </c>
      <c r="N247" s="585">
        <f t="shared" si="110"/>
        <v>-1.9095175079943402E-2</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5.8607786026347082</v>
      </c>
      <c r="X247" s="590">
        <f t="shared" si="116"/>
        <v>-106.78912626020904</v>
      </c>
      <c r="Y247" s="593">
        <f t="shared" si="117"/>
        <v>73.210873739790955</v>
      </c>
      <c r="AA247" s="150">
        <f t="shared" si="118"/>
        <v>1000000000</v>
      </c>
      <c r="AB247" s="150">
        <f t="shared" si="119"/>
        <v>223906332.25</v>
      </c>
      <c r="AD247" s="592">
        <f t="shared" si="120"/>
        <v>27.613710528824011</v>
      </c>
      <c r="AE247" s="593">
        <f t="shared" si="121"/>
        <v>-9.3644528642590483</v>
      </c>
      <c r="AG247" s="592">
        <f t="shared" si="122"/>
        <v>3.8424716760562463</v>
      </c>
      <c r="AH247" s="593">
        <f t="shared" si="123"/>
        <v>-75.99990670399805</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5">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1.0001844484531501</v>
      </c>
      <c r="N248" s="585">
        <f t="shared" si="110"/>
        <v>-1.9205213176912803E-2</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5.8092939403783941</v>
      </c>
      <c r="X248" s="590">
        <f t="shared" si="116"/>
        <v>-106.87202447472072</v>
      </c>
      <c r="Y248" s="593">
        <f t="shared" si="117"/>
        <v>73.127975525279282</v>
      </c>
      <c r="AA248" s="150">
        <f t="shared" si="118"/>
        <v>1000000000</v>
      </c>
      <c r="AB248" s="150">
        <f t="shared" si="119"/>
        <v>226494975.0625</v>
      </c>
      <c r="AD248" s="592">
        <f t="shared" si="120"/>
        <v>27.613041157196122</v>
      </c>
      <c r="AE248" s="593">
        <f t="shared" si="121"/>
        <v>-9.3602856656398412</v>
      </c>
      <c r="AG248" s="592">
        <f t="shared" si="122"/>
        <v>3.7939498540820167</v>
      </c>
      <c r="AH248" s="593">
        <f t="shared" si="123"/>
        <v>-75.964885804829962</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5">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1.0001865684587765</v>
      </c>
      <c r="N249" s="585">
        <f t="shared" si="110"/>
        <v>-1.9315250808738839E-2</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5.7580893958376578</v>
      </c>
      <c r="X249" s="590">
        <f t="shared" si="116"/>
        <v>-106.95498164178166</v>
      </c>
      <c r="Y249" s="593">
        <f t="shared" si="117"/>
        <v>73.045018358218343</v>
      </c>
      <c r="AA249" s="150">
        <f t="shared" si="118"/>
        <v>1000000000</v>
      </c>
      <c r="AB249" s="150">
        <f t="shared" si="119"/>
        <v>229098496</v>
      </c>
      <c r="AD249" s="592">
        <f t="shared" si="120"/>
        <v>27.612376742829756</v>
      </c>
      <c r="AE249" s="593">
        <f t="shared" si="121"/>
        <v>-9.3564433178828121</v>
      </c>
      <c r="AG249" s="592">
        <f t="shared" si="122"/>
        <v>3.7457158135948934</v>
      </c>
      <c r="AH249" s="593">
        <f t="shared" si="123"/>
        <v>-75.929622807760026</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5">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1.0001887439605699</v>
      </c>
      <c r="N250" s="585">
        <f t="shared" si="110"/>
        <v>-1.9427520606009611E-2</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5.7061311997574453</v>
      </c>
      <c r="X250" s="590">
        <f t="shared" si="116"/>
        <v>-107.03968143576571</v>
      </c>
      <c r="Y250" s="593">
        <f t="shared" si="117"/>
        <v>72.960318564234285</v>
      </c>
      <c r="AA250" s="150">
        <f t="shared" si="118"/>
        <v>1000000000</v>
      </c>
      <c r="AB250" s="150">
        <f t="shared" si="119"/>
        <v>231770176</v>
      </c>
      <c r="AD250" s="592">
        <f t="shared" si="120"/>
        <v>27.611703804187968</v>
      </c>
      <c r="AE250" s="593">
        <f t="shared" si="121"/>
        <v>-9.3528521056348612</v>
      </c>
      <c r="AG250" s="592">
        <f t="shared" si="122"/>
        <v>3.6967964341213011</v>
      </c>
      <c r="AH250" s="593">
        <f t="shared" si="123"/>
        <v>-75.893399329429641</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5">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1.0001909320691951</v>
      </c>
      <c r="N251" s="585">
        <f t="shared" si="110"/>
        <v>-1.9539789913472248E-2</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5.6544577333389334</v>
      </c>
      <c r="X251" s="590">
        <f t="shared" si="116"/>
        <v>-107.12443994971613</v>
      </c>
      <c r="Y251" s="593">
        <f t="shared" si="117"/>
        <v>72.875560050283866</v>
      </c>
      <c r="AA251" s="150">
        <f t="shared" si="118"/>
        <v>1000000000</v>
      </c>
      <c r="AB251" s="150">
        <f t="shared" si="119"/>
        <v>234457344</v>
      </c>
      <c r="AD251" s="592">
        <f t="shared" si="120"/>
        <v>27.611035721173558</v>
      </c>
      <c r="AE251" s="593">
        <f t="shared" si="121"/>
        <v>-9.3495876205699471</v>
      </c>
      <c r="AG251" s="592">
        <f t="shared" si="122"/>
        <v>3.6481700473654319</v>
      </c>
      <c r="AH251" s="593">
        <f t="shared" si="123"/>
        <v>-75.856932879794286</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5">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1.0001931327845688</v>
      </c>
      <c r="N252" s="585">
        <f t="shared" si="110"/>
        <v>-1.9652058728299792E-2</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5.6030656167200341</v>
      </c>
      <c r="X252" s="590">
        <f t="shared" si="116"/>
        <v>-107.20925588751214</v>
      </c>
      <c r="Y252" s="593">
        <f t="shared" si="117"/>
        <v>72.790744112487857</v>
      </c>
      <c r="AA252" s="150">
        <f t="shared" si="118"/>
        <v>1000000000</v>
      </c>
      <c r="AB252" s="150">
        <f t="shared" si="119"/>
        <v>237160000</v>
      </c>
      <c r="AD252" s="592">
        <f t="shared" si="120"/>
        <v>27.610372346314279</v>
      </c>
      <c r="AE252" s="593">
        <f t="shared" si="121"/>
        <v>-9.3466442787772728</v>
      </c>
      <c r="AG252" s="592">
        <f t="shared" si="122"/>
        <v>3.5998334109137269</v>
      </c>
      <c r="AH252" s="593">
        <f t="shared" si="123"/>
        <v>-75.820227877557187</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5">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1.000195346106608</v>
      </c>
      <c r="N253" s="585">
        <f t="shared" si="110"/>
        <v>-1.976432704766538E-2</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5.5519515285739498</v>
      </c>
      <c r="X253" s="590">
        <f t="shared" si="116"/>
        <v>-107.29412798007064</v>
      </c>
      <c r="Y253" s="593">
        <f t="shared" si="117"/>
        <v>72.705872019929359</v>
      </c>
      <c r="AA253" s="150">
        <f t="shared" si="118"/>
        <v>1000000000</v>
      </c>
      <c r="AB253" s="150">
        <f t="shared" si="119"/>
        <v>239878144</v>
      </c>
      <c r="AD253" s="592">
        <f t="shared" si="120"/>
        <v>27.609713536296326</v>
      </c>
      <c r="AE253" s="593">
        <f t="shared" si="121"/>
        <v>-9.3440166214824245</v>
      </c>
      <c r="AG253" s="592">
        <f t="shared" si="122"/>
        <v>3.5517833366809946</v>
      </c>
      <c r="AH253" s="593">
        <f t="shared" si="123"/>
        <v>-75.783288643094266</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5">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1.0001976291134604</v>
      </c>
      <c r="N254" s="585">
        <f t="shared" si="110"/>
        <v>-1.987946534624575E-2</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5.4998159095950117</v>
      </c>
      <c r="X254" s="590">
        <f t="shared" si="116"/>
        <v>-107.38122712282573</v>
      </c>
      <c r="Y254" s="593">
        <f t="shared" si="117"/>
        <v>72.618772877174266</v>
      </c>
      <c r="AA254" s="150">
        <f t="shared" si="118"/>
        <v>1000000000</v>
      </c>
      <c r="AB254" s="150">
        <f t="shared" si="119"/>
        <v>242681873.0625</v>
      </c>
      <c r="AD254" s="592">
        <f t="shared" si="120"/>
        <v>27.609042477220083</v>
      </c>
      <c r="AE254" s="593">
        <f t="shared" si="121"/>
        <v>-9.3416440846643045</v>
      </c>
      <c r="AG254" s="592">
        <f t="shared" si="122"/>
        <v>3.5027990719913165</v>
      </c>
      <c r="AH254" s="593">
        <f t="shared" si="123"/>
        <v>-75.745166072426287</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5">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1.0001999253796998</v>
      </c>
      <c r="N255" s="585">
        <f t="shared" si="110"/>
        <v>-1.9994603117681801E-2</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5.4479658253504155</v>
      </c>
      <c r="X255" s="590">
        <f t="shared" si="116"/>
        <v>-107.46838270896745</v>
      </c>
      <c r="Y255" s="593">
        <f t="shared" si="117"/>
        <v>72.531617291032546</v>
      </c>
      <c r="AA255" s="150">
        <f t="shared" si="118"/>
        <v>1000000000</v>
      </c>
      <c r="AB255" s="150">
        <f t="shared" si="119"/>
        <v>245501892.25</v>
      </c>
      <c r="AD255" s="592">
        <f t="shared" si="120"/>
        <v>27.608375926895476</v>
      </c>
      <c r="AE255" s="593">
        <f t="shared" si="121"/>
        <v>-9.3395923407996921</v>
      </c>
      <c r="AG255" s="592">
        <f t="shared" si="122"/>
        <v>3.4541095886333109</v>
      </c>
      <c r="AH255" s="593">
        <f t="shared" si="123"/>
        <v>-75.706806037543501</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5">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1.0002022349052351</v>
      </c>
      <c r="N256" s="585">
        <f t="shared" si="110"/>
        <v>-2.0109740358924467E-2</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5.3963978762988818</v>
      </c>
      <c r="X256" s="590">
        <f t="shared" si="116"/>
        <v>-107.55559345342367</v>
      </c>
      <c r="Y256" s="593">
        <f t="shared" si="117"/>
        <v>72.444406546576332</v>
      </c>
      <c r="AA256" s="150">
        <f t="shared" si="118"/>
        <v>1000000000</v>
      </c>
      <c r="AB256" s="150">
        <f t="shared" si="119"/>
        <v>248338201.5625</v>
      </c>
      <c r="AD256" s="592">
        <f t="shared" si="120"/>
        <v>27.607713743462568</v>
      </c>
      <c r="AE256" s="593">
        <f t="shared" si="121"/>
        <v>-9.3378558891710473</v>
      </c>
      <c r="AG256" s="592">
        <f t="shared" si="122"/>
        <v>3.4057116179019937</v>
      </c>
      <c r="AH256" s="593">
        <f t="shared" si="123"/>
        <v>-75.668212894306308</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5">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1.0002045576899743</v>
      </c>
      <c r="N257" s="585">
        <f t="shared" si="110"/>
        <v>-2.0224877066924791E-2</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5.3451087218899174</v>
      </c>
      <c r="X257" s="590">
        <f t="shared" si="116"/>
        <v>-107.64285809790812</v>
      </c>
      <c r="Y257" s="593">
        <f t="shared" si="117"/>
        <v>72.357141902091882</v>
      </c>
      <c r="AA257" s="150">
        <f t="shared" si="118"/>
        <v>1000000000</v>
      </c>
      <c r="AB257" s="150">
        <f t="shared" si="119"/>
        <v>251190801</v>
      </c>
      <c r="AD257" s="592">
        <f t="shared" si="120"/>
        <v>27.607055789073303</v>
      </c>
      <c r="AE257" s="593">
        <f t="shared" si="121"/>
        <v>-9.3364293526545836</v>
      </c>
      <c r="AG257" s="592">
        <f t="shared" si="122"/>
        <v>3.3576019460177058</v>
      </c>
      <c r="AH257" s="593">
        <f t="shared" si="123"/>
        <v>-75.629390901510433</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5">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1.0002069456522802</v>
      </c>
      <c r="N258" s="585">
        <f t="shared" si="110"/>
        <v>-2.0342564726646528E-2</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5.2929676786468169</v>
      </c>
      <c r="X258" s="590">
        <f t="shared" si="116"/>
        <v>-107.73211100713098</v>
      </c>
      <c r="Y258" s="593">
        <f t="shared" si="117"/>
        <v>72.267888992869018</v>
      </c>
      <c r="AA258" s="150">
        <f t="shared" si="118"/>
        <v>1000000000</v>
      </c>
      <c r="AB258" s="150">
        <f t="shared" si="119"/>
        <v>254123451.5625</v>
      </c>
      <c r="AD258" s="592">
        <f t="shared" si="120"/>
        <v>27.606387485178942</v>
      </c>
      <c r="AE258" s="593">
        <f t="shared" si="121"/>
        <v>-9.3352860237654092</v>
      </c>
      <c r="AG258" s="592">
        <f t="shared" si="122"/>
        <v>3.308720795083389</v>
      </c>
      <c r="AH258" s="593">
        <f t="shared" si="123"/>
        <v>-75.589476409771152</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5">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1.0002093474677713</v>
      </c>
      <c r="N259" s="585">
        <f t="shared" si="110"/>
        <v>-2.046025182278851E-2</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5.2411110484500796</v>
      </c>
      <c r="X259" s="590">
        <f t="shared" si="116"/>
        <v>-107.82141765581312</v>
      </c>
      <c r="Y259" s="593">
        <f t="shared" si="117"/>
        <v>72.178582344186879</v>
      </c>
      <c r="AA259" s="150">
        <f t="shared" si="118"/>
        <v>1000000000</v>
      </c>
      <c r="AB259" s="150">
        <f t="shared" si="119"/>
        <v>257073122.25</v>
      </c>
      <c r="AD259" s="592">
        <f t="shared" si="120"/>
        <v>27.60572332085097</v>
      </c>
      <c r="AE259" s="593">
        <f t="shared" si="121"/>
        <v>-9.3344555177484914</v>
      </c>
      <c r="AG259" s="592">
        <f t="shared" si="122"/>
        <v>3.2601342427244582</v>
      </c>
      <c r="AH259" s="593">
        <f t="shared" si="123"/>
        <v>-75.549331512375176</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5">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1.0002117631363481</v>
      </c>
      <c r="N260" s="585">
        <f t="shared" si="110"/>
        <v>-2.0577938352094809E-2</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5.1895354461014787</v>
      </c>
      <c r="X260" s="590">
        <f t="shared" si="116"/>
        <v>-107.91077678226053</v>
      </c>
      <c r="Y260" s="593">
        <f t="shared" si="117"/>
        <v>72.089223217739473</v>
      </c>
      <c r="AA260" s="150">
        <f t="shared" si="118"/>
        <v>1000000000</v>
      </c>
      <c r="AB260" s="150">
        <f t="shared" si="119"/>
        <v>260039813.0625</v>
      </c>
      <c r="AD260" s="592">
        <f t="shared" si="120"/>
        <v>27.605063161010534</v>
      </c>
      <c r="AE260" s="593">
        <f t="shared" si="121"/>
        <v>-9.3339324703343021</v>
      </c>
      <c r="AG260" s="592">
        <f t="shared" si="122"/>
        <v>3.2118390268199843</v>
      </c>
      <c r="AH260" s="593">
        <f t="shared" si="123"/>
        <v>-75.508960460531227</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5">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1.0002141926579098</v>
      </c>
      <c r="N261" s="585">
        <f t="shared" si="110"/>
        <v>-2.0695624311309606E-2</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5.1382375450659179</v>
      </c>
      <c r="X261" s="590">
        <f t="shared" si="116"/>
        <v>-108.0001871509595</v>
      </c>
      <c r="Y261" s="593">
        <f t="shared" si="117"/>
        <v>71.999812849040495</v>
      </c>
      <c r="AA261" s="150">
        <f t="shared" si="118"/>
        <v>1000000000</v>
      </c>
      <c r="AB261" s="150">
        <f t="shared" si="119"/>
        <v>263023524</v>
      </c>
      <c r="AD261" s="592">
        <f t="shared" si="120"/>
        <v>27.6044068743977</v>
      </c>
      <c r="AE261" s="593">
        <f t="shared" si="121"/>
        <v>-9.3337116376926659</v>
      </c>
      <c r="AG261" s="592">
        <f t="shared" si="122"/>
        <v>3.1638319400361112</v>
      </c>
      <c r="AH261" s="593">
        <f t="shared" si="123"/>
        <v>-75.468367410905316</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5">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1.0002166957999115</v>
      </c>
      <c r="N262" s="585">
        <f t="shared" si="110"/>
        <v>-2.0816180065252207E-2</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5.0859730024326719</v>
      </c>
      <c r="X262" s="590">
        <f t="shared" si="116"/>
        <v>-108.09183012785279</v>
      </c>
      <c r="Y262" s="593">
        <f t="shared" si="117"/>
        <v>71.908169872147212</v>
      </c>
      <c r="AA262" s="150">
        <f t="shared" si="118"/>
        <v>1000000000</v>
      </c>
      <c r="AB262" s="150">
        <f t="shared" si="119"/>
        <v>266097656.25</v>
      </c>
      <c r="AD262" s="592">
        <f t="shared" si="120"/>
        <v>27.603738463550613</v>
      </c>
      <c r="AE262" s="593">
        <f t="shared" si="121"/>
        <v>-9.3337934218623211</v>
      </c>
      <c r="AG262" s="592">
        <f t="shared" si="122"/>
        <v>3.1149494084923246</v>
      </c>
      <c r="AH262" s="593">
        <f t="shared" si="123"/>
        <v>-75.426558349598295</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5">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1.0002192134786794</v>
      </c>
      <c r="N263" s="585">
        <f t="shared" si="110"/>
        <v>-2.0936735214038632E-2</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5.0339929889362445</v>
      </c>
      <c r="X263" s="590">
        <f t="shared" si="116"/>
        <v>-108.1835243336142</v>
      </c>
      <c r="Y263" s="593">
        <f t="shared" si="117"/>
        <v>71.816475666385799</v>
      </c>
      <c r="AA263" s="150">
        <f t="shared" si="118"/>
        <v>1000000000</v>
      </c>
      <c r="AB263" s="150">
        <f t="shared" si="119"/>
        <v>269189649</v>
      </c>
      <c r="AD263" s="592">
        <f t="shared" si="120"/>
        <v>27.603073850067823</v>
      </c>
      <c r="AE263" s="593">
        <f t="shared" si="121"/>
        <v>-9.3341815760882767</v>
      </c>
      <c r="AG263" s="592">
        <f t="shared" si="122"/>
        <v>3.0663625900737697</v>
      </c>
      <c r="AH263" s="593">
        <f t="shared" si="123"/>
        <v>-75.384524866703757</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5">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1.000221745694104</v>
      </c>
      <c r="N264" s="585">
        <f t="shared" si="110"/>
        <v>-2.1057289754169272E-2</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4.9822941114332613</v>
      </c>
      <c r="X264" s="590">
        <f t="shared" si="116"/>
        <v>-108.27526852097633</v>
      </c>
      <c r="Y264" s="593">
        <f t="shared" si="117"/>
        <v>71.724731479023674</v>
      </c>
      <c r="AA264" s="150">
        <f t="shared" si="118"/>
        <v>1000000000</v>
      </c>
      <c r="AB264" s="150">
        <f t="shared" si="119"/>
        <v>272299502.25</v>
      </c>
      <c r="AD264" s="592">
        <f t="shared" si="120"/>
        <v>27.602412904491658</v>
      </c>
      <c r="AE264" s="593">
        <f t="shared" si="121"/>
        <v>-9.3348708348898839</v>
      </c>
      <c r="AG264" s="592">
        <f t="shared" si="122"/>
        <v>3.018068207945579</v>
      </c>
      <c r="AH264" s="593">
        <f t="shared" si="123"/>
        <v>-75.342271138967689</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5">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1.0002242924460749</v>
      </c>
      <c r="N265" s="585">
        <f t="shared" si="110"/>
        <v>-2.1177843682144631E-2</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4.9308730356317909</v>
      </c>
      <c r="X265" s="590">
        <f t="shared" si="116"/>
        <v>-108.36706146848269</v>
      </c>
      <c r="Y265" s="593">
        <f t="shared" si="117"/>
        <v>71.632938531517311</v>
      </c>
      <c r="AA265" s="150">
        <f t="shared" si="118"/>
        <v>1000000000</v>
      </c>
      <c r="AB265" s="150">
        <f t="shared" si="119"/>
        <v>275427216</v>
      </c>
      <c r="AD265" s="592">
        <f t="shared" si="120"/>
        <v>27.601755501031331</v>
      </c>
      <c r="AE265" s="593">
        <f t="shared" si="121"/>
        <v>-9.335856051171211</v>
      </c>
      <c r="AG265" s="592">
        <f t="shared" si="122"/>
        <v>2.9700630403949897</v>
      </c>
      <c r="AH265" s="593">
        <f t="shared" si="123"/>
        <v>-75.299801250244755</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5">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1.0002269080987223</v>
      </c>
      <c r="N266" s="585">
        <f t="shared" si="110"/>
        <v>-2.130094838064045E-2</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4.8786469610162166</v>
      </c>
      <c r="X266" s="590">
        <f t="shared" si="116"/>
        <v>-108.46084619970983</v>
      </c>
      <c r="Y266" s="593">
        <f t="shared" si="117"/>
        <v>71.539153800290165</v>
      </c>
      <c r="AA266" s="150">
        <f t="shared" si="118"/>
        <v>1000000000</v>
      </c>
      <c r="AB266" s="150">
        <f t="shared" si="119"/>
        <v>278639556.25</v>
      </c>
      <c r="AD266" s="592">
        <f t="shared" si="120"/>
        <v>27.601087712601124</v>
      </c>
      <c r="AE266" s="593">
        <f t="shared" si="121"/>
        <v>-9.3371623089191029</v>
      </c>
      <c r="AG266" s="592">
        <f t="shared" si="122"/>
        <v>2.9213370593616999</v>
      </c>
      <c r="AH266" s="593">
        <f t="shared" si="123"/>
        <v>-75.256213606076173</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5">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1.0002295389094957</v>
      </c>
      <c r="N267" s="585">
        <f t="shared" si="110"/>
        <v>-2.1424052433420184E-2</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4.8267037257569321</v>
      </c>
      <c r="X267" s="590">
        <f t="shared" si="116"/>
        <v>-108.55467928176853</v>
      </c>
      <c r="Y267" s="593">
        <f t="shared" si="117"/>
        <v>71.445320718231471</v>
      </c>
      <c r="AA267" s="150">
        <f t="shared" si="118"/>
        <v>1000000000</v>
      </c>
      <c r="AB267" s="150">
        <f t="shared" si="119"/>
        <v>281870521</v>
      </c>
      <c r="AD267" s="592">
        <f t="shared" si="120"/>
        <v>27.600423363850929</v>
      </c>
      <c r="AE267" s="593">
        <f t="shared" si="121"/>
        <v>-9.3387666991936147</v>
      </c>
      <c r="AG267" s="592">
        <f t="shared" si="122"/>
        <v>2.8729060446676478</v>
      </c>
      <c r="AH267" s="593">
        <f t="shared" si="123"/>
        <v>-75.212408876604698</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5">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1.0002321848782756</v>
      </c>
      <c r="N268" s="585">
        <f t="shared" si="110"/>
        <v>-2.1547155836757759E-2</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4.7750399607067475</v>
      </c>
      <c r="X268" s="590">
        <f t="shared" si="116"/>
        <v>-108.64855949284971</v>
      </c>
      <c r="Y268" s="593">
        <f t="shared" si="117"/>
        <v>71.351440507150286</v>
      </c>
      <c r="AA268" s="150">
        <f t="shared" si="118"/>
        <v>1000000000</v>
      </c>
      <c r="AB268" s="150">
        <f t="shared" si="119"/>
        <v>285120110.25</v>
      </c>
      <c r="AD268" s="592">
        <f t="shared" si="120"/>
        <v>27.599762331889387</v>
      </c>
      <c r="AE268" s="593">
        <f t="shared" si="121"/>
        <v>-9.340664102252358</v>
      </c>
      <c r="AG268" s="592">
        <f t="shared" si="122"/>
        <v>2.824766735788542</v>
      </c>
      <c r="AH268" s="593">
        <f t="shared" si="123"/>
        <v>-75.16839112719866</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5">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1.0002348460049417</v>
      </c>
      <c r="N269" s="585">
        <f t="shared" ref="N269:N332" si="142">-ATAN(G269/z_RHP)</f>
        <v>-2.1670258586927209E-2</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4.7236523550239458</v>
      </c>
      <c r="X269" s="590">
        <f t="shared" ref="X269:X332" si="148">((L269+R269+N269+V269)-(J269+P269+T269))*radconv</f>
        <v>-108.74248563627219</v>
      </c>
      <c r="Y269" s="593">
        <f t="shared" ref="Y269:Y332" si="149">IF(X269&gt;0,X269,X269+180)</f>
        <v>71.257514363727807</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2.776915926961943</v>
      </c>
      <c r="AH269" s="593">
        <f t="shared" ref="AH269:AH332" si="155">(L269+N269-(J269+V269))*radconv</f>
        <v>-75.124164333097468</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5">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1.0002375918245965</v>
      </c>
      <c r="N270" s="585">
        <f t="shared" si="142"/>
        <v>-2.1796549844840755E-2</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4.6712170376119539</v>
      </c>
      <c r="X270" s="590">
        <f t="shared" si="148"/>
        <v>-108.83889160362257</v>
      </c>
      <c r="Y270" s="593">
        <f t="shared" si="149"/>
        <v>71.161108396377429</v>
      </c>
      <c r="AA270" s="150">
        <f t="shared" si="150"/>
        <v>1000000000</v>
      </c>
      <c r="AB270" s="150">
        <f t="shared" si="151"/>
        <v>291760561</v>
      </c>
      <c r="AD270" s="592">
        <f t="shared" si="152"/>
        <v>27.598432821443012</v>
      </c>
      <c r="AE270" s="593">
        <f t="shared" si="153"/>
        <v>-9.3453857096443027</v>
      </c>
      <c r="AG270" s="592">
        <f t="shared" si="154"/>
        <v>2.7281219641804837</v>
      </c>
      <c r="AH270" s="593">
        <f t="shared" si="155"/>
        <v>-75.07857860310088</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5">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1.0002403535974345</v>
      </c>
      <c r="N271" s="585">
        <f t="shared" si="142"/>
        <v>-2.1922840407360655E-2</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4.6190654967971723</v>
      </c>
      <c r="X271" s="590">
        <f t="shared" si="148"/>
        <v>-108.93534344068684</v>
      </c>
      <c r="Y271" s="593">
        <f t="shared" si="149"/>
        <v>71.064656559313164</v>
      </c>
      <c r="AA271" s="150">
        <f t="shared" si="150"/>
        <v>1000000000</v>
      </c>
      <c r="AB271" s="150">
        <f t="shared" si="151"/>
        <v>295152400</v>
      </c>
      <c r="AD271" s="592">
        <f t="shared" si="152"/>
        <v>27.597764266882329</v>
      </c>
      <c r="AE271" s="593">
        <f t="shared" si="153"/>
        <v>-9.348214715877404</v>
      </c>
      <c r="AG271" s="592">
        <f t="shared" si="154"/>
        <v>2.6796249794851552</v>
      </c>
      <c r="AH271" s="593">
        <f t="shared" si="155"/>
        <v>-75.032781052611625</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5">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1.0002431313233242</v>
      </c>
      <c r="N272" s="585">
        <f t="shared" si="142"/>
        <v>-2.2049130270464189E-2</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4.5671943403184585</v>
      </c>
      <c r="X272" s="590">
        <f t="shared" si="148"/>
        <v>-109.03183993336648</v>
      </c>
      <c r="Y272" s="593">
        <f t="shared" si="149"/>
        <v>70.968160066633516</v>
      </c>
      <c r="AA272" s="150">
        <f t="shared" si="150"/>
        <v>1000000000</v>
      </c>
      <c r="AB272" s="150">
        <f t="shared" si="151"/>
        <v>298563841</v>
      </c>
      <c r="AD272" s="592">
        <f t="shared" si="152"/>
        <v>27.597098715337186</v>
      </c>
      <c r="AE272" s="593">
        <f t="shared" si="153"/>
        <v>-9.351331484213393</v>
      </c>
      <c r="AG272" s="592">
        <f t="shared" si="154"/>
        <v>2.6314216832011796</v>
      </c>
      <c r="AH272" s="593">
        <f t="shared" si="155"/>
        <v>-74.986775694517448</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5">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1.0002459250021323</v>
      </c>
      <c r="N273" s="585">
        <f t="shared" si="142"/>
        <v>-2.2175419430128778E-2</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4.5156002347614415</v>
      </c>
      <c r="X273" s="590">
        <f t="shared" si="148"/>
        <v>-109.12837989248224</v>
      </c>
      <c r="Y273" s="593">
        <f t="shared" si="149"/>
        <v>70.871620107517757</v>
      </c>
      <c r="AA273" s="150">
        <f t="shared" si="150"/>
        <v>1000000000</v>
      </c>
      <c r="AB273" s="150">
        <f t="shared" si="151"/>
        <v>301994884</v>
      </c>
      <c r="AD273" s="592">
        <f t="shared" si="152"/>
        <v>27.596436051882968</v>
      </c>
      <c r="AE273" s="593">
        <f t="shared" si="153"/>
        <v>-9.3547310805116304</v>
      </c>
      <c r="AG273" s="592">
        <f t="shared" si="154"/>
        <v>2.5835088410692797</v>
      </c>
      <c r="AH273" s="593">
        <f t="shared" si="155"/>
        <v>-74.940566452623528</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5">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1.0002487986743893</v>
      </c>
      <c r="N274" s="585">
        <f t="shared" si="142"/>
        <v>-2.2304578066173929E-2</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4.4631166895087899</v>
      </c>
      <c r="X274" s="590">
        <f t="shared" si="148"/>
        <v>-109.22715768710708</v>
      </c>
      <c r="Y274" s="593">
        <f t="shared" si="149"/>
        <v>70.772842312892919</v>
      </c>
      <c r="AA274" s="150">
        <f t="shared" si="150"/>
        <v>1000000000</v>
      </c>
      <c r="AB274" s="150">
        <f t="shared" si="151"/>
        <v>305524180.5625</v>
      </c>
      <c r="AD274" s="592">
        <f t="shared" si="152"/>
        <v>27.595761198818266</v>
      </c>
      <c r="AE274" s="593">
        <f t="shared" si="153"/>
        <v>-9.3584954566635297</v>
      </c>
      <c r="AG274" s="592">
        <f t="shared" si="154"/>
        <v>2.5348041878008103</v>
      </c>
      <c r="AH274" s="593">
        <f t="shared" si="155"/>
        <v>-74.893100112242308</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5">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1.000251689032654</v>
      </c>
      <c r="N275" s="585">
        <f t="shared" si="142"/>
        <v>-2.2433735957932088E-2</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4.410916061593487</v>
      </c>
      <c r="X275" s="590">
        <f t="shared" si="148"/>
        <v>-109.325978507286</v>
      </c>
      <c r="Y275" s="593">
        <f t="shared" si="149"/>
        <v>70.674021492714004</v>
      </c>
      <c r="AA275" s="150">
        <f t="shared" si="150"/>
        <v>1000000000</v>
      </c>
      <c r="AB275" s="150">
        <f t="shared" si="151"/>
        <v>309073980.25</v>
      </c>
      <c r="AD275" s="592">
        <f t="shared" si="152"/>
        <v>27.595089133736334</v>
      </c>
      <c r="AE275" s="593">
        <f t="shared" si="153"/>
        <v>-9.3625455736097827</v>
      </c>
      <c r="AG275" s="592">
        <f t="shared" si="154"/>
        <v>2.4863966705416103</v>
      </c>
      <c r="AH275" s="593">
        <f t="shared" si="155"/>
        <v>-74.845428542402018</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5">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1.0002545960767817</v>
      </c>
      <c r="N276" s="585">
        <f t="shared" si="142"/>
        <v>-2.2562893101100559E-2</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4.3589949674359021</v>
      </c>
      <c r="X276" s="590">
        <f t="shared" si="148"/>
        <v>-109.42484115742762</v>
      </c>
      <c r="Y276" s="593">
        <f t="shared" si="149"/>
        <v>70.575158842572378</v>
      </c>
      <c r="AA276" s="150">
        <f t="shared" si="150"/>
        <v>1000000000</v>
      </c>
      <c r="AB276" s="150">
        <f t="shared" si="151"/>
        <v>312644283.0625</v>
      </c>
      <c r="AD276" s="592">
        <f t="shared" si="152"/>
        <v>27.594419743876276</v>
      </c>
      <c r="AE276" s="593">
        <f t="shared" si="153"/>
        <v>-9.3668765014389912</v>
      </c>
      <c r="AG276" s="592">
        <f t="shared" si="154"/>
        <v>2.4382830013684504</v>
      </c>
      <c r="AH276" s="593">
        <f t="shared" si="155"/>
        <v>-74.79755566744052</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5">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1.000257519806627</v>
      </c>
      <c r="N277" s="585">
        <f t="shared" si="142"/>
        <v>-2.2692049491376803E-2</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4.307350082113758</v>
      </c>
      <c r="X277" s="590">
        <f t="shared" si="148"/>
        <v>-109.52374446634231</v>
      </c>
      <c r="Y277" s="593">
        <f t="shared" si="149"/>
        <v>70.476255533657692</v>
      </c>
      <c r="AA277" s="150">
        <f t="shared" si="150"/>
        <v>1000000000</v>
      </c>
      <c r="AB277" s="150">
        <f t="shared" si="151"/>
        <v>316235089</v>
      </c>
      <c r="AD277" s="592">
        <f t="shared" si="152"/>
        <v>27.593752919680178</v>
      </c>
      <c r="AE277" s="593">
        <f t="shared" si="153"/>
        <v>-9.3714834211504883</v>
      </c>
      <c r="AG277" s="592">
        <f t="shared" si="154"/>
        <v>2.3904599477340498</v>
      </c>
      <c r="AH277" s="593">
        <f t="shared" si="155"/>
        <v>-74.749485324745805</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5">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1.0002605257541224</v>
      </c>
      <c r="N278" s="585">
        <f t="shared" si="142"/>
        <v>-2.2824075241004844E-2</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4.2548396146408489</v>
      </c>
      <c r="X278" s="590">
        <f t="shared" si="148"/>
        <v>-109.62488645603672</v>
      </c>
      <c r="Y278" s="593">
        <f t="shared" si="149"/>
        <v>70.37511354396328</v>
      </c>
      <c r="AA278" s="150">
        <f t="shared" si="150"/>
        <v>1000000000</v>
      </c>
      <c r="AB278" s="150">
        <f t="shared" si="151"/>
        <v>319926882.25</v>
      </c>
      <c r="AD278" s="592">
        <f t="shared" si="152"/>
        <v>27.593073818152867</v>
      </c>
      <c r="AE278" s="593">
        <f t="shared" si="153"/>
        <v>-9.3764730717561626</v>
      </c>
      <c r="AG278" s="592">
        <f t="shared" si="154"/>
        <v>2.3418712248875231</v>
      </c>
      <c r="AH278" s="593">
        <f t="shared" si="155"/>
        <v>-74.700146560617569</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5">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1.0002635491368526</v>
      </c>
      <c r="N279" s="585">
        <f t="shared" si="142"/>
        <v>-2.2956100194815775E-2</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4.2026109242647305</v>
      </c>
      <c r="X279" s="590">
        <f t="shared" si="148"/>
        <v>-109.72606853198707</v>
      </c>
      <c r="Y279" s="593">
        <f t="shared" si="149"/>
        <v>70.273931468012933</v>
      </c>
      <c r="AA279" s="150">
        <f t="shared" si="150"/>
        <v>1000000000</v>
      </c>
      <c r="AB279" s="150">
        <f t="shared" si="151"/>
        <v>323640100</v>
      </c>
      <c r="AD279" s="592">
        <f t="shared" si="152"/>
        <v>27.592397175861883</v>
      </c>
      <c r="AE279" s="593">
        <f t="shared" si="153"/>
        <v>-9.3817412751982232</v>
      </c>
      <c r="AG279" s="592">
        <f t="shared" si="154"/>
        <v>2.2935795184180723</v>
      </c>
      <c r="AH279" s="593">
        <f t="shared" si="155"/>
        <v>-74.650609296064118</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5">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1.0002665899546592</v>
      </c>
      <c r="N280" s="585">
        <f t="shared" si="142"/>
        <v>-2.3088124348214285E-2</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4.1506606408666009</v>
      </c>
      <c r="X280" s="590">
        <f t="shared" si="148"/>
        <v>-109.82728951799018</v>
      </c>
      <c r="Y280" s="593">
        <f t="shared" si="149"/>
        <v>70.172710482009819</v>
      </c>
      <c r="AA280" s="150">
        <f t="shared" si="150"/>
        <v>1000000000</v>
      </c>
      <c r="AB280" s="150">
        <f t="shared" si="151"/>
        <v>327374742.25</v>
      </c>
      <c r="AD280" s="592">
        <f t="shared" si="152"/>
        <v>27.591722885474045</v>
      </c>
      <c r="AE280" s="593">
        <f t="shared" si="153"/>
        <v>-9.3872832235299626</v>
      </c>
      <c r="AG280" s="592">
        <f t="shared" si="154"/>
        <v>2.2455815469331815</v>
      </c>
      <c r="AH280" s="593">
        <f t="shared" si="155"/>
        <v>-74.600877363884749</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5">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1.0002696482073836</v>
      </c>
      <c r="N281" s="585">
        <f t="shared" si="142"/>
        <v>-2.3220147696605239E-2</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4.0989854526879919</v>
      </c>
      <c r="X281" s="590">
        <f t="shared" si="148"/>
        <v>-109.92854826169477</v>
      </c>
      <c r="Y281" s="593">
        <f t="shared" si="149"/>
        <v>70.071451738305228</v>
      </c>
      <c r="AA281" s="150">
        <f t="shared" si="150"/>
        <v>1000000000</v>
      </c>
      <c r="AB281" s="150">
        <f t="shared" si="151"/>
        <v>331130809</v>
      </c>
      <c r="AD281" s="592">
        <f t="shared" si="152"/>
        <v>27.591050842705375</v>
      </c>
      <c r="AE281" s="593">
        <f t="shared" si="153"/>
        <v>-9.3930942168770564</v>
      </c>
      <c r="AG281" s="592">
        <f t="shared" si="154"/>
        <v>2.1978740842670801</v>
      </c>
      <c r="AH281" s="593">
        <f t="shared" si="155"/>
        <v>-74.550954512168218</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5">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1.0002727984024835</v>
      </c>
      <c r="N282" s="585">
        <f t="shared" si="142"/>
        <v>-2.3355359175553609E-2</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4.0463438138286758</v>
      </c>
      <c r="X282" s="590">
        <f t="shared" si="148"/>
        <v>-110.03229082585287</v>
      </c>
      <c r="Y282" s="593">
        <f t="shared" si="149"/>
        <v>69.967709174147132</v>
      </c>
      <c r="AA282" s="150">
        <f t="shared" si="150"/>
        <v>1000000000</v>
      </c>
      <c r="AB282" s="150">
        <f t="shared" si="151"/>
        <v>334999809</v>
      </c>
      <c r="AD282" s="592">
        <f t="shared" si="152"/>
        <v>27.59036479086387</v>
      </c>
      <c r="AE282" s="593">
        <f t="shared" si="153"/>
        <v>-9.399319643548198</v>
      </c>
      <c r="AG282" s="592">
        <f t="shared" si="154"/>
        <v>2.1493120725078625</v>
      </c>
      <c r="AH282" s="593">
        <f t="shared" si="155"/>
        <v>-74.499631731583861</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5">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1.0002759668845993</v>
      </c>
      <c r="N283" s="585">
        <f t="shared" si="142"/>
        <v>-2.3490569800379987E-2</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3.9939838709282642</v>
      </c>
      <c r="X283" s="590">
        <f t="shared" si="148"/>
        <v>-110.13607062109836</v>
      </c>
      <c r="Y283" s="593">
        <f t="shared" si="149"/>
        <v>69.863929378901645</v>
      </c>
      <c r="AA283" s="150">
        <f t="shared" si="150"/>
        <v>1000000000</v>
      </c>
      <c r="AB283" s="150">
        <f t="shared" si="151"/>
        <v>338891281</v>
      </c>
      <c r="AD283" s="592">
        <f t="shared" si="152"/>
        <v>27.589680884490004</v>
      </c>
      <c r="AE283" s="593">
        <f t="shared" si="153"/>
        <v>-9.4058176256131159</v>
      </c>
      <c r="AG283" s="592">
        <f t="shared" si="154"/>
        <v>2.1010480960078031</v>
      </c>
      <c r="AH283" s="593">
        <f t="shared" si="155"/>
        <v>-74.448116392399598</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5">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1.0002791536535574</v>
      </c>
      <c r="N284" s="585">
        <f t="shared" si="142"/>
        <v>-2.3625779566148707E-2</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3.9419022481159538</v>
      </c>
      <c r="X284" s="590">
        <f t="shared" si="148"/>
        <v>-110.23988648315616</v>
      </c>
      <c r="Y284" s="593">
        <f t="shared" si="149"/>
        <v>69.760113516843845</v>
      </c>
      <c r="AA284" s="150">
        <f t="shared" si="150"/>
        <v>1000000000</v>
      </c>
      <c r="AB284" s="150">
        <f t="shared" si="151"/>
        <v>342805225</v>
      </c>
      <c r="AD284" s="592">
        <f t="shared" si="152"/>
        <v>27.588999020847101</v>
      </c>
      <c r="AE284" s="593">
        <f t="shared" si="153"/>
        <v>-9.4125834473511105</v>
      </c>
      <c r="AG284" s="592">
        <f t="shared" si="154"/>
        <v>2.0530788612809152</v>
      </c>
      <c r="AH284" s="593">
        <f t="shared" si="155"/>
        <v>-74.396412259904636</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5">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1.0002823587091827</v>
      </c>
      <c r="N285" s="585">
        <f t="shared" si="142"/>
        <v>-2.3760988467924266E-2</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3.8900956280289667</v>
      </c>
      <c r="X285" s="590">
        <f t="shared" si="148"/>
        <v>-110.34373727124259</v>
      </c>
      <c r="Y285" s="593">
        <f t="shared" si="149"/>
        <v>69.656262728757412</v>
      </c>
      <c r="AA285" s="150">
        <f t="shared" si="150"/>
        <v>1000000000</v>
      </c>
      <c r="AB285" s="150">
        <f t="shared" si="151"/>
        <v>346741641</v>
      </c>
      <c r="AD285" s="592">
        <f t="shared" si="152"/>
        <v>27.588319100123261</v>
      </c>
      <c r="AE285" s="593">
        <f t="shared" si="153"/>
        <v>-9.4196124991417616</v>
      </c>
      <c r="AG285" s="592">
        <f t="shared" si="154"/>
        <v>2.0054011303333685</v>
      </c>
      <c r="AH285" s="593">
        <f t="shared" si="155"/>
        <v>-74.344523016231932</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5">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1.0002856582942468</v>
      </c>
      <c r="N286" s="585">
        <f t="shared" si="142"/>
        <v>-2.3899385358941951E-2</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3.83734855913728</v>
      </c>
      <c r="X286" s="590">
        <f t="shared" si="148"/>
        <v>-110.45007237494502</v>
      </c>
      <c r="Y286" s="593">
        <f t="shared" si="149"/>
        <v>69.549927625054977</v>
      </c>
      <c r="AA286" s="150">
        <f t="shared" si="150"/>
        <v>1000000000</v>
      </c>
      <c r="AB286" s="150">
        <f t="shared" si="151"/>
        <v>350794170.25</v>
      </c>
      <c r="AD286" s="592">
        <f t="shared" si="152"/>
        <v>27.587625054511822</v>
      </c>
      <c r="AE286" s="593">
        <f t="shared" si="153"/>
        <v>-9.4270752428583098</v>
      </c>
      <c r="AG286" s="592">
        <f t="shared" si="154"/>
        <v>1.9568974992313415</v>
      </c>
      <c r="AH286" s="593">
        <f t="shared" si="155"/>
        <v>-74.291222016785468</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5">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1.000288977038355</v>
      </c>
      <c r="N287" s="585">
        <f t="shared" si="142"/>
        <v>-2.4037781334268062E-2</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3.7848827664599307</v>
      </c>
      <c r="X287" s="590">
        <f t="shared" si="148"/>
        <v>-110.55644172557081</v>
      </c>
      <c r="Y287" s="593">
        <f t="shared" si="149"/>
        <v>69.443558274429193</v>
      </c>
      <c r="AA287" s="150">
        <f t="shared" si="150"/>
        <v>1000000000</v>
      </c>
      <c r="AB287" s="150">
        <f t="shared" si="151"/>
        <v>354870244</v>
      </c>
      <c r="AD287" s="592">
        <f t="shared" si="152"/>
        <v>27.586932841896967</v>
      </c>
      <c r="AE287" s="593">
        <f t="shared" si="153"/>
        <v>-9.4348043342316803</v>
      </c>
      <c r="AG287" s="592">
        <f t="shared" si="154"/>
        <v>1.9086925919443822</v>
      </c>
      <c r="AH287" s="593">
        <f t="shared" si="155"/>
        <v>-74.237734621333033</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5">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1.0002923149413165</v>
      </c>
      <c r="N288" s="585">
        <f t="shared" si="142"/>
        <v>-2.4176176388610218E-2</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3.7326948741529984</v>
      </c>
      <c r="X288" s="590">
        <f t="shared" si="148"/>
        <v>-110.66284417206093</v>
      </c>
      <c r="Y288" s="593">
        <f t="shared" si="149"/>
        <v>69.337155827939071</v>
      </c>
      <c r="AA288" s="150">
        <f t="shared" si="150"/>
        <v>1000000000</v>
      </c>
      <c r="AB288" s="150">
        <f t="shared" si="151"/>
        <v>358969862.25</v>
      </c>
      <c r="AD288" s="592">
        <f t="shared" si="152"/>
        <v>27.586242364128108</v>
      </c>
      <c r="AE288" s="593">
        <f t="shared" si="153"/>
        <v>-9.4427951560192263</v>
      </c>
      <c r="AG288" s="592">
        <f t="shared" si="154"/>
        <v>1.8607831085608288</v>
      </c>
      <c r="AH288" s="593">
        <f t="shared" si="155"/>
        <v>-74.18406452300971</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5">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1.0002956720029401</v>
      </c>
      <c r="N289" s="585">
        <f t="shared" si="142"/>
        <v>-2.4314570516676258E-2</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3.680781564897861</v>
      </c>
      <c r="X289" s="590">
        <f t="shared" si="148"/>
        <v>-110.76927858644143</v>
      </c>
      <c r="Y289" s="593">
        <f t="shared" si="149"/>
        <v>69.23072141355857</v>
      </c>
      <c r="AA289" s="150">
        <f t="shared" si="150"/>
        <v>1000000000</v>
      </c>
      <c r="AB289" s="150">
        <f t="shared" si="151"/>
        <v>363093025</v>
      </c>
      <c r="AD289" s="592">
        <f t="shared" si="152"/>
        <v>27.585553525853612</v>
      </c>
      <c r="AE289" s="593">
        <f t="shared" si="153"/>
        <v>-9.4510431948987748</v>
      </c>
      <c r="AG289" s="592">
        <f t="shared" si="154"/>
        <v>1.8131658047969785</v>
      </c>
      <c r="AH289" s="593">
        <f t="shared" si="155"/>
        <v>-74.13021533350468</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5">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1.0002991184395789</v>
      </c>
      <c r="N290" s="585">
        <f t="shared" si="142"/>
        <v>-2.4455833608273577E-2</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3.6280715104498569</v>
      </c>
      <c r="X290" s="590">
        <f t="shared" si="148"/>
        <v>-110.8779519873482</v>
      </c>
      <c r="Y290" s="593">
        <f t="shared" si="149"/>
        <v>69.122048012651803</v>
      </c>
      <c r="AA290" s="150">
        <f t="shared" si="150"/>
        <v>1000000000</v>
      </c>
      <c r="AB290" s="150">
        <f t="shared" si="151"/>
        <v>367325973.0625</v>
      </c>
      <c r="AD290" s="592">
        <f t="shared" si="152"/>
        <v>27.584851997564517</v>
      </c>
      <c r="AE290" s="593">
        <f t="shared" si="153"/>
        <v>-9.4597229680136188</v>
      </c>
      <c r="AG290" s="592">
        <f t="shared" si="154"/>
        <v>1.7648590641397872</v>
      </c>
      <c r="AH290" s="593">
        <f t="shared" si="155"/>
        <v>-74.075068423174912</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5">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1.0003025848373099</v>
      </c>
      <c r="N291" s="585">
        <f t="shared" si="142"/>
        <v>-2.459709572363793E-2</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3.5756407416723728</v>
      </c>
      <c r="X291" s="590">
        <f t="shared" si="148"/>
        <v>-110.98665639172708</v>
      </c>
      <c r="Y291" s="593">
        <f t="shared" si="149"/>
        <v>69.013343608272919</v>
      </c>
      <c r="AA291" s="150">
        <f t="shared" si="150"/>
        <v>1000000000</v>
      </c>
      <c r="AB291" s="150">
        <f t="shared" si="151"/>
        <v>371583452.25</v>
      </c>
      <c r="AD291" s="592">
        <f t="shared" si="152"/>
        <v>27.58415198522998</v>
      </c>
      <c r="AE291" s="593">
        <f t="shared" si="153"/>
        <v>-9.4686615529040079</v>
      </c>
      <c r="AG291" s="592">
        <f t="shared" si="154"/>
        <v>1.7168500880449065</v>
      </c>
      <c r="AH291" s="593">
        <f t="shared" si="155"/>
        <v>-74.019742271390001</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5">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1.000306071195926</v>
      </c>
      <c r="N292" s="585">
        <f t="shared" si="142"/>
        <v>-2.4738356857141729E-2</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3.5234859106746832</v>
      </c>
      <c r="X292" s="590">
        <f t="shared" si="148"/>
        <v>-111.09539067038794</v>
      </c>
      <c r="Y292" s="593">
        <f t="shared" si="149"/>
        <v>68.904609329612057</v>
      </c>
      <c r="AA292" s="150">
        <f t="shared" si="150"/>
        <v>1000000000</v>
      </c>
      <c r="AB292" s="150">
        <f t="shared" si="151"/>
        <v>375865462.5625</v>
      </c>
      <c r="AD292" s="592">
        <f t="shared" si="152"/>
        <v>27.583453395869103</v>
      </c>
      <c r="AE292" s="593">
        <f t="shared" si="153"/>
        <v>-9.4778544660838318</v>
      </c>
      <c r="AG292" s="592">
        <f t="shared" si="154"/>
        <v>1.6691355975543396</v>
      </c>
      <c r="AH292" s="593">
        <f t="shared" si="155"/>
        <v>-73.964240471180403</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5">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1.0003095775152178</v>
      </c>
      <c r="N293" s="585">
        <f t="shared" si="142"/>
        <v>-2.4879617003157613E-2</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3.4716037274680818</v>
      </c>
      <c r="X293" s="590">
        <f t="shared" si="148"/>
        <v>-111.20415371657886</v>
      </c>
      <c r="Y293" s="593">
        <f t="shared" si="149"/>
        <v>68.795846283421142</v>
      </c>
      <c r="AA293" s="150">
        <f t="shared" si="150"/>
        <v>1000000000</v>
      </c>
      <c r="AB293" s="150">
        <f t="shared" si="151"/>
        <v>380172004</v>
      </c>
      <c r="AD293" s="592">
        <f t="shared" si="152"/>
        <v>27.58275613915022</v>
      </c>
      <c r="AE293" s="593">
        <f t="shared" si="153"/>
        <v>-9.487297324732145</v>
      </c>
      <c r="AG293" s="592">
        <f t="shared" si="154"/>
        <v>1.6217123688581556</v>
      </c>
      <c r="AH293" s="593">
        <f t="shared" si="155"/>
        <v>-73.908566536678336</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5">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1.0003131995926351</v>
      </c>
      <c r="N294" s="585">
        <f t="shared" si="142"/>
        <v>-2.5024702575226147E-2</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3.4185965878963827</v>
      </c>
      <c r="X294" s="590">
        <f t="shared" si="148"/>
        <v>-111.31589174761342</v>
      </c>
      <c r="Y294" s="593">
        <f t="shared" si="149"/>
        <v>68.684108252386579</v>
      </c>
      <c r="AA294" s="150">
        <f t="shared" si="150"/>
        <v>1000000000</v>
      </c>
      <c r="AB294" s="150">
        <f t="shared" si="151"/>
        <v>384620738.0625</v>
      </c>
      <c r="AD294" s="592">
        <f t="shared" si="152"/>
        <v>27.582041290217909</v>
      </c>
      <c r="AE294" s="593">
        <f t="shared" si="153"/>
        <v>-9.4972516645955913</v>
      </c>
      <c r="AG294" s="592">
        <f t="shared" si="154"/>
        <v>1.5733044119721049</v>
      </c>
      <c r="AH294" s="593">
        <f t="shared" si="155"/>
        <v>-73.851208923159462</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5">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1.0003168427263158</v>
      </c>
      <c r="N295" s="585">
        <f t="shared" si="142"/>
        <v>-2.5169787093551235E-2</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3.3658702138260561</v>
      </c>
      <c r="X295" s="590">
        <f t="shared" si="148"/>
        <v>-111.42765782922862</v>
      </c>
      <c r="Y295" s="593">
        <f t="shared" si="149"/>
        <v>68.572342170771378</v>
      </c>
      <c r="AA295" s="150">
        <f t="shared" si="150"/>
        <v>1000000000</v>
      </c>
      <c r="AB295" s="150">
        <f t="shared" si="151"/>
        <v>389095350.25</v>
      </c>
      <c r="AD295" s="592">
        <f t="shared" si="152"/>
        <v>27.581327662141533</v>
      </c>
      <c r="AE295" s="593">
        <f t="shared" si="153"/>
        <v>-9.5074606163134323</v>
      </c>
      <c r="AG295" s="592">
        <f t="shared" si="154"/>
        <v>1.5251969896581739</v>
      </c>
      <c r="AH295" s="593">
        <f t="shared" si="155"/>
        <v>-73.793676991874136</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5">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1.0003205069160297</v>
      </c>
      <c r="N296" s="585">
        <f t="shared" si="142"/>
        <v>-2.531487055203651E-2</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3.3134212227189099</v>
      </c>
      <c r="X296" s="590">
        <f t="shared" si="148"/>
        <v>-111.53945083223429</v>
      </c>
      <c r="Y296" s="593">
        <f t="shared" si="149"/>
        <v>68.460549167765706</v>
      </c>
      <c r="AA296" s="150">
        <f t="shared" si="150"/>
        <v>1000000000</v>
      </c>
      <c r="AB296" s="150">
        <f t="shared" si="151"/>
        <v>393595840.5625</v>
      </c>
      <c r="AD296" s="592">
        <f t="shared" si="152"/>
        <v>27.580615165199191</v>
      </c>
      <c r="AE296" s="593">
        <f t="shared" si="153"/>
        <v>-9.5179197444617216</v>
      </c>
      <c r="AG296" s="592">
        <f t="shared" si="154"/>
        <v>1.4773867825891824</v>
      </c>
      <c r="AH296" s="593">
        <f t="shared" si="155"/>
        <v>-73.735974304763872</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5">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1.0003241921615456</v>
      </c>
      <c r="N297" s="585">
        <f t="shared" si="142"/>
        <v>-2.5459952944585862E-2</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3.2612462907600168</v>
      </c>
      <c r="X297" s="590">
        <f t="shared" si="148"/>
        <v>-111.65126964980055</v>
      </c>
      <c r="Y297" s="593">
        <f t="shared" si="149"/>
        <v>68.348730350199446</v>
      </c>
      <c r="AA297" s="150">
        <f t="shared" si="150"/>
        <v>1000000000</v>
      </c>
      <c r="AB297" s="150">
        <f t="shared" si="151"/>
        <v>398122209</v>
      </c>
      <c r="AD297" s="592">
        <f t="shared" si="152"/>
        <v>27.579903712239226</v>
      </c>
      <c r="AE297" s="593">
        <f t="shared" si="153"/>
        <v>-9.5286247135659856</v>
      </c>
      <c r="AG297" s="592">
        <f t="shared" si="154"/>
        <v>1.4298705274768637</v>
      </c>
      <c r="AH297" s="593">
        <f t="shared" si="155"/>
        <v>-73.678104345421119</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5">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1.00032797198644</v>
      </c>
      <c r="N298" s="585">
        <f t="shared" si="142"/>
        <v>-2.5607903994655682E-2</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3.2083181854836411</v>
      </c>
      <c r="X298" s="590">
        <f t="shared" si="148"/>
        <v>-111.76532572894699</v>
      </c>
      <c r="Y298" s="593">
        <f t="shared" si="149"/>
        <v>68.234674271053009</v>
      </c>
      <c r="AA298" s="150">
        <f t="shared" si="150"/>
        <v>1000000000</v>
      </c>
      <c r="AB298" s="150">
        <f t="shared" si="151"/>
        <v>402764761</v>
      </c>
      <c r="AD298" s="592">
        <f t="shared" si="152"/>
        <v>27.579179173986152</v>
      </c>
      <c r="AE298" s="593">
        <f t="shared" si="153"/>
        <v>-9.539790219336556</v>
      </c>
      <c r="AG298" s="592">
        <f t="shared" si="154"/>
        <v>1.3817137956649943</v>
      </c>
      <c r="AH298" s="593">
        <f t="shared" si="155"/>
        <v>-73.618920969549222</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5">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1.0003317737078607</v>
      </c>
      <c r="N299" s="585">
        <f t="shared" si="142"/>
        <v>-2.5755853923399779E-2</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3.1556682876513249</v>
      </c>
      <c r="X299" s="590">
        <f t="shared" si="148"/>
        <v>-111.87940639754517</v>
      </c>
      <c r="Y299" s="593">
        <f t="shared" si="149"/>
        <v>68.120593602454832</v>
      </c>
      <c r="AA299" s="150">
        <f t="shared" si="150"/>
        <v>1000000000</v>
      </c>
      <c r="AB299" s="150">
        <f t="shared" si="151"/>
        <v>407434225</v>
      </c>
      <c r="AD299" s="592">
        <f t="shared" si="152"/>
        <v>27.578455546160079</v>
      </c>
      <c r="AE299" s="593">
        <f t="shared" si="153"/>
        <v>-9.5512025867533907</v>
      </c>
      <c r="AG299" s="592">
        <f t="shared" si="154"/>
        <v>1.3338560778361739</v>
      </c>
      <c r="AH299" s="593">
        <f t="shared" si="155"/>
        <v>-73.559570716355722</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5">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1.0003355973255585</v>
      </c>
      <c r="N300" s="585">
        <f t="shared" si="142"/>
        <v>-2.5903802724353969E-2</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3.103293252414248</v>
      </c>
      <c r="X300" s="590">
        <f t="shared" si="148"/>
        <v>-111.9935105497694</v>
      </c>
      <c r="Y300" s="593">
        <f t="shared" si="149"/>
        <v>68.006489450230603</v>
      </c>
      <c r="AA300" s="150">
        <f t="shared" si="150"/>
        <v>1000000000</v>
      </c>
      <c r="AB300" s="150">
        <f t="shared" si="151"/>
        <v>412130601</v>
      </c>
      <c r="AD300" s="592">
        <f t="shared" si="152"/>
        <v>27.577732744047083</v>
      </c>
      <c r="AE300" s="593">
        <f t="shared" si="153"/>
        <v>-9.5628575213107947</v>
      </c>
      <c r="AG300" s="592">
        <f t="shared" si="154"/>
        <v>1.2862940852561564</v>
      </c>
      <c r="AH300" s="593">
        <f t="shared" si="155"/>
        <v>-73.500057042442663</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5">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1.0003394428392824</v>
      </c>
      <c r="N301" s="585">
        <f t="shared" si="142"/>
        <v>-2.6051750391054371E-2</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3.051189792804474</v>
      </c>
      <c r="X301" s="590">
        <f t="shared" si="148"/>
        <v>-112.10763710145004</v>
      </c>
      <c r="Y301" s="593">
        <f t="shared" si="149"/>
        <v>67.892362898549962</v>
      </c>
      <c r="AA301" s="150">
        <f t="shared" si="150"/>
        <v>1000000000</v>
      </c>
      <c r="AB301" s="150">
        <f t="shared" si="151"/>
        <v>416853889</v>
      </c>
      <c r="AD301" s="592">
        <f t="shared" si="152"/>
        <v>27.577010685356647</v>
      </c>
      <c r="AE301" s="593">
        <f t="shared" si="153"/>
        <v>-9.574750824941983</v>
      </c>
      <c r="AG301" s="592">
        <f t="shared" si="154"/>
        <v>1.2390245845273569</v>
      </c>
      <c r="AH301" s="593">
        <f t="shared" si="155"/>
        <v>-73.440383328798035</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5">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1.0003434105584459</v>
      </c>
      <c r="N302" s="585">
        <f t="shared" si="142"/>
        <v>-2.6203523105105531E-2</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2.9980176462712009</v>
      </c>
      <c r="X302" s="590">
        <f t="shared" si="148"/>
        <v>-112.22473736369423</v>
      </c>
      <c r="Y302" s="593">
        <f t="shared" si="149"/>
        <v>67.775262636305769</v>
      </c>
      <c r="AA302" s="150">
        <f t="shared" si="150"/>
        <v>1000000000</v>
      </c>
      <c r="AB302" s="150">
        <f t="shared" si="151"/>
        <v>421727296</v>
      </c>
      <c r="AD302" s="592">
        <f t="shared" si="152"/>
        <v>27.576270641468092</v>
      </c>
      <c r="AE302" s="593">
        <f t="shared" si="153"/>
        <v>-9.5871951088116312</v>
      </c>
      <c r="AG302" s="592">
        <f t="shared" si="154"/>
        <v>1.1908332012263854</v>
      </c>
      <c r="AH302" s="593">
        <f t="shared" si="155"/>
        <v>-73.379003493805669</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5">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1.0003474013202933</v>
      </c>
      <c r="N303" s="585">
        <f t="shared" si="142"/>
        <v>-2.6355294611695893E-2</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2.9451244774680156</v>
      </c>
      <c r="X303" s="590">
        <f t="shared" si="148"/>
        <v>-112.34185895494964</v>
      </c>
      <c r="Y303" s="593">
        <f t="shared" si="149"/>
        <v>67.658141045050357</v>
      </c>
      <c r="AA303" s="150">
        <f t="shared" si="150"/>
        <v>1000000000</v>
      </c>
      <c r="AB303" s="150">
        <f t="shared" si="151"/>
        <v>426629025</v>
      </c>
      <c r="AD303" s="592">
        <f t="shared" si="152"/>
        <v>27.575531211987091</v>
      </c>
      <c r="AE303" s="593">
        <f t="shared" si="153"/>
        <v>-9.5998816002190495</v>
      </c>
      <c r="AG303" s="592">
        <f t="shared" si="154"/>
        <v>1.1429429140889567</v>
      </c>
      <c r="AH303" s="593">
        <f t="shared" si="155"/>
        <v>-73.317462207242329</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5">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1.0003514151245492</v>
      </c>
      <c r="N304" s="585">
        <f t="shared" si="142"/>
        <v>-2.6507064903847966E-2</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2.8925069190488593</v>
      </c>
      <c r="X304" s="590">
        <f t="shared" si="148"/>
        <v>-112.45900077198667</v>
      </c>
      <c r="Y304" s="593">
        <f t="shared" si="149"/>
        <v>67.540999228013334</v>
      </c>
      <c r="AA304" s="150">
        <f t="shared" si="150"/>
        <v>1000000000</v>
      </c>
      <c r="AB304" s="150">
        <f t="shared" si="151"/>
        <v>431559076</v>
      </c>
      <c r="AD304" s="592">
        <f t="shared" si="152"/>
        <v>27.574792315497323</v>
      </c>
      <c r="AE304" s="593">
        <f t="shared" si="153"/>
        <v>-9.6128060657703429</v>
      </c>
      <c r="AG304" s="592">
        <f t="shared" si="154"/>
        <v>1.0953504057868779</v>
      </c>
      <c r="AH304" s="593">
        <f t="shared" si="155"/>
        <v>-73.255762884876745</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5">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1.0003554519709359</v>
      </c>
      <c r="N305" s="585">
        <f t="shared" si="142"/>
        <v>-2.665883397458458E-2</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2.8401616620960546</v>
      </c>
      <c r="X305" s="590">
        <f t="shared" si="148"/>
        <v>-112.57616173306245</v>
      </c>
      <c r="Y305" s="593">
        <f t="shared" si="149"/>
        <v>67.423838266937551</v>
      </c>
      <c r="AA305" s="150">
        <f t="shared" si="150"/>
        <v>1000000000</v>
      </c>
      <c r="AB305" s="150">
        <f t="shared" si="151"/>
        <v>436517449</v>
      </c>
      <c r="AD305" s="592">
        <f t="shared" si="152"/>
        <v>27.574053872922608</v>
      </c>
      <c r="AE305" s="593">
        <f t="shared" si="153"/>
        <v>-9.6259643673637978</v>
      </c>
      <c r="AG305" s="592">
        <f t="shared" si="154"/>
        <v>1.0480524149492836</v>
      </c>
      <c r="AH305" s="593">
        <f t="shared" si="155"/>
        <v>-73.193908867736099</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5">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1.0003596059525115</v>
      </c>
      <c r="N306" s="585">
        <f t="shared" si="142"/>
        <v>-2.6814109042405859E-2</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2.7868851680400004</v>
      </c>
      <c r="X306" s="590">
        <f t="shared" si="148"/>
        <v>-112.69604890186676</v>
      </c>
      <c r="Y306" s="593">
        <f t="shared" si="149"/>
        <v>67.30395109813324</v>
      </c>
      <c r="AA306" s="150">
        <f t="shared" si="150"/>
        <v>1000000000</v>
      </c>
      <c r="AB306" s="150">
        <f t="shared" si="151"/>
        <v>441619717.5625</v>
      </c>
      <c r="AD306" s="592">
        <f t="shared" si="152"/>
        <v>27.573298755172068</v>
      </c>
      <c r="AE306" s="593">
        <f t="shared" si="153"/>
        <v>-9.6396645329934909</v>
      </c>
      <c r="AG306" s="592">
        <f t="shared" si="154"/>
        <v>0.99996286461236106</v>
      </c>
      <c r="AH306" s="593">
        <f t="shared" si="155"/>
        <v>-73.130468760813798</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5">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1.0003637840529034</v>
      </c>
      <c r="N307" s="585">
        <f t="shared" si="142"/>
        <v>-2.6969382816933021E-2</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2.7338868805111174</v>
      </c>
      <c r="X307" s="590">
        <f t="shared" si="148"/>
        <v>-112.81595388532173</v>
      </c>
      <c r="Y307" s="593">
        <f t="shared" si="149"/>
        <v>67.184046114678267</v>
      </c>
      <c r="AA307" s="150">
        <f t="shared" si="150"/>
        <v>1000000000</v>
      </c>
      <c r="AB307" s="150">
        <f t="shared" si="151"/>
        <v>446751632.25</v>
      </c>
      <c r="AD307" s="592">
        <f t="shared" si="152"/>
        <v>27.57254395226385</v>
      </c>
      <c r="AE307" s="593">
        <f t="shared" si="153"/>
        <v>-9.6536009978535162</v>
      </c>
      <c r="AG307" s="592">
        <f t="shared" si="154"/>
        <v>0.9521748685637339</v>
      </c>
      <c r="AH307" s="593">
        <f t="shared" si="155"/>
        <v>-73.06687357139684</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5">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1.0003679862718093</v>
      </c>
      <c r="N308" s="585">
        <f t="shared" si="142"/>
        <v>-2.7124655290695025E-2</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2.6811634371376725</v>
      </c>
      <c r="X308" s="590">
        <f t="shared" si="148"/>
        <v>-112.93587559103982</v>
      </c>
      <c r="Y308" s="593">
        <f t="shared" si="149"/>
        <v>67.064124408960183</v>
      </c>
      <c r="AA308" s="150">
        <f t="shared" si="150"/>
        <v>1000000000</v>
      </c>
      <c r="AB308" s="150">
        <f t="shared" si="151"/>
        <v>451913193.0625</v>
      </c>
      <c r="AD308" s="592">
        <f t="shared" si="152"/>
        <v>27.571789386614171</v>
      </c>
      <c r="AE308" s="593">
        <f t="shared" si="153"/>
        <v>-9.6677696228054497</v>
      </c>
      <c r="AG308" s="592">
        <f t="shared" si="154"/>
        <v>0.90468510782945766</v>
      </c>
      <c r="AH308" s="593">
        <f t="shared" si="155"/>
        <v>-73.003126648043661</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5">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1.0003722126089256</v>
      </c>
      <c r="N309" s="585">
        <f t="shared" si="142"/>
        <v>-2.7279926456221217E-2</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2.6287115338942173</v>
      </c>
      <c r="X309" s="590">
        <f t="shared" si="148"/>
        <v>-113.05581294772482</v>
      </c>
      <c r="Y309" s="593">
        <f t="shared" si="149"/>
        <v>66.944187052275183</v>
      </c>
      <c r="AA309" s="150">
        <f t="shared" si="150"/>
        <v>1000000000</v>
      </c>
      <c r="AB309" s="150">
        <f t="shared" si="151"/>
        <v>457104400</v>
      </c>
      <c r="AD309" s="592">
        <f t="shared" si="152"/>
        <v>27.571034982874462</v>
      </c>
      <c r="AE309" s="593">
        <f t="shared" si="153"/>
        <v>-9.6821663618473064</v>
      </c>
      <c r="AG309" s="592">
        <f t="shared" si="154"/>
        <v>0.8574903194067236</v>
      </c>
      <c r="AH309" s="593">
        <f t="shared" si="155"/>
        <v>-72.939231266229157</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5">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1.0003765593486458</v>
      </c>
      <c r="N310" s="585">
        <f t="shared" si="142"/>
        <v>-2.7438703412652941E-2</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2.5753523120205077</v>
      </c>
      <c r="X310" s="590">
        <f t="shared" si="148"/>
        <v>-113.17847445226876</v>
      </c>
      <c r="Y310" s="593">
        <f t="shared" si="149"/>
        <v>66.821525547731241</v>
      </c>
      <c r="AA310" s="150">
        <f t="shared" si="150"/>
        <v>1000000000</v>
      </c>
      <c r="AB310" s="150">
        <f t="shared" si="151"/>
        <v>462443520.25</v>
      </c>
      <c r="AD310" s="592">
        <f t="shared" si="152"/>
        <v>27.570263630407105</v>
      </c>
      <c r="AE310" s="593">
        <f t="shared" si="153"/>
        <v>-9.6971200641152109</v>
      </c>
      <c r="AG310" s="592">
        <f t="shared" si="154"/>
        <v>0.80953122861641036</v>
      </c>
      <c r="AH310" s="593">
        <f t="shared" si="155"/>
        <v>-72.873742474362359</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5">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1.0003809313077614</v>
      </c>
      <c r="N311" s="585">
        <f t="shared" si="142"/>
        <v>-2.7597478985283325E-2</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2.5222702285743748</v>
      </c>
      <c r="X311" s="590">
        <f t="shared" si="148"/>
        <v>-113.30115012208216</v>
      </c>
      <c r="Y311" s="593">
        <f t="shared" si="149"/>
        <v>66.698849877917837</v>
      </c>
      <c r="AA311" s="150">
        <f t="shared" si="150"/>
        <v>1000000000</v>
      </c>
      <c r="AB311" s="150">
        <f t="shared" si="151"/>
        <v>467813641</v>
      </c>
      <c r="AD311" s="592">
        <f t="shared" si="152"/>
        <v>27.569492294718792</v>
      </c>
      <c r="AE311" s="593">
        <f t="shared" si="153"/>
        <v>-9.712304031477375</v>
      </c>
      <c r="AG311" s="592">
        <f t="shared" si="154"/>
        <v>0.7618738584128536</v>
      </c>
      <c r="AH311" s="593">
        <f t="shared" si="155"/>
        <v>-72.808105144157267</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5">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1.0003853284859419</v>
      </c>
      <c r="N312" s="585">
        <f t="shared" si="142"/>
        <v>-2.7756253166125198E-2</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2.4694619312647195</v>
      </c>
      <c r="X312" s="590">
        <f t="shared" si="148"/>
        <v>-113.4238388764005</v>
      </c>
      <c r="Y312" s="593">
        <f t="shared" si="149"/>
        <v>66.576161123599505</v>
      </c>
      <c r="AA312" s="150">
        <f t="shared" si="150"/>
        <v>1000000000</v>
      </c>
      <c r="AB312" s="150">
        <f t="shared" si="151"/>
        <v>473214762.25</v>
      </c>
      <c r="AD312" s="592">
        <f t="shared" si="152"/>
        <v>27.568720902010956</v>
      </c>
      <c r="AE312" s="593">
        <f t="shared" si="153"/>
        <v>-9.7277142229299525</v>
      </c>
      <c r="AG312" s="592">
        <f t="shared" si="154"/>
        <v>0.71451489315056282</v>
      </c>
      <c r="AH312" s="593">
        <f t="shared" si="155"/>
        <v>-72.742322554078953</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5">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1.0003897508828543</v>
      </c>
      <c r="N313" s="585">
        <f t="shared" si="142"/>
        <v>-2.7915025947191811E-2</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2.4169241259502581</v>
      </c>
      <c r="X313" s="590">
        <f t="shared" si="148"/>
        <v>-113.54653965512728</v>
      </c>
      <c r="Y313" s="593">
        <f t="shared" si="149"/>
        <v>66.453460344872724</v>
      </c>
      <c r="AA313" s="150">
        <f t="shared" si="150"/>
        <v>1000000000</v>
      </c>
      <c r="AB313" s="150">
        <f t="shared" si="151"/>
        <v>478646884</v>
      </c>
      <c r="AD313" s="592">
        <f t="shared" si="152"/>
        <v>27.567949380615833</v>
      </c>
      <c r="AE313" s="593">
        <f t="shared" si="153"/>
        <v>-9.7433466883142668</v>
      </c>
      <c r="AG313" s="592">
        <f t="shared" si="154"/>
        <v>0.66745107305412932</v>
      </c>
      <c r="AH313" s="593">
        <f t="shared" si="155"/>
        <v>-72.676397911265923</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5">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1.0003942970233297</v>
      </c>
      <c r="N314" s="585">
        <f t="shared" si="142"/>
        <v>-2.8077304302750627E-2</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2.3635019974095708</v>
      </c>
      <c r="X314" s="590">
        <f t="shared" si="148"/>
        <v>-113.67196203526348</v>
      </c>
      <c r="Y314" s="593">
        <f t="shared" si="149"/>
        <v>66.328037964736524</v>
      </c>
      <c r="AA314" s="150">
        <f t="shared" si="150"/>
        <v>1000000000</v>
      </c>
      <c r="AB314" s="150">
        <f t="shared" si="151"/>
        <v>484231027.5625</v>
      </c>
      <c r="AD314" s="592">
        <f t="shared" si="152"/>
        <v>27.567160612151142</v>
      </c>
      <c r="AE314" s="593">
        <f t="shared" si="153"/>
        <v>-9.7595501221248284</v>
      </c>
      <c r="AG314" s="592">
        <f t="shared" si="154"/>
        <v>0.61964935052244108</v>
      </c>
      <c r="AH314" s="593">
        <f t="shared" si="155"/>
        <v>-72.608873573706518</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5">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1.0003988695082131</v>
      </c>
      <c r="N315" s="585">
        <f t="shared" si="142"/>
        <v>-2.823958117914389E-2</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2.3103556639044305</v>
      </c>
      <c r="X315" s="590">
        <f t="shared" si="148"/>
        <v>-113.7973948012062</v>
      </c>
      <c r="Y315" s="593">
        <f t="shared" si="149"/>
        <v>66.202605198793805</v>
      </c>
      <c r="AA315" s="150">
        <f t="shared" si="150"/>
        <v>1000000000</v>
      </c>
      <c r="AB315" s="150">
        <f t="shared" si="151"/>
        <v>489847556.25</v>
      </c>
      <c r="AD315" s="592">
        <f t="shared" si="152"/>
        <v>27.566371564365721</v>
      </c>
      <c r="AE315" s="593">
        <f t="shared" si="153"/>
        <v>-9.7759776927868174</v>
      </c>
      <c r="AG315" s="592">
        <f t="shared" si="154"/>
        <v>0.57214924293782121</v>
      </c>
      <c r="AH315" s="593">
        <f t="shared" si="155"/>
        <v>-72.541207393980812</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5">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1.0004034683371439</v>
      </c>
      <c r="N316" s="585">
        <f t="shared" si="142"/>
        <v>-2.8401856567845222E-2</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2.2574817879604914</v>
      </c>
      <c r="X316" s="590">
        <f t="shared" si="148"/>
        <v>-113.92283688443052</v>
      </c>
      <c r="Y316" s="593">
        <f t="shared" si="149"/>
        <v>66.077163115569476</v>
      </c>
      <c r="AA316" s="150">
        <f t="shared" si="150"/>
        <v>1000000000</v>
      </c>
      <c r="AB316" s="150">
        <f t="shared" si="151"/>
        <v>495496470.0625</v>
      </c>
      <c r="AD316" s="592">
        <f t="shared" si="152"/>
        <v>27.5655821671822</v>
      </c>
      <c r="AE316" s="593">
        <f t="shared" si="153"/>
        <v>-9.7926254604733707</v>
      </c>
      <c r="AG316" s="592">
        <f t="shared" si="154"/>
        <v>0.52494744259832293</v>
      </c>
      <c r="AH316" s="593">
        <f t="shared" si="155"/>
        <v>-72.473402578201586</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5">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1.0004080935097583</v>
      </c>
      <c r="N317" s="585">
        <f t="shared" si="142"/>
        <v>-2.8564130460328702E-2</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2.2048770899515198</v>
      </c>
      <c r="X317" s="590">
        <f t="shared" si="148"/>
        <v>-114.04828723663398</v>
      </c>
      <c r="Y317" s="593">
        <f t="shared" si="149"/>
        <v>65.951712763366018</v>
      </c>
      <c r="AA317" s="150">
        <f t="shared" si="150"/>
        <v>1000000000</v>
      </c>
      <c r="AB317" s="150">
        <f t="shared" si="151"/>
        <v>501177769</v>
      </c>
      <c r="AD317" s="592">
        <f t="shared" si="152"/>
        <v>27.564792352550857</v>
      </c>
      <c r="AE317" s="593">
        <f t="shared" si="153"/>
        <v>-9.809489573801228</v>
      </c>
      <c r="AG317" s="592">
        <f t="shared" si="154"/>
        <v>0.4780406974640532</v>
      </c>
      <c r="AH317" s="593">
        <f t="shared" si="155"/>
        <v>-72.40546226299125</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5">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1.0004128641716843</v>
      </c>
      <c r="N318" s="585">
        <f t="shared" si="142"/>
        <v>-2.8730547309702707E-2</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2.1512050557772318</v>
      </c>
      <c r="X318" s="590">
        <f t="shared" si="148"/>
        <v>-114.17694913647169</v>
      </c>
      <c r="Y318" s="593">
        <f t="shared" si="149"/>
        <v>65.823050863528309</v>
      </c>
      <c r="AA318" s="150">
        <f t="shared" si="150"/>
        <v>1000000000</v>
      </c>
      <c r="AB318" s="150">
        <f t="shared" si="151"/>
        <v>507037806.25</v>
      </c>
      <c r="AD318" s="592">
        <f t="shared" si="152"/>
        <v>27.563981863044802</v>
      </c>
      <c r="AE318" s="593">
        <f t="shared" si="153"/>
        <v>-9.8270051620790486</v>
      </c>
      <c r="AG318" s="592">
        <f t="shared" si="154"/>
        <v>0.43023904719222505</v>
      </c>
      <c r="AH318" s="593">
        <f t="shared" si="155"/>
        <v>-72.335649213121556</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5">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1.0004176625393473</v>
      </c>
      <c r="N319" s="585">
        <f t="shared" si="142"/>
        <v>-2.8896962567293773E-2</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2.0978093192132468</v>
      </c>
      <c r="X319" s="590">
        <f t="shared" si="148"/>
        <v>-114.30561756277383</v>
      </c>
      <c r="Y319" s="593">
        <f t="shared" si="149"/>
        <v>65.694382437226167</v>
      </c>
      <c r="AA319" s="150">
        <f t="shared" si="150"/>
        <v>1000000000</v>
      </c>
      <c r="AB319" s="150">
        <f t="shared" si="151"/>
        <v>512931904</v>
      </c>
      <c r="AD319" s="592">
        <f t="shared" si="152"/>
        <v>27.563170795778564</v>
      </c>
      <c r="AE319" s="593">
        <f t="shared" si="153"/>
        <v>-9.844740358227531</v>
      </c>
      <c r="AG319" s="592">
        <f t="shared" si="154"/>
        <v>0.38274096251648859</v>
      </c>
      <c r="AH319" s="593">
        <f t="shared" si="155"/>
        <v>-72.265700120142952</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5">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1.0004224886123487</v>
      </c>
      <c r="N320" s="585">
        <f t="shared" si="142"/>
        <v>-2.906337622390744E-2</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2.0446865238780969</v>
      </c>
      <c r="X320" s="590">
        <f t="shared" si="148"/>
        <v>-114.43429144761325</v>
      </c>
      <c r="Y320" s="593">
        <f t="shared" si="149"/>
        <v>65.565708552386752</v>
      </c>
      <c r="AA320" s="150">
        <f t="shared" si="150"/>
        <v>1000000000</v>
      </c>
      <c r="AB320" s="150">
        <f t="shared" si="151"/>
        <v>518860062.25</v>
      </c>
      <c r="AD320" s="592">
        <f t="shared" si="152"/>
        <v>27.562359083560118</v>
      </c>
      <c r="AE320" s="593">
        <f t="shared" si="153"/>
        <v>-9.8626912819422117</v>
      </c>
      <c r="AG320" s="592">
        <f t="shared" si="154"/>
        <v>0.33554311009244653</v>
      </c>
      <c r="AH320" s="593">
        <f t="shared" si="155"/>
        <v>-72.195618152002467</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5">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1.0004273423902876</v>
      </c>
      <c r="N321" s="585">
        <f t="shared" si="142"/>
        <v>-2.9229788270349798E-2</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1.9918333717186421</v>
      </c>
      <c r="X321" s="590">
        <f t="shared" si="148"/>
        <v>-114.56296974312447</v>
      </c>
      <c r="Y321" s="593">
        <f t="shared" si="149"/>
        <v>65.437030256875531</v>
      </c>
      <c r="AA321" s="150">
        <f t="shared" si="150"/>
        <v>1000000000</v>
      </c>
      <c r="AB321" s="150">
        <f t="shared" si="151"/>
        <v>524822281</v>
      </c>
      <c r="AD321" s="592">
        <f t="shared" si="152"/>
        <v>27.561546661153088</v>
      </c>
      <c r="AE321" s="593">
        <f t="shared" si="153"/>
        <v>-9.8808541401852743</v>
      </c>
      <c r="AG321" s="592">
        <f t="shared" si="154"/>
        <v>0.28864221277812302</v>
      </c>
      <c r="AH321" s="593">
        <f t="shared" si="155"/>
        <v>-72.125406408022528</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5">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1.0004323270373043</v>
      </c>
      <c r="N322" s="585">
        <f t="shared" si="142"/>
        <v>-2.9399705413076665E-2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1.9381413146564666</v>
      </c>
      <c r="X322" s="590">
        <f t="shared" si="148"/>
        <v>-114.69436313287541</v>
      </c>
      <c r="Y322" s="593">
        <f t="shared" si="149"/>
        <v>65.305636867124591</v>
      </c>
      <c r="AA322" s="150">
        <f t="shared" si="150"/>
        <v>1000000000</v>
      </c>
      <c r="AB322" s="150">
        <f t="shared" si="151"/>
        <v>530945285.0625</v>
      </c>
      <c r="AD322" s="592">
        <f t="shared" si="152"/>
        <v>27.560716320126932</v>
      </c>
      <c r="AE322" s="593">
        <f t="shared" si="153"/>
        <v>-9.8996145686308683</v>
      </c>
      <c r="AG322" s="592">
        <f t="shared" si="154"/>
        <v>0.24105604210355552</v>
      </c>
      <c r="AH322" s="593">
        <f t="shared" si="155"/>
        <v>-72.053584350220547</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5">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1.00043734056835</v>
      </c>
      <c r="N323" s="585">
        <f t="shared" si="142"/>
        <v>-2.9569620857684324E-2</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1.8847236155016402</v>
      </c>
      <c r="X323" s="590">
        <f t="shared" si="148"/>
        <v>-114.82575897479605</v>
      </c>
      <c r="Y323" s="593">
        <f t="shared" si="149"/>
        <v>65.174241025203955</v>
      </c>
      <c r="AA323" s="150">
        <f t="shared" si="150"/>
        <v>1000000000</v>
      </c>
      <c r="AB323" s="150">
        <f t="shared" si="151"/>
        <v>537103800.25</v>
      </c>
      <c r="AD323" s="592">
        <f t="shared" si="152"/>
        <v>27.559885107156163</v>
      </c>
      <c r="AE323" s="593">
        <f t="shared" si="153"/>
        <v>-9.9185882330056234</v>
      </c>
      <c r="AG323" s="592">
        <f t="shared" si="154"/>
        <v>0.19377274204933481</v>
      </c>
      <c r="AH323" s="593">
        <f t="shared" si="155"/>
        <v>-71.981633309637843</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5">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1.0004423829829905</v>
      </c>
      <c r="N324" s="585">
        <f t="shared" si="142"/>
        <v>-2.9739534594387031E-2</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1.8315769430139672</v>
      </c>
      <c r="X324" s="590">
        <f t="shared" si="148"/>
        <v>-114.95715621470616</v>
      </c>
      <c r="Y324" s="593">
        <f t="shared" si="149"/>
        <v>65.04284378529384</v>
      </c>
      <c r="AA324" s="150">
        <f t="shared" si="150"/>
        <v>1000000000</v>
      </c>
      <c r="AB324" s="150">
        <f t="shared" si="151"/>
        <v>543297826.5625</v>
      </c>
      <c r="AD324" s="592">
        <f t="shared" si="152"/>
        <v>27.559052958687367</v>
      </c>
      <c r="AE324" s="593">
        <f t="shared" si="153"/>
        <v>-9.9377713614133683</v>
      </c>
      <c r="AG324" s="592">
        <f t="shared" si="154"/>
        <v>0.14678899720121705</v>
      </c>
      <c r="AH324" s="593">
        <f t="shared" si="155"/>
        <v>-71.909556376390512</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5">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1.0004474542807895</v>
      </c>
      <c r="N325" s="585">
        <f t="shared" si="142"/>
        <v>-2.9909446613399636E-2</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1.7786980237493841</v>
      </c>
      <c r="X325" s="590">
        <f t="shared" si="148"/>
        <v>-115.08855381799258</v>
      </c>
      <c r="Y325" s="593">
        <f t="shared" si="149"/>
        <v>64.911446182007424</v>
      </c>
      <c r="AA325" s="150">
        <f t="shared" si="150"/>
        <v>1000000000</v>
      </c>
      <c r="AB325" s="150">
        <f t="shared" si="151"/>
        <v>549527364</v>
      </c>
      <c r="AD325" s="592">
        <f t="shared" si="152"/>
        <v>27.558219813020735</v>
      </c>
      <c r="AE325" s="593">
        <f t="shared" si="153"/>
        <v>-9.9571602665700993</v>
      </c>
      <c r="AG325" s="592">
        <f t="shared" si="154"/>
        <v>0.10010154790791834</v>
      </c>
      <c r="AH325" s="593">
        <f t="shared" si="155"/>
        <v>-71.837356573988586</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5">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1.0004526792167694</v>
      </c>
      <c r="N326" s="585">
        <f t="shared" si="142"/>
        <v>-3.0083501036726662E-2</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1.7248036410791301</v>
      </c>
      <c r="X326" s="590">
        <f t="shared" si="148"/>
        <v>-115.22315555618627</v>
      </c>
      <c r="Y326" s="593">
        <f t="shared" si="149"/>
        <v>64.776844443813729</v>
      </c>
      <c r="AA326" s="150">
        <f t="shared" si="150"/>
        <v>1000000000</v>
      </c>
      <c r="AB326" s="150">
        <f t="shared" si="151"/>
        <v>555945662.25</v>
      </c>
      <c r="AD326" s="592">
        <f t="shared" si="152"/>
        <v>27.557365250138901</v>
      </c>
      <c r="AE326" s="593">
        <f t="shared" si="153"/>
        <v>-9.9772316703369572</v>
      </c>
      <c r="AG326" s="592">
        <f t="shared" si="154"/>
        <v>5.2579254071936421E-2</v>
      </c>
      <c r="AH326" s="593">
        <f t="shared" si="155"/>
        <v>-71.763271492302167</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5">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1.0004579344610884</v>
      </c>
      <c r="N327" s="585">
        <f t="shared" si="142"/>
        <v>-3.0257553636766878E-2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1.6711834583855232</v>
      </c>
      <c r="X327" s="590">
        <f t="shared" si="148"/>
        <v>-115.35775553854108</v>
      </c>
      <c r="Y327" s="593">
        <f t="shared" si="149"/>
        <v>64.642244461458915</v>
      </c>
      <c r="AA327" s="150">
        <f t="shared" si="150"/>
        <v>1000000000</v>
      </c>
      <c r="AB327" s="150">
        <f t="shared" si="151"/>
        <v>562401225</v>
      </c>
      <c r="AD327" s="592">
        <f t="shared" si="152"/>
        <v>27.556509515447061</v>
      </c>
      <c r="AE327" s="593">
        <f t="shared" si="153"/>
        <v>-9.997511440091138</v>
      </c>
      <c r="AG327" s="592">
        <f t="shared" si="154"/>
        <v>5.3611348661748229E-3</v>
      </c>
      <c r="AH327" s="593">
        <f t="shared" si="155"/>
        <v>-71.689063691404911</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5">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1.000463220013269</v>
      </c>
      <c r="N328" s="585">
        <f t="shared" si="142"/>
        <v>-3.0431604403003489E-2</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1.6178341369559361</v>
      </c>
      <c r="X328" s="590">
        <f t="shared" si="148"/>
        <v>-115.49235271340326</v>
      </c>
      <c r="Y328" s="593">
        <f t="shared" si="149"/>
        <v>64.507647286596736</v>
      </c>
      <c r="AA328" s="150">
        <f t="shared" si="150"/>
        <v>1000000000</v>
      </c>
      <c r="AB328" s="150">
        <f t="shared" si="151"/>
        <v>568894052.25</v>
      </c>
      <c r="AD328" s="592">
        <f t="shared" si="152"/>
        <v>27.555652548271219</v>
      </c>
      <c r="AE328" s="593">
        <f t="shared" si="153"/>
        <v>-10.017995872999327</v>
      </c>
      <c r="AG328" s="592">
        <f t="shared" si="154"/>
        <v>-4.1556139822625307E-2</v>
      </c>
      <c r="AH328" s="593">
        <f t="shared" si="155"/>
        <v>-71.614736215989623</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5">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1.0004685358728307</v>
      </c>
      <c r="N329" s="585">
        <f t="shared" si="142"/>
        <v>-3.0605653324920379E-2</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1.5647523960988345</v>
      </c>
      <c r="X329" s="590">
        <f t="shared" si="148"/>
        <v>-115.62694604846465</v>
      </c>
      <c r="Y329" s="593">
        <f t="shared" si="149"/>
        <v>64.373053951535354</v>
      </c>
      <c r="AA329" s="150">
        <f t="shared" si="150"/>
        <v>1000000000</v>
      </c>
      <c r="AB329" s="150">
        <f t="shared" si="151"/>
        <v>575424144</v>
      </c>
      <c r="AD329" s="592">
        <f t="shared" si="152"/>
        <v>27.55479428971741</v>
      </c>
      <c r="AE329" s="593">
        <f t="shared" si="153"/>
        <v>-10.038681349340679</v>
      </c>
      <c r="AG329" s="592">
        <f t="shared" si="154"/>
        <v>-8.8175844057813507E-2</v>
      </c>
      <c r="AH329" s="593">
        <f t="shared" si="155"/>
        <v>-71.540292045243362</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5">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1.0004740096983507</v>
      </c>
      <c r="N330" s="585">
        <f t="shared" si="142"/>
        <v>-3.0783844347096172E-2</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1.5106806509229349</v>
      </c>
      <c r="X330" s="590">
        <f t="shared" si="148"/>
        <v>-115.76473895054154</v>
      </c>
      <c r="Y330" s="593">
        <f t="shared" si="149"/>
        <v>64.235261049458458</v>
      </c>
      <c r="AA330" s="150">
        <f t="shared" si="150"/>
        <v>1000000000</v>
      </c>
      <c r="AB330" s="150">
        <f t="shared" si="151"/>
        <v>582148320.0625</v>
      </c>
      <c r="AD330" s="592">
        <f t="shared" si="152"/>
        <v>27.553914198880062</v>
      </c>
      <c r="AE330" s="593">
        <f t="shared" si="153"/>
        <v>-10.06006392261907</v>
      </c>
      <c r="AG330" s="592">
        <f t="shared" si="154"/>
        <v>-0.13560062023283917</v>
      </c>
      <c r="AH330" s="593">
        <f t="shared" si="155"/>
        <v>-71.463957542180296</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5">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1.0004795152906136</v>
      </c>
      <c r="N331" s="585">
        <f t="shared" si="142"/>
        <v>-3.0962033413775958E-2</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1.4568826011817495</v>
      </c>
      <c r="X331" s="590">
        <f t="shared" si="148"/>
        <v>-115.90252569786723</v>
      </c>
      <c r="Y331" s="593">
        <f t="shared" si="149"/>
        <v>64.097474302132767</v>
      </c>
      <c r="AA331" s="150">
        <f t="shared" si="150"/>
        <v>1000000000</v>
      </c>
      <c r="AB331" s="150">
        <f t="shared" si="151"/>
        <v>588911556.25</v>
      </c>
      <c r="AD331" s="592">
        <f t="shared" si="152"/>
        <v>27.553032634966534</v>
      </c>
      <c r="AE331" s="593">
        <f t="shared" si="153"/>
        <v>-10.081649805101437</v>
      </c>
      <c r="AG331" s="592">
        <f t="shared" si="154"/>
        <v>-0.18272025800950659</v>
      </c>
      <c r="AH331" s="593">
        <f t="shared" si="155"/>
        <v>-71.387506837961098</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5">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1.0004850526490952</v>
      </c>
      <c r="N332" s="585">
        <f t="shared" si="142"/>
        <v>-3.1140220513676625E-2</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1.4033549067041498</v>
      </c>
      <c r="X332" s="590">
        <f t="shared" si="148"/>
        <v>-116.04030524235998</v>
      </c>
      <c r="Y332" s="593">
        <f t="shared" si="149"/>
        <v>63.959694757640023</v>
      </c>
      <c r="AA332" s="150">
        <f t="shared" si="150"/>
        <v>1000000000</v>
      </c>
      <c r="AB332" s="150">
        <f t="shared" si="151"/>
        <v>595713852.5625</v>
      </c>
      <c r="AD332" s="592">
        <f t="shared" si="152"/>
        <v>27.552149540191554</v>
      </c>
      <c r="AE332" s="593">
        <f t="shared" si="153"/>
        <v>-10.103435368048043</v>
      </c>
      <c r="AG332" s="592">
        <f t="shared" si="154"/>
        <v>-0.22953809647463438</v>
      </c>
      <c r="AH332" s="593">
        <f t="shared" si="155"/>
        <v>-71.310942927979184</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5">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1.0004906217732679</v>
      </c>
      <c r="N333" s="585">
        <f t="shared" ref="N333:N396" si="174">-ATAN(G333/z_RHP)</f>
        <v>-3.1318405635515821E-2</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1.3500942854315392</v>
      </c>
      <c r="X333" s="590">
        <f t="shared" ref="X333:X396" si="180">((L333+R333+N333+V333)-(J333+P333+T333))*radconv</f>
        <v>-116.17807655502962</v>
      </c>
      <c r="Y333" s="593">
        <f t="shared" ref="Y333:Y396" si="181">IF(X333&gt;0,X333,X333+180)</f>
        <v>63.821923444970381</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-0.27605741851098964</v>
      </c>
      <c r="AH333" s="593">
        <f t="shared" ref="AH333:AH396" si="187">(L333+N333-(J333+V333))*radconv</f>
        <v>-71.234268743345467</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5">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1.0004963532937892</v>
      </c>
      <c r="N334" s="585">
        <f t="shared" si="174"/>
        <v>-3.150073253803054E-2</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1.2958681427964369</v>
      </c>
      <c r="X334" s="590">
        <f t="shared" si="180"/>
        <v>-116.31904227659233</v>
      </c>
      <c r="Y334" s="593">
        <f t="shared" si="181"/>
        <v>63.680957723407673</v>
      </c>
      <c r="AA334" s="150">
        <f t="shared" si="182"/>
        <v>1000000000</v>
      </c>
      <c r="AB334" s="150">
        <f t="shared" si="183"/>
        <v>609596100</v>
      </c>
      <c r="AD334" s="592">
        <f t="shared" si="184"/>
        <v>27.550357903264846</v>
      </c>
      <c r="AE334" s="593">
        <f t="shared" si="185"/>
        <v>-10.148109373156853</v>
      </c>
      <c r="AG334" s="592">
        <f t="shared" si="186"/>
        <v>-0.32335294172555201</v>
      </c>
      <c r="AH334" s="593">
        <f t="shared" si="187"/>
        <v>-71.155700278979879</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5">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1.0005021180735287</v>
      </c>
      <c r="N335" s="585">
        <f t="shared" si="174"/>
        <v>-3.1683057345512383E-2</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1.2419148675905789</v>
      </c>
      <c r="X335" s="590">
        <f t="shared" si="180"/>
        <v>-116.45999725820877</v>
      </c>
      <c r="Y335" s="593">
        <f t="shared" si="181"/>
        <v>63.540002741791227</v>
      </c>
      <c r="AA335" s="150">
        <f t="shared" si="182"/>
        <v>1000000000</v>
      </c>
      <c r="AB335" s="150">
        <f t="shared" si="183"/>
        <v>616677889</v>
      </c>
      <c r="AD335" s="592">
        <f t="shared" si="184"/>
        <v>27.549449172865728</v>
      </c>
      <c r="AE335" s="593">
        <f t="shared" si="185"/>
        <v>-10.170999780449947</v>
      </c>
      <c r="AG335" s="592">
        <f t="shared" si="186"/>
        <v>-0.37034268241938317</v>
      </c>
      <c r="AH335" s="593">
        <f t="shared" si="187"/>
        <v>-71.077022362191713</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5">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1.0005079161119113</v>
      </c>
      <c r="N336" s="585">
        <f t="shared" si="174"/>
        <v>-3.1865380045875843E-2</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1.1882311238290659</v>
      </c>
      <c r="X336" s="590">
        <f t="shared" si="180"/>
        <v>-116.60094045627234</v>
      </c>
      <c r="Y336" s="593">
        <f t="shared" si="181"/>
        <v>63.39905954372766</v>
      </c>
      <c r="AA336" s="150">
        <f t="shared" si="182"/>
        <v>1000000000</v>
      </c>
      <c r="AB336" s="150">
        <f t="shared" si="183"/>
        <v>623800576</v>
      </c>
      <c r="AD336" s="592">
        <f t="shared" si="184"/>
        <v>27.548538612373704</v>
      </c>
      <c r="AE336" s="593">
        <f t="shared" si="185"/>
        <v>-10.194084735587701</v>
      </c>
      <c r="AG336" s="592">
        <f t="shared" si="186"/>
        <v>-0.41702998328796403</v>
      </c>
      <c r="AH336" s="593">
        <f t="shared" si="187"/>
        <v>-70.998237935804966</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5">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1.0005137474083585</v>
      </c>
      <c r="N337" s="585">
        <f t="shared" si="174"/>
        <v>-3.2047700627036282E-2</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1.1348136336055621</v>
      </c>
      <c r="X337" s="590">
        <f t="shared" si="180"/>
        <v>-116.74187084598991</v>
      </c>
      <c r="Y337" s="593">
        <f t="shared" si="181"/>
        <v>63.258129154010092</v>
      </c>
      <c r="AA337" s="150">
        <f t="shared" si="182"/>
        <v>1000000000</v>
      </c>
      <c r="AB337" s="150">
        <f t="shared" si="183"/>
        <v>630964161</v>
      </c>
      <c r="AD337" s="592">
        <f t="shared" si="184"/>
        <v>27.547626168515134</v>
      </c>
      <c r="AE337" s="593">
        <f t="shared" si="185"/>
        <v>-10.217360767748804</v>
      </c>
      <c r="AG337" s="592">
        <f t="shared" si="186"/>
        <v>-0.46341813079336647</v>
      </c>
      <c r="AH337" s="593">
        <f t="shared" si="187"/>
        <v>-70.91934987968574</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5">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1.0005197456341164</v>
      </c>
      <c r="N338" s="585">
        <f t="shared" si="174"/>
        <v>-3.2234162653179112E-2</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1.0804541519333493</v>
      </c>
      <c r="X338" s="590">
        <f t="shared" si="180"/>
        <v>-116.88598990198417</v>
      </c>
      <c r="Y338" s="593">
        <f t="shared" si="181"/>
        <v>63.114010098015825</v>
      </c>
      <c r="AA338" s="150">
        <f t="shared" si="182"/>
        <v>1000000000</v>
      </c>
      <c r="AB338" s="150">
        <f t="shared" si="183"/>
        <v>638332857.5625</v>
      </c>
      <c r="AD338" s="592">
        <f t="shared" si="184"/>
        <v>27.546690985368024</v>
      </c>
      <c r="AE338" s="593">
        <f t="shared" si="185"/>
        <v>-10.241359904870981</v>
      </c>
      <c r="AG338" s="592">
        <f t="shared" si="186"/>
        <v>-0.51055449284219856</v>
      </c>
      <c r="AH338" s="593">
        <f t="shared" si="187"/>
        <v>-70.838564661075083</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5">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1.0005257786456143</v>
      </c>
      <c r="N339" s="585">
        <f t="shared" si="174"/>
        <v>-3.2420622437131938E-2</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1.0263664089401814</v>
      </c>
      <c r="X339" s="590">
        <f t="shared" si="180"/>
        <v>-117.03009345078608</v>
      </c>
      <c r="Y339" s="593">
        <f t="shared" si="181"/>
        <v>62.969906549213917</v>
      </c>
      <c r="AA339" s="150">
        <f t="shared" si="182"/>
        <v>1000000000</v>
      </c>
      <c r="AB339" s="150">
        <f t="shared" si="183"/>
        <v>645744332.25</v>
      </c>
      <c r="AD339" s="592">
        <f t="shared" si="184"/>
        <v>27.545753724550138</v>
      </c>
      <c r="AE339" s="593">
        <f t="shared" si="185"/>
        <v>-10.265551805177939</v>
      </c>
      <c r="AG339" s="592">
        <f t="shared" si="186"/>
        <v>-0.55738472771368552</v>
      </c>
      <c r="AH339" s="593">
        <f t="shared" si="187"/>
        <v>-70.757676947600487</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5">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1.000531846442223</v>
      </c>
      <c r="N340" s="585">
        <f t="shared" si="174"/>
        <v>-3.2607079965970044E-2</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0.97254707810178076</v>
      </c>
      <c r="X340" s="590">
        <f t="shared" si="180"/>
        <v>-117.17418045404267</v>
      </c>
      <c r="Y340" s="593">
        <f t="shared" si="181"/>
        <v>62.82581954595733</v>
      </c>
      <c r="AA340" s="150">
        <f t="shared" si="182"/>
        <v>1000000000</v>
      </c>
      <c r="AB340" s="150">
        <f t="shared" si="183"/>
        <v>653198585.0625</v>
      </c>
      <c r="AD340" s="592">
        <f t="shared" si="184"/>
        <v>27.544814334016074</v>
      </c>
      <c r="AE340" s="593">
        <f t="shared" si="185"/>
        <v>-10.289932999905458</v>
      </c>
      <c r="AG340" s="592">
        <f t="shared" si="186"/>
        <v>-0.60391217671076092</v>
      </c>
      <c r="AH340" s="593">
        <f t="shared" si="187"/>
        <v>-70.676689626802997</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5">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1.0005379490233095</v>
      </c>
      <c r="N341" s="585">
        <f t="shared" si="174"/>
        <v>-3.2793535226769664E-2</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0.91899289082171642</v>
      </c>
      <c r="X341" s="590">
        <f t="shared" si="180"/>
        <v>-117.3182498919151</v>
      </c>
      <c r="Y341" s="593">
        <f t="shared" si="181"/>
        <v>62.681750108084898</v>
      </c>
      <c r="AA341" s="150">
        <f t="shared" si="182"/>
        <v>1000000000</v>
      </c>
      <c r="AB341" s="150">
        <f t="shared" si="183"/>
        <v>660695616</v>
      </c>
      <c r="AD341" s="592">
        <f t="shared" si="184"/>
        <v>27.543872763276443</v>
      </c>
      <c r="AE341" s="593">
        <f t="shared" si="185"/>
        <v>-10.314500097993838</v>
      </c>
      <c r="AG341" s="592">
        <f t="shared" si="186"/>
        <v>-0.65014012499027696</v>
      </c>
      <c r="AH341" s="593">
        <f t="shared" si="187"/>
        <v>-70.595605524674951</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5">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1.0005442336915191</v>
      </c>
      <c r="N342" s="585">
        <f t="shared" si="174"/>
        <v>-3.2984450301148847E-2</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0.86442844791775375</v>
      </c>
      <c r="X342" s="590">
        <f t="shared" si="180"/>
        <v>-117.46574789820484</v>
      </c>
      <c r="Y342" s="593">
        <f t="shared" si="181"/>
        <v>62.534252101795161</v>
      </c>
      <c r="AA342" s="150">
        <f t="shared" si="182"/>
        <v>1000000000</v>
      </c>
      <c r="AB342" s="150">
        <f t="shared" si="183"/>
        <v>668416389.0625</v>
      </c>
      <c r="AD342" s="592">
        <f t="shared" si="184"/>
        <v>27.542906348972625</v>
      </c>
      <c r="AE342" s="593">
        <f t="shared" si="185"/>
        <v>-10.339844294231863</v>
      </c>
      <c r="AG342" s="592">
        <f t="shared" si="186"/>
        <v>-0.69716741887627831</v>
      </c>
      <c r="AH342" s="593">
        <f t="shared" si="187"/>
        <v>-70.51248355379299</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5">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1.0005505548276719</v>
      </c>
      <c r="N343" s="585">
        <f t="shared" si="174"/>
        <v>-3.3175362970214173E-2</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0.81013523565996937</v>
      </c>
      <c r="X343" s="590">
        <f t="shared" si="180"/>
        <v>-117.61322538167957</v>
      </c>
      <c r="Y343" s="593">
        <f t="shared" si="181"/>
        <v>62.38677461832043</v>
      </c>
      <c r="AA343" s="150">
        <f t="shared" si="182"/>
        <v>1000000000</v>
      </c>
      <c r="AB343" s="150">
        <f t="shared" si="183"/>
        <v>676182012.25</v>
      </c>
      <c r="AD343" s="592">
        <f t="shared" si="184"/>
        <v>27.541937546502595</v>
      </c>
      <c r="AE343" s="593">
        <f t="shared" si="185"/>
        <v>-10.365376442820908</v>
      </c>
      <c r="AG343" s="592">
        <f t="shared" si="186"/>
        <v>-0.74388750146600746</v>
      </c>
      <c r="AH343" s="593">
        <f t="shared" si="187"/>
        <v>-70.42926592007646</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5">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1.0005569124310769</v>
      </c>
      <c r="N344" s="585">
        <f t="shared" si="174"/>
        <v>-3.3366273220094743E-2</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0.75610992539385424</v>
      </c>
      <c r="X344" s="590">
        <f t="shared" si="180"/>
        <v>-117.76068130476673</v>
      </c>
      <c r="Y344" s="593">
        <f t="shared" si="181"/>
        <v>62.239318695233266</v>
      </c>
      <c r="AA344" s="150">
        <f t="shared" si="182"/>
        <v>1000000000</v>
      </c>
      <c r="AB344" s="150">
        <f t="shared" si="183"/>
        <v>683992485.5625</v>
      </c>
      <c r="AD344" s="592">
        <f t="shared" si="184"/>
        <v>27.540966306402023</v>
      </c>
      <c r="AE344" s="593">
        <f t="shared" si="185"/>
        <v>-10.391093142558015</v>
      </c>
      <c r="AG344" s="592">
        <f t="shared" si="186"/>
        <v>-0.79030372464930598</v>
      </c>
      <c r="AH344" s="593">
        <f t="shared" si="187"/>
        <v>-70.345955467645808</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5">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1.0005633065010386</v>
      </c>
      <c r="N345" s="585">
        <f t="shared" si="174"/>
        <v>-3.3557181036920694E-2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0.70234924651609032</v>
      </c>
      <c r="X345" s="590">
        <f t="shared" si="180"/>
        <v>-117.90811464821529</v>
      </c>
      <c r="Y345" s="593">
        <f t="shared" si="181"/>
        <v>62.091885351784711</v>
      </c>
      <c r="AA345" s="150">
        <f t="shared" si="182"/>
        <v>1000000000</v>
      </c>
      <c r="AB345" s="150">
        <f t="shared" si="183"/>
        <v>691847809</v>
      </c>
      <c r="AD345" s="592">
        <f t="shared" si="184"/>
        <v>27.539992580698605</v>
      </c>
      <c r="AE345" s="593">
        <f t="shared" si="185"/>
        <v>-10.416991068417683</v>
      </c>
      <c r="AG345" s="592">
        <f t="shared" si="186"/>
        <v>-0.83641938399468163</v>
      </c>
      <c r="AH345" s="593">
        <f t="shared" si="187"/>
        <v>-70.262554980150981</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5">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1.000569877002025</v>
      </c>
      <c r="N346" s="585">
        <f t="shared" si="174"/>
        <v>-3.3752229567919172E-2</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0.64769177396398203</v>
      </c>
      <c r="X346" s="590">
        <f t="shared" si="180"/>
        <v>-118.05872335200226</v>
      </c>
      <c r="Y346" s="593">
        <f t="shared" si="181"/>
        <v>61.941276647997739</v>
      </c>
      <c r="AA346" s="150">
        <f t="shared" si="182"/>
        <v>1000000000</v>
      </c>
      <c r="AB346" s="150">
        <f t="shared" si="183"/>
        <v>699919936</v>
      </c>
      <c r="AD346" s="592">
        <f t="shared" si="184"/>
        <v>27.538995106883092</v>
      </c>
      <c r="AE346" s="593">
        <f t="shared" si="185"/>
        <v>-10.443634839780684</v>
      </c>
      <c r="AG346" s="592">
        <f t="shared" si="186"/>
        <v>-0.88322883545182918</v>
      </c>
      <c r="AH346" s="593">
        <f t="shared" si="187"/>
        <v>-70.177254312316549</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5">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1.0005764855681203</v>
      </c>
      <c r="N347" s="585">
        <f t="shared" si="174"/>
        <v>-3.394727552984099E-2</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0.59330382132975223</v>
      </c>
      <c r="X347" s="590">
        <f t="shared" si="180"/>
        <v>-118.20930639088006</v>
      </c>
      <c r="Y347" s="593">
        <f t="shared" si="181"/>
        <v>61.790693609119941</v>
      </c>
      <c r="AA347" s="150">
        <f t="shared" si="182"/>
        <v>1000000000</v>
      </c>
      <c r="AB347" s="150">
        <f t="shared" si="183"/>
        <v>708038881</v>
      </c>
      <c r="AD347" s="592">
        <f t="shared" si="184"/>
        <v>27.537994941714707</v>
      </c>
      <c r="AE347" s="593">
        <f t="shared" si="185"/>
        <v>-10.470461005782775</v>
      </c>
      <c r="AG347" s="592">
        <f t="shared" si="186"/>
        <v>-0.92973131593053593</v>
      </c>
      <c r="AH347" s="593">
        <f t="shared" si="187"/>
        <v>-70.091865347656622</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5">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1.0005831321985703</v>
      </c>
      <c r="N348" s="585">
        <f t="shared" si="174"/>
        <v>-3.414231890789695E-2</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0.53918207969586807</v>
      </c>
      <c r="X348" s="590">
        <f t="shared" si="180"/>
        <v>-118.35986273403408</v>
      </c>
      <c r="Y348" s="593">
        <f t="shared" si="181"/>
        <v>61.640137265965919</v>
      </c>
      <c r="AA348" s="150">
        <f t="shared" si="182"/>
        <v>1000000000</v>
      </c>
      <c r="AB348" s="150">
        <f t="shared" si="183"/>
        <v>716204644</v>
      </c>
      <c r="AD348" s="592">
        <f t="shared" si="184"/>
        <v>27.536992038537772</v>
      </c>
      <c r="AE348" s="593">
        <f t="shared" si="185"/>
        <v>-10.49746625288585</v>
      </c>
      <c r="AG348" s="592">
        <f t="shared" si="186"/>
        <v>-0.97593016623493611</v>
      </c>
      <c r="AH348" s="593">
        <f t="shared" si="187"/>
        <v>-70.006390870076345</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5">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1.0005898168926166</v>
      </c>
      <c r="N349" s="585">
        <f t="shared" si="174"/>
        <v>-3.4337359687299049E-2</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0.48532329781853656</v>
      </c>
      <c r="X349" s="590">
        <f t="shared" si="180"/>
        <v>-118.51039136864091</v>
      </c>
      <c r="Y349" s="593">
        <f t="shared" si="181"/>
        <v>61.48960863135909</v>
      </c>
      <c r="AA349" s="150">
        <f t="shared" si="182"/>
        <v>1000000000</v>
      </c>
      <c r="AB349" s="150">
        <f t="shared" si="183"/>
        <v>724417225</v>
      </c>
      <c r="AD349" s="592">
        <f t="shared" si="184"/>
        <v>27.535986352115103</v>
      </c>
      <c r="AE349" s="593">
        <f t="shared" si="185"/>
        <v>-10.524647341587006</v>
      </c>
      <c r="AG349" s="592">
        <f t="shared" si="186"/>
        <v>-1.0218286711617663</v>
      </c>
      <c r="AH349" s="593">
        <f t="shared" si="187"/>
        <v>-69.920833604564606</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5">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1.000596704900832</v>
      </c>
      <c r="N350" s="585">
        <f t="shared" si="174"/>
        <v>-3.4537178167527667E-2</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0.43041381412072865</v>
      </c>
      <c r="X350" s="590">
        <f t="shared" si="180"/>
        <v>-118.66457965449541</v>
      </c>
      <c r="Y350" s="593">
        <f t="shared" si="181"/>
        <v>61.335420345504588</v>
      </c>
      <c r="AA350" s="150">
        <f t="shared" si="182"/>
        <v>1000000000</v>
      </c>
      <c r="AB350" s="150">
        <f t="shared" si="183"/>
        <v>732879648.0625</v>
      </c>
      <c r="AD350" s="592">
        <f t="shared" si="184"/>
        <v>27.534953084253463</v>
      </c>
      <c r="AE350" s="593">
        <f t="shared" si="185"/>
        <v>-10.552673681281307</v>
      </c>
      <c r="AG350" s="592">
        <f t="shared" si="186"/>
        <v>-1.0685440385406615</v>
      </c>
      <c r="AH350" s="593">
        <f t="shared" si="187"/>
        <v>-69.833096279591913</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5">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1.0006036328597461</v>
      </c>
      <c r="N351" s="585">
        <f t="shared" si="174"/>
        <v>-3.4736993888736127E-2</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0.37577360949853178</v>
      </c>
      <c r="X351" s="590">
        <f t="shared" si="180"/>
        <v>-118.81873676060538</v>
      </c>
      <c r="Y351" s="593">
        <f t="shared" si="181"/>
        <v>61.181263239394625</v>
      </c>
      <c r="AA351" s="150">
        <f t="shared" si="182"/>
        <v>1000000000</v>
      </c>
      <c r="AB351" s="150">
        <f t="shared" si="183"/>
        <v>741391212.25</v>
      </c>
      <c r="AD351" s="592">
        <f t="shared" si="184"/>
        <v>27.533916803274856</v>
      </c>
      <c r="AE351" s="593">
        <f t="shared" si="185"/>
        <v>-10.580877933372987</v>
      </c>
      <c r="AG351" s="592">
        <f t="shared" si="186"/>
        <v>-1.1149509625810747</v>
      </c>
      <c r="AH351" s="593">
        <f t="shared" si="187"/>
        <v>-69.74527766658602</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5">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1.0006106007685294</v>
      </c>
      <c r="N352" s="585">
        <f t="shared" si="174"/>
        <v>-3.4936806835026084E-2</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0.32139936758437188</v>
      </c>
      <c r="X352" s="590">
        <f t="shared" si="180"/>
        <v>-118.97286165363045</v>
      </c>
      <c r="Y352" s="593">
        <f t="shared" si="181"/>
        <v>61.027138346369554</v>
      </c>
      <c r="AA352" s="150">
        <f t="shared" si="182"/>
        <v>1000000000</v>
      </c>
      <c r="AB352" s="150">
        <f t="shared" si="183"/>
        <v>749951917.5625</v>
      </c>
      <c r="AD352" s="592">
        <f t="shared" si="184"/>
        <v>27.532877464861699</v>
      </c>
      <c r="AE352" s="593">
        <f t="shared" si="185"/>
        <v>-10.6092568426269</v>
      </c>
      <c r="AG352" s="592">
        <f t="shared" si="186"/>
        <v>-1.1610528008496317</v>
      </c>
      <c r="AH352" s="593">
        <f t="shared" si="187"/>
        <v>-69.657380513888981</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5">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1.0006176086263472</v>
      </c>
      <c r="N353" s="585">
        <f t="shared" si="174"/>
        <v>-3.5136616990500545E-2</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0.26728782994359856</v>
      </c>
      <c r="X353" s="590">
        <f t="shared" si="180"/>
        <v>-119.12695331810833</v>
      </c>
      <c r="Y353" s="593">
        <f t="shared" si="181"/>
        <v>60.873046681891665</v>
      </c>
      <c r="AA353" s="150">
        <f t="shared" si="182"/>
        <v>1000000000</v>
      </c>
      <c r="AB353" s="150">
        <f t="shared" si="183"/>
        <v>758561764</v>
      </c>
      <c r="AD353" s="592">
        <f t="shared" si="184"/>
        <v>27.531835026060165</v>
      </c>
      <c r="AE353" s="593">
        <f t="shared" si="185"/>
        <v>-10.637807226555442</v>
      </c>
      <c r="AG353" s="592">
        <f t="shared" si="186"/>
        <v>-1.2068528546038806</v>
      </c>
      <c r="AH353" s="593">
        <f t="shared" si="187"/>
        <v>-69.569407511789606</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5">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1.0006248255294337</v>
      </c>
      <c r="N354" s="585">
        <f t="shared" si="174"/>
        <v>-3.5341204384870151E-2</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0.21215062080211772</v>
      </c>
      <c r="X354" s="590">
        <f t="shared" si="180"/>
        <v>-119.2846959133001</v>
      </c>
      <c r="Y354" s="593">
        <f t="shared" si="181"/>
        <v>60.715304086699902</v>
      </c>
      <c r="AA354" s="150">
        <f t="shared" si="182"/>
        <v>1000000000</v>
      </c>
      <c r="AB354" s="150">
        <f t="shared" si="183"/>
        <v>767428506.25</v>
      </c>
      <c r="AD354" s="592">
        <f t="shared" si="184"/>
        <v>27.530764392520112</v>
      </c>
      <c r="AE354" s="593">
        <f t="shared" si="185"/>
        <v>-10.667215061540251</v>
      </c>
      <c r="AG354" s="592">
        <f t="shared" si="186"/>
        <v>-1.2534392930863922</v>
      </c>
      <c r="AH354" s="593">
        <f t="shared" si="187"/>
        <v>-69.479254049951123</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5">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1.0006320843140697</v>
      </c>
      <c r="N355" s="585">
        <f t="shared" si="174"/>
        <v>-3.5545788819567249E-2</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0.15728210218799399</v>
      </c>
      <c r="X355" s="590">
        <f t="shared" si="180"/>
        <v>-119.44240157182088</v>
      </c>
      <c r="Y355" s="593">
        <f t="shared" si="181"/>
        <v>60.557598428179119</v>
      </c>
      <c r="AA355" s="150">
        <f t="shared" si="182"/>
        <v>1000000000</v>
      </c>
      <c r="AB355" s="150">
        <f t="shared" si="183"/>
        <v>776346769</v>
      </c>
      <c r="AD355" s="592">
        <f t="shared" si="184"/>
        <v>27.529690421515205</v>
      </c>
      <c r="AE355" s="593">
        <f t="shared" si="185"/>
        <v>-10.696796145829181</v>
      </c>
      <c r="AG355" s="592">
        <f t="shared" si="186"/>
        <v>-1.2997161644406776</v>
      </c>
      <c r="AH355" s="593">
        <f t="shared" si="187"/>
        <v>-69.389026595026607</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5">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1.0006393849793436</v>
      </c>
      <c r="N356" s="585">
        <f t="shared" si="174"/>
        <v>-3.5750370277530759E-2</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0.10267895645355747</v>
      </c>
      <c r="X356" s="590">
        <f t="shared" si="180"/>
        <v>-119.60006925893609</v>
      </c>
      <c r="Y356" s="593">
        <f t="shared" si="181"/>
        <v>60.399930741063912</v>
      </c>
      <c r="AA356" s="150">
        <f t="shared" si="182"/>
        <v>1000000000</v>
      </c>
      <c r="AB356" s="150">
        <f t="shared" si="183"/>
        <v>785316552.25</v>
      </c>
      <c r="AD356" s="592">
        <f t="shared" si="184"/>
        <v>27.528613071087147</v>
      </c>
      <c r="AE356" s="593">
        <f t="shared" si="185"/>
        <v>-10.726547286936469</v>
      </c>
      <c r="AG356" s="592">
        <f t="shared" si="186"/>
        <v>-1.3456868372637931</v>
      </c>
      <c r="AH356" s="593">
        <f t="shared" si="187"/>
        <v>-69.298727856078031</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5">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1.0006467275243389</v>
      </c>
      <c r="N357" s="585">
        <f t="shared" si="174"/>
        <v>-3.5954948741701076E-2</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4.8337924007621359E-2</v>
      </c>
      <c r="X357" s="590">
        <f t="shared" si="180"/>
        <v>-119.75769795765676</v>
      </c>
      <c r="Y357" s="593">
        <f t="shared" si="181"/>
        <v>60.24230204234324</v>
      </c>
      <c r="AA357" s="150">
        <f t="shared" si="182"/>
        <v>1000000000</v>
      </c>
      <c r="AB357" s="150">
        <f t="shared" si="183"/>
        <v>794337856</v>
      </c>
      <c r="AD357" s="592">
        <f t="shared" si="184"/>
        <v>27.527532300585804</v>
      </c>
      <c r="AE357" s="593">
        <f t="shared" si="185"/>
        <v>-10.756465363687292</v>
      </c>
      <c r="AG357" s="592">
        <f t="shared" si="186"/>
        <v>-1.3913546236761996</v>
      </c>
      <c r="AH357" s="593">
        <f t="shared" si="187"/>
        <v>-69.208360485078501</v>
      </c>
      <c r="AJ357" s="150">
        <f t="shared" si="188"/>
        <v>28184</v>
      </c>
      <c r="AK357" s="150">
        <f t="shared" si="200"/>
        <v>60.24230204234324</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5">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1.0006542734457551</v>
      </c>
      <c r="N358" s="585">
        <f t="shared" si="174"/>
        <v>-3.616398530830469E-2</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-6.9206980844769821E-3</v>
      </c>
      <c r="X358" s="590">
        <f t="shared" si="180"/>
        <v>-119.91872272930996</v>
      </c>
      <c r="Y358" s="593">
        <f t="shared" si="181"/>
        <v>60.081277270690038</v>
      </c>
      <c r="AA358" s="150">
        <f t="shared" si="182"/>
        <v>28348</v>
      </c>
      <c r="AB358" s="150">
        <f t="shared" si="183"/>
        <v>803609104</v>
      </c>
      <c r="AD358" s="592">
        <f t="shared" si="184"/>
        <v>27.526424388150335</v>
      </c>
      <c r="AE358" s="593">
        <f t="shared" si="185"/>
        <v>-10.787205120449357</v>
      </c>
      <c r="AG358" s="592">
        <f t="shared" si="186"/>
        <v>-1.4377088032683483</v>
      </c>
      <c r="AH358" s="593">
        <f t="shared" si="187"/>
        <v>-69.115954293887086</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5">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1.0006618630913864</v>
      </c>
      <c r="N359" s="585">
        <f t="shared" si="174"/>
        <v>-3.6373018713113978E-2</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-6.19123515747068E-2</v>
      </c>
      <c r="X359" s="590">
        <f t="shared" si="180"/>
        <v>-120.07970470157261</v>
      </c>
      <c r="Y359" s="593">
        <f t="shared" si="181"/>
        <v>59.920295298427391</v>
      </c>
      <c r="AA359" s="150">
        <f t="shared" si="182"/>
        <v>28512</v>
      </c>
      <c r="AB359" s="150">
        <f t="shared" si="183"/>
        <v>812934144</v>
      </c>
      <c r="AD359" s="592">
        <f t="shared" si="184"/>
        <v>27.525312823035009</v>
      </c>
      <c r="AE359" s="593">
        <f t="shared" si="185"/>
        <v>-10.818112803469987</v>
      </c>
      <c r="AG359" s="592">
        <f t="shared" si="186"/>
        <v>-1.4837535592098485</v>
      </c>
      <c r="AH359" s="593">
        <f t="shared" si="187"/>
        <v>-69.023481867212965</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5">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1.0006694964602374</v>
      </c>
      <c r="N360" s="585">
        <f t="shared" si="174"/>
        <v>-3.6582048937933646E-2</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-0.11664033461567969</v>
      </c>
      <c r="X360" s="590">
        <f t="shared" si="180"/>
        <v>-120.24064284404942</v>
      </c>
      <c r="Y360" s="593">
        <f t="shared" si="181"/>
        <v>59.759357155950582</v>
      </c>
      <c r="AA360" s="150">
        <f t="shared" si="182"/>
        <v>28676</v>
      </c>
      <c r="AB360" s="150">
        <f t="shared" si="183"/>
        <v>822312976</v>
      </c>
      <c r="AD360" s="592">
        <f t="shared" si="184"/>
        <v>27.524197565827031</v>
      </c>
      <c r="AE360" s="593">
        <f t="shared" si="185"/>
        <v>-10.849185300811921</v>
      </c>
      <c r="AG360" s="592">
        <f t="shared" si="186"/>
        <v>-1.5294922505040591</v>
      </c>
      <c r="AH360" s="593">
        <f t="shared" si="187"/>
        <v>-68.930945859579268</v>
      </c>
      <c r="AJ360" s="150">
        <f t="shared" si="188"/>
        <v>0</v>
      </c>
      <c r="AK360" s="150">
        <f t="shared" si="200"/>
        <v>0</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5">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1.000677173551308</v>
      </c>
      <c r="N361" s="585">
        <f t="shared" si="174"/>
        <v>-3.6791075964570118E-2</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-0.17110788765634038</v>
      </c>
      <c r="X361" s="590">
        <f t="shared" si="180"/>
        <v>-120.4015361438347</v>
      </c>
      <c r="Y361" s="593">
        <f t="shared" si="181"/>
        <v>59.598463856165296</v>
      </c>
      <c r="AA361" s="150">
        <f t="shared" si="182"/>
        <v>28840</v>
      </c>
      <c r="AB361" s="150">
        <f t="shared" si="183"/>
        <v>831745600</v>
      </c>
      <c r="AD361" s="592">
        <f t="shared" si="184"/>
        <v>27.523078578358437</v>
      </c>
      <c r="AE361" s="593">
        <f t="shared" si="185"/>
        <v>-10.880419569867366</v>
      </c>
      <c r="AG361" s="592">
        <f t="shared" si="186"/>
        <v>-1.5749281799755632</v>
      </c>
      <c r="AH361" s="593">
        <f t="shared" si="187"/>
        <v>-68.838348869807078</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5">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1.0006850832222682</v>
      </c>
      <c r="N362" s="585">
        <f t="shared" si="174"/>
        <v>-3.7005197876211038E-2</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-0.22663721019414665</v>
      </c>
      <c r="X362" s="590">
        <f t="shared" si="180"/>
        <v>-120.56630613296311</v>
      </c>
      <c r="Y362" s="593">
        <f t="shared" si="181"/>
        <v>59.433693867036894</v>
      </c>
      <c r="AA362" s="150">
        <f t="shared" si="182"/>
        <v>29008</v>
      </c>
      <c r="AB362" s="150">
        <f t="shared" si="183"/>
        <v>841464064</v>
      </c>
      <c r="AD362" s="592">
        <f t="shared" si="184"/>
        <v>27.521928392037417</v>
      </c>
      <c r="AE362" s="593">
        <f t="shared" si="185"/>
        <v>-10.912580279048235</v>
      </c>
      <c r="AG362" s="592">
        <f t="shared" si="186"/>
        <v>-1.6211617690611968</v>
      </c>
      <c r="AH362" s="593">
        <f t="shared" si="187"/>
        <v>-68.743432845138884</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5">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1.0006930387721047</v>
      </c>
      <c r="N363" s="585">
        <f t="shared" si="174"/>
        <v>-3.721931639311319E-2</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-0.28189994775105198</v>
      </c>
      <c r="X363" s="590">
        <f t="shared" si="180"/>
        <v>-120.73102696792813</v>
      </c>
      <c r="Y363" s="593">
        <f t="shared" si="181"/>
        <v>59.26897303207187</v>
      </c>
      <c r="AA363" s="150">
        <f t="shared" si="182"/>
        <v>29176</v>
      </c>
      <c r="AB363" s="150">
        <f t="shared" si="183"/>
        <v>851238976</v>
      </c>
      <c r="AD363" s="592">
        <f t="shared" si="184"/>
        <v>27.520774214018001</v>
      </c>
      <c r="AE363" s="593">
        <f t="shared" si="185"/>
        <v>-10.944904498594717</v>
      </c>
      <c r="AG363" s="592">
        <f t="shared" si="186"/>
        <v>-1.6670844884114533</v>
      </c>
      <c r="AH363" s="593">
        <f t="shared" si="187"/>
        <v>-68.648458175419407</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5">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1.0007010401997232</v>
      </c>
      <c r="N364" s="585">
        <f t="shared" si="174"/>
        <v>-3.7433431495724492E-2</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-0.33689940384565009</v>
      </c>
      <c r="X364" s="590">
        <f t="shared" si="180"/>
        <v>-120.89569761420158</v>
      </c>
      <c r="Y364" s="593">
        <f t="shared" si="181"/>
        <v>59.10430238579842</v>
      </c>
      <c r="AA364" s="150">
        <f t="shared" si="182"/>
        <v>29344</v>
      </c>
      <c r="AB364" s="150">
        <f t="shared" si="183"/>
        <v>861070336</v>
      </c>
      <c r="AD364" s="592">
        <f t="shared" si="184"/>
        <v>27.51961600706835</v>
      </c>
      <c r="AE364" s="593">
        <f t="shared" si="185"/>
        <v>-10.977389171539752</v>
      </c>
      <c r="AG364" s="592">
        <f t="shared" si="186"/>
        <v>-1.7126997132814545</v>
      </c>
      <c r="AH364" s="593">
        <f t="shared" si="187"/>
        <v>-68.553427482237609</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5">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1.0007090875040234</v>
      </c>
      <c r="N365" s="585">
        <f t="shared" si="174"/>
        <v>-3.7647543164494757E-2</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-0.39163882405970629</v>
      </c>
      <c r="X365" s="590">
        <f t="shared" si="180"/>
        <v>-121.06031705469067</v>
      </c>
      <c r="Y365" s="593">
        <f t="shared" si="181"/>
        <v>58.939682945309329</v>
      </c>
      <c r="AA365" s="150">
        <f t="shared" si="182"/>
        <v>29512</v>
      </c>
      <c r="AB365" s="150">
        <f t="shared" si="183"/>
        <v>870958144</v>
      </c>
      <c r="AD365" s="592">
        <f t="shared" si="184"/>
        <v>27.518453735153535</v>
      </c>
      <c r="AE365" s="593">
        <f t="shared" si="185"/>
        <v>-11.010031309004837</v>
      </c>
      <c r="AG365" s="592">
        <f t="shared" si="186"/>
        <v>-1.7580107624766736</v>
      </c>
      <c r="AH365" s="593">
        <f t="shared" si="187"/>
        <v>-68.458343332257201</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5">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1.0007173739377895</v>
      </c>
      <c r="N366" s="585">
        <f t="shared" si="174"/>
        <v>-3.7866749152276252E-2</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-0.44741549685473014</v>
      </c>
      <c r="X366" s="590">
        <f t="shared" si="180"/>
        <v>-121.22880191239057</v>
      </c>
      <c r="Y366" s="593">
        <f t="shared" si="181"/>
        <v>58.771198087609434</v>
      </c>
      <c r="AA366" s="150">
        <f t="shared" si="182"/>
        <v>29684</v>
      </c>
      <c r="AB366" s="150">
        <f t="shared" si="183"/>
        <v>881139856</v>
      </c>
      <c r="AD366" s="592">
        <f t="shared" si="184"/>
        <v>27.517259542390072</v>
      </c>
      <c r="AE366" s="593">
        <f t="shared" si="185"/>
        <v>-11.043610721558505</v>
      </c>
      <c r="AG366" s="592">
        <f t="shared" si="186"/>
        <v>-1.8040889284787811</v>
      </c>
      <c r="AH366" s="593">
        <f t="shared" si="187"/>
        <v>-68.360942516857989</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5">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1.0007257084564938</v>
      </c>
      <c r="N367" s="585">
        <f t="shared" si="174"/>
        <v>-3.8085951499287521E-2</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-0.50292630823043627</v>
      </c>
      <c r="X367" s="590">
        <f t="shared" si="180"/>
        <v>-121.39723099350087</v>
      </c>
      <c r="Y367" s="593">
        <f t="shared" si="181"/>
        <v>58.60276900649913</v>
      </c>
      <c r="AA367" s="150">
        <f t="shared" si="182"/>
        <v>29856</v>
      </c>
      <c r="AB367" s="150">
        <f t="shared" si="183"/>
        <v>891380736</v>
      </c>
      <c r="AD367" s="592">
        <f t="shared" si="184"/>
        <v>27.51606101601919</v>
      </c>
      <c r="AE367" s="593">
        <f t="shared" si="185"/>
        <v>-11.077349056281593</v>
      </c>
      <c r="AG367" s="592">
        <f t="shared" si="186"/>
        <v>-1.8498551262675877</v>
      </c>
      <c r="AH367" s="593">
        <f t="shared" si="187"/>
        <v>-68.263490943505772</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5">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1.0007340910589346</v>
      </c>
      <c r="N368" s="585">
        <f t="shared" si="174"/>
        <v>-3.830515018455459E-2</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-0.55817456093078022</v>
      </c>
      <c r="X368" s="590">
        <f t="shared" si="180"/>
        <v>-121.56560326061174</v>
      </c>
      <c r="Y368" s="593">
        <f t="shared" si="181"/>
        <v>58.434396739388262</v>
      </c>
      <c r="AA368" s="150">
        <f t="shared" si="182"/>
        <v>30028</v>
      </c>
      <c r="AB368" s="150">
        <f t="shared" si="183"/>
        <v>901680784</v>
      </c>
      <c r="AD368" s="592">
        <f t="shared" si="184"/>
        <v>27.514858121014566</v>
      </c>
      <c r="AE368" s="593">
        <f t="shared" si="185"/>
        <v>-11.111243315172883</v>
      </c>
      <c r="AG368" s="592">
        <f t="shared" si="186"/>
        <v>-1.8953127417264268</v>
      </c>
      <c r="AH368" s="593">
        <f t="shared" si="187"/>
        <v>-68.165991197234149</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5">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1.0007425217439039</v>
      </c>
      <c r="N369" s="585">
        <f t="shared" si="174"/>
        <v>-3.8524345187105603E-2</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-0.61316349966428541</v>
      </c>
      <c r="X369" s="590">
        <f t="shared" si="180"/>
        <v>-121.73391769367969</v>
      </c>
      <c r="Y369" s="593">
        <f t="shared" si="181"/>
        <v>58.266082306320314</v>
      </c>
      <c r="AA369" s="150">
        <f t="shared" si="182"/>
        <v>30200</v>
      </c>
      <c r="AB369" s="150">
        <f t="shared" si="183"/>
        <v>912040000</v>
      </c>
      <c r="AD369" s="592">
        <f t="shared" si="184"/>
        <v>27.513650823498253</v>
      </c>
      <c r="AE369" s="593">
        <f t="shared" si="185"/>
        <v>-11.145290566943475</v>
      </c>
      <c r="AG369" s="592">
        <f t="shared" si="186"/>
        <v>-1.9404651041502741</v>
      </c>
      <c r="AH369" s="593">
        <f t="shared" si="187"/>
        <v>-68.068445809017661</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5">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1.00075118590257</v>
      </c>
      <c r="N370" s="585">
        <f t="shared" si="174"/>
        <v>-3.8748315324621148E-2</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-0.66908678570147428</v>
      </c>
      <c r="X370" s="590">
        <f t="shared" si="180"/>
        <v>-121.90584099008153</v>
      </c>
      <c r="Y370" s="593">
        <f t="shared" si="181"/>
        <v>58.094159009918471</v>
      </c>
      <c r="AA370" s="150">
        <f t="shared" si="182"/>
        <v>30375.75</v>
      </c>
      <c r="AB370" s="150">
        <f t="shared" si="183"/>
        <v>922686188.0625</v>
      </c>
      <c r="AD370" s="592">
        <f t="shared" si="184"/>
        <v>27.512412622465927</v>
      </c>
      <c r="AE370" s="593">
        <f t="shared" si="185"/>
        <v>-11.18023517858648</v>
      </c>
      <c r="AG370" s="592">
        <f t="shared" si="186"/>
        <v>-1.9862899907603602</v>
      </c>
      <c r="AH370" s="593">
        <f t="shared" si="187"/>
        <v>-67.968729137372705</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5">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1.0007599002606693</v>
      </c>
      <c r="N371" s="585">
        <f t="shared" si="174"/>
        <v>-3.8972281572823321E-2</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-0.72474599685146335</v>
      </c>
      <c r="X371" s="590">
        <f t="shared" si="180"/>
        <v>-122.07770180356826</v>
      </c>
      <c r="Y371" s="593">
        <f t="shared" si="181"/>
        <v>57.92229819643174</v>
      </c>
      <c r="AA371" s="150">
        <f t="shared" si="182"/>
        <v>30551.5</v>
      </c>
      <c r="AB371" s="150">
        <f t="shared" si="183"/>
        <v>933394152.25</v>
      </c>
      <c r="AD371" s="592">
        <f t="shared" si="184"/>
        <v>27.511169756850702</v>
      </c>
      <c r="AE371" s="593">
        <f t="shared" si="185"/>
        <v>-11.215333544352314</v>
      </c>
      <c r="AG371" s="592">
        <f t="shared" si="186"/>
        <v>-2.031803021414027</v>
      </c>
      <c r="AH371" s="593">
        <f t="shared" si="187"/>
        <v>-67.868969988156792</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5">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1.0007686648168905</v>
      </c>
      <c r="N372" s="585">
        <f t="shared" si="174"/>
        <v>-3.9196243909345348E-2</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-0.78014441540907586</v>
      </c>
      <c r="X372" s="590">
        <f t="shared" si="180"/>
        <v>-122.24949909944529</v>
      </c>
      <c r="Y372" s="593">
        <f t="shared" si="181"/>
        <v>57.750500900554712</v>
      </c>
      <c r="AA372" s="150">
        <f t="shared" si="182"/>
        <v>30727.25</v>
      </c>
      <c r="AB372" s="150">
        <f t="shared" si="183"/>
        <v>944163892.5625</v>
      </c>
      <c r="AD372" s="592">
        <f t="shared" si="184"/>
        <v>27.509922193983257</v>
      </c>
      <c r="AE372" s="593">
        <f t="shared" si="185"/>
        <v>-11.250582740870088</v>
      </c>
      <c r="AG372" s="592">
        <f t="shared" si="186"/>
        <v>-2.0770075730530602</v>
      </c>
      <c r="AH372" s="593">
        <f t="shared" si="187"/>
        <v>-67.769170895928895</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5">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1.0007774795699147</v>
      </c>
      <c r="N373" s="585">
        <f t="shared" si="174"/>
        <v>-3.9420202311822763E-2</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-0.83528526598668784</v>
      </c>
      <c r="X373" s="590">
        <f t="shared" si="180"/>
        <v>-122.42123186020643</v>
      </c>
      <c r="Y373" s="593">
        <f t="shared" si="181"/>
        <v>57.578768139793567</v>
      </c>
      <c r="AA373" s="150">
        <f t="shared" si="182"/>
        <v>30903</v>
      </c>
      <c r="AB373" s="150">
        <f t="shared" si="183"/>
        <v>954995409</v>
      </c>
      <c r="AD373" s="592">
        <f t="shared" si="184"/>
        <v>27.508669902287831</v>
      </c>
      <c r="AE373" s="593">
        <f t="shared" si="185"/>
        <v>-11.285979909625937</v>
      </c>
      <c r="AG373" s="592">
        <f t="shared" si="186"/>
        <v>-2.1219069663334174</v>
      </c>
      <c r="AH373" s="593">
        <f t="shared" si="187"/>
        <v>-67.669334342427163</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5">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1.000786559512862</v>
      </c>
      <c r="N374" s="585">
        <f t="shared" si="174"/>
        <v>-3.9649572392330447E-2</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-0.89149586097886246</v>
      </c>
      <c r="X374" s="590">
        <f t="shared" si="180"/>
        <v>-122.59704953533382</v>
      </c>
      <c r="Y374" s="593">
        <f t="shared" si="181"/>
        <v>57.402950464666176</v>
      </c>
      <c r="AA374" s="150">
        <f t="shared" si="182"/>
        <v>31083</v>
      </c>
      <c r="AB374" s="150">
        <f t="shared" si="183"/>
        <v>966152889</v>
      </c>
      <c r="AD374" s="592">
        <f t="shared" si="184"/>
        <v>27.507382393955734</v>
      </c>
      <c r="AE374" s="593">
        <f t="shared" si="185"/>
        <v>-11.322383517686143</v>
      </c>
      <c r="AG374" s="592">
        <f t="shared" si="186"/>
        <v>-2.1675792155588267</v>
      </c>
      <c r="AH374" s="593">
        <f t="shared" si="187"/>
        <v>-67.567047241843852</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5">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1.0007956921068677</v>
      </c>
      <c r="N375" s="585">
        <f t="shared" si="174"/>
        <v>-3.9878938298748293E-2</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-0.94744294720281408</v>
      </c>
      <c r="X375" s="590">
        <f t="shared" si="180"/>
        <v>-122.77279740951462</v>
      </c>
      <c r="Y375" s="593">
        <f t="shared" si="181"/>
        <v>57.227202590485376</v>
      </c>
      <c r="AA375" s="150">
        <f t="shared" si="182"/>
        <v>31263</v>
      </c>
      <c r="AB375" s="150">
        <f t="shared" si="183"/>
        <v>977375169</v>
      </c>
      <c r="AD375" s="592">
        <f t="shared" si="184"/>
        <v>27.50608986164201</v>
      </c>
      <c r="AE375" s="593">
        <f t="shared" si="185"/>
        <v>-11.358936472385674</v>
      </c>
      <c r="AG375" s="592">
        <f t="shared" si="186"/>
        <v>-2.2129382443771606</v>
      </c>
      <c r="AH375" s="593">
        <f t="shared" si="187"/>
        <v>-67.46472595193346</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5">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1.0008048773504901</v>
      </c>
      <c r="N376" s="585">
        <f t="shared" si="174"/>
        <v>-4.0108300007057583E-2</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-1.0031298092329008</v>
      </c>
      <c r="X376" s="590">
        <f t="shared" si="180"/>
        <v>-122.9484744430909</v>
      </c>
      <c r="Y376" s="593">
        <f t="shared" si="181"/>
        <v>57.051525556909098</v>
      </c>
      <c r="AA376" s="150">
        <f t="shared" si="182"/>
        <v>31443</v>
      </c>
      <c r="AB376" s="150">
        <f t="shared" si="183"/>
        <v>988662249</v>
      </c>
      <c r="AD376" s="592">
        <f t="shared" si="184"/>
        <v>27.504792274759513</v>
      </c>
      <c r="AE376" s="593">
        <f t="shared" si="185"/>
        <v>-11.395635902596089</v>
      </c>
      <c r="AG376" s="592">
        <f t="shared" si="186"/>
        <v>-2.2579874448310173</v>
      </c>
      <c r="AH376" s="593">
        <f t="shared" si="187"/>
        <v>-67.362372975684991</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5">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1.0008141152422796</v>
      </c>
      <c r="N377" s="585">
        <f t="shared" si="174"/>
        <v>-4.0337657493242293E-2</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-1.0585596737740068</v>
      </c>
      <c r="X377" s="590">
        <f t="shared" si="180"/>
        <v>-123.12407961360537</v>
      </c>
      <c r="Y377" s="593">
        <f t="shared" si="181"/>
        <v>56.875920386394625</v>
      </c>
      <c r="AA377" s="150">
        <f t="shared" si="182"/>
        <v>31623</v>
      </c>
      <c r="AB377" s="150">
        <f t="shared" si="183"/>
        <v>1000014129</v>
      </c>
      <c r="AD377" s="592">
        <f t="shared" si="184"/>
        <v>27.503489603772621</v>
      </c>
      <c r="AE377" s="593">
        <f t="shared" si="185"/>
        <v>-11.432479000834451</v>
      </c>
      <c r="AG377" s="592">
        <f t="shared" si="186"/>
        <v>-2.3027301524538935</v>
      </c>
      <c r="AH377" s="593">
        <f t="shared" si="187"/>
        <v>-67.259990763961611</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5">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1.0008236128351411</v>
      </c>
      <c r="N378" s="585">
        <f t="shared" si="174"/>
        <v>-4.057210742354516E-2</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-1.1149589861121931</v>
      </c>
      <c r="X378" s="590">
        <f t="shared" si="180"/>
        <v>-123.3035117979732</v>
      </c>
      <c r="Y378" s="593">
        <f t="shared" si="181"/>
        <v>56.696488202026799</v>
      </c>
      <c r="AA378" s="150">
        <f t="shared" si="182"/>
        <v>31807</v>
      </c>
      <c r="AB378" s="150">
        <f t="shared" si="183"/>
        <v>1011685249</v>
      </c>
      <c r="AD378" s="592">
        <f t="shared" si="184"/>
        <v>27.502152700022581</v>
      </c>
      <c r="AE378" s="593">
        <f t="shared" si="185"/>
        <v>-11.470286468526837</v>
      </c>
      <c r="AG378" s="592">
        <f t="shared" si="186"/>
        <v>-2.3481537727873598</v>
      </c>
      <c r="AH378" s="593">
        <f t="shared" si="187"/>
        <v>-67.155305673581097</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5">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1.0008331654389979</v>
      </c>
      <c r="N379" s="585">
        <f t="shared" si="174"/>
        <v>-4.080655289124873E-2</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-1.171096390884572</v>
      </c>
      <c r="X379" s="590">
        <f t="shared" si="180"/>
        <v>-123.48286678262473</v>
      </c>
      <c r="Y379" s="593">
        <f t="shared" si="181"/>
        <v>56.517133217375275</v>
      </c>
      <c r="AA379" s="150">
        <f t="shared" si="182"/>
        <v>31991</v>
      </c>
      <c r="AB379" s="150">
        <f t="shared" si="183"/>
        <v>1023424081</v>
      </c>
      <c r="AD379" s="592">
        <f t="shared" si="184"/>
        <v>27.500810424499864</v>
      </c>
      <c r="AE379" s="593">
        <f t="shared" si="185"/>
        <v>-11.508238323811598</v>
      </c>
      <c r="AG379" s="592">
        <f t="shared" si="186"/>
        <v>-2.393264000117191</v>
      </c>
      <c r="AH379" s="593">
        <f t="shared" si="187"/>
        <v>-67.050595052115355</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5">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1.0008427730522749</v>
      </c>
      <c r="N380" s="585">
        <f t="shared" si="174"/>
        <v>-4.1040993870708725E-2</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-1.226975155676568</v>
      </c>
      <c r="X380" s="590">
        <f t="shared" si="180"/>
        <v>-123.66214352860226</v>
      </c>
      <c r="Y380" s="593">
        <f t="shared" si="181"/>
        <v>56.337856471397743</v>
      </c>
      <c r="AA380" s="150">
        <f t="shared" si="182"/>
        <v>32175</v>
      </c>
      <c r="AB380" s="150">
        <f t="shared" si="183"/>
        <v>1035230625</v>
      </c>
      <c r="AD380" s="592">
        <f t="shared" si="184"/>
        <v>27.499462748841704</v>
      </c>
      <c r="AE380" s="593">
        <f t="shared" si="185"/>
        <v>-11.546331762621069</v>
      </c>
      <c r="AG380" s="592">
        <f t="shared" si="186"/>
        <v>-2.4380642224199391</v>
      </c>
      <c r="AH380" s="593">
        <f t="shared" si="187"/>
        <v>-66.945861357472509</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5">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1.0008524356733877</v>
      </c>
      <c r="N381" s="585">
        <f t="shared" si="174"/>
        <v>-4.1275430336283808E-2</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-1.282598490459653</v>
      </c>
      <c r="X381" s="590">
        <f t="shared" si="180"/>
        <v>-123.84134101405961</v>
      </c>
      <c r="Y381" s="593">
        <f t="shared" si="181"/>
        <v>56.158658985940392</v>
      </c>
      <c r="AA381" s="150">
        <f t="shared" si="182"/>
        <v>32359</v>
      </c>
      <c r="AB381" s="150">
        <f t="shared" si="183"/>
        <v>1047104881</v>
      </c>
      <c r="AD381" s="592">
        <f t="shared" si="184"/>
        <v>27.498109645689063</v>
      </c>
      <c r="AE381" s="593">
        <f t="shared" si="185"/>
        <v>-11.584564042868967</v>
      </c>
      <c r="AG381" s="592">
        <f t="shared" si="186"/>
        <v>-2.4825577713712388</v>
      </c>
      <c r="AH381" s="593">
        <f t="shared" si="187"/>
        <v>-66.841106996479752</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5">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1.0008623916491752</v>
      </c>
      <c r="N382" s="585">
        <f t="shared" si="174"/>
        <v>-4.1515595594746664E-2</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-1.3393205983562175</v>
      </c>
      <c r="X382" s="590">
        <f t="shared" si="180"/>
        <v>-124.02483780414894</v>
      </c>
      <c r="Y382" s="593">
        <f t="shared" si="181"/>
        <v>55.975162195851055</v>
      </c>
      <c r="AA382" s="150">
        <f t="shared" si="182"/>
        <v>32547.5</v>
      </c>
      <c r="AB382" s="150">
        <f t="shared" si="183"/>
        <v>1059339756.25</v>
      </c>
      <c r="AD382" s="592">
        <f t="shared" si="184"/>
        <v>27.496717794534405</v>
      </c>
      <c r="AE382" s="593">
        <f t="shared" si="185"/>
        <v>-11.623872524711722</v>
      </c>
      <c r="AG382" s="592">
        <f t="shared" si="186"/>
        <v>-2.5278248876415677</v>
      </c>
      <c r="AH382" s="593">
        <f t="shared" si="187"/>
        <v>-66.733771741398513</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5">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1.0008724053529061</v>
      </c>
      <c r="N383" s="585">
        <f t="shared" si="174"/>
        <v>-4.1755756061366618E-2</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-1.3957812700601222</v>
      </c>
      <c r="X383" s="590">
        <f t="shared" si="180"/>
        <v>-124.2082492917235</v>
      </c>
      <c r="Y383" s="593">
        <f t="shared" si="181"/>
        <v>55.791750708276496</v>
      </c>
      <c r="AA383" s="150">
        <f t="shared" si="182"/>
        <v>32736</v>
      </c>
      <c r="AB383" s="150">
        <f t="shared" si="183"/>
        <v>1071645696</v>
      </c>
      <c r="AD383" s="592">
        <f t="shared" si="184"/>
        <v>27.495320192122392</v>
      </c>
      <c r="AE383" s="593">
        <f t="shared" si="185"/>
        <v>-11.663321088062919</v>
      </c>
      <c r="AG383" s="592">
        <f t="shared" si="186"/>
        <v>-2.5727770498959677</v>
      </c>
      <c r="AH383" s="593">
        <f t="shared" si="187"/>
        <v>-66.626419751967461</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5">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1.0008824767828475</v>
      </c>
      <c r="N384" s="585">
        <f t="shared" si="174"/>
        <v>-4.199591170858441E-2</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-1.4519837772351896</v>
      </c>
      <c r="X384" s="590">
        <f t="shared" si="180"/>
        <v>-124.39157443148451</v>
      </c>
      <c r="Y384" s="593">
        <f t="shared" si="181"/>
        <v>55.608425568515486</v>
      </c>
      <c r="AA384" s="150">
        <f t="shared" si="182"/>
        <v>32924.5</v>
      </c>
      <c r="AB384" s="150">
        <f t="shared" si="183"/>
        <v>1084022700.25</v>
      </c>
      <c r="AD384" s="592">
        <f t="shared" si="184"/>
        <v>27.493916812102409</v>
      </c>
      <c r="AE384" s="593">
        <f t="shared" si="185"/>
        <v>-11.702906975829498</v>
      </c>
      <c r="AG384" s="592">
        <f t="shared" si="186"/>
        <v>-2.6174176646812057</v>
      </c>
      <c r="AH384" s="593">
        <f t="shared" si="187"/>
        <v>-66.519053457901634</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5">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1.0008926059372565</v>
      </c>
      <c r="N385" s="585">
        <f t="shared" si="174"/>
        <v>-4.2236062508844131E-2</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-1.5079313336831666</v>
      </c>
      <c r="X385" s="590">
        <f t="shared" si="180"/>
        <v>-124.57481219533724</v>
      </c>
      <c r="Y385" s="593">
        <f t="shared" si="181"/>
        <v>55.425187804662755</v>
      </c>
      <c r="AA385" s="150">
        <f t="shared" si="182"/>
        <v>33113</v>
      </c>
      <c r="AB385" s="150">
        <f t="shared" si="183"/>
        <v>1096470769</v>
      </c>
      <c r="AD385" s="592">
        <f t="shared" si="184"/>
        <v>27.49250762909076</v>
      </c>
      <c r="AE385" s="593">
        <f t="shared" si="185"/>
        <v>-11.742627491809641</v>
      </c>
      <c r="AG385" s="592">
        <f t="shared" si="186"/>
        <v>-2.661750081958814</v>
      </c>
      <c r="AH385" s="593">
        <f t="shared" si="187"/>
        <v>-66.411675238385101</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5">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1.0009030231573597</v>
      </c>
      <c r="N386" s="585">
        <f t="shared" si="174"/>
        <v>-4.2481622808875408E-2</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-1.5648799583675097</v>
      </c>
      <c r="X386" s="590">
        <f t="shared" si="180"/>
        <v>-124.76208990797748</v>
      </c>
      <c r="Y386" s="593">
        <f t="shared" si="181"/>
        <v>55.237910092022517</v>
      </c>
      <c r="AA386" s="150">
        <f t="shared" si="182"/>
        <v>33305.75</v>
      </c>
      <c r="AB386" s="150">
        <f t="shared" si="183"/>
        <v>1109272983.0625</v>
      </c>
      <c r="AD386" s="592">
        <f t="shared" si="184"/>
        <v>27.491060647860508</v>
      </c>
      <c r="AE386" s="593">
        <f t="shared" si="185"/>
        <v>-11.78338003166755</v>
      </c>
      <c r="AG386" s="592">
        <f t="shared" si="186"/>
        <v>-2.7067667697298399</v>
      </c>
      <c r="AH386" s="593">
        <f t="shared" si="187"/>
        <v>-66.301866119934459</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5">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1.0009135007305179</v>
      </c>
      <c r="N387" s="585">
        <f t="shared" si="174"/>
        <v>-4.2727177982657703E-2</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-1.6215686232091531</v>
      </c>
      <c r="X387" s="590">
        <f t="shared" si="180"/>
        <v>-124.94927413949688</v>
      </c>
      <c r="Y387" s="593">
        <f t="shared" si="181"/>
        <v>55.050725860503121</v>
      </c>
      <c r="AA387" s="150">
        <f t="shared" si="182"/>
        <v>33498.5</v>
      </c>
      <c r="AB387" s="150">
        <f t="shared" si="183"/>
        <v>1122149502.25</v>
      </c>
      <c r="AD387" s="592">
        <f t="shared" si="184"/>
        <v>27.489607548293655</v>
      </c>
      <c r="AE387" s="593">
        <f t="shared" si="185"/>
        <v>-11.8242678246339</v>
      </c>
      <c r="AG387" s="592">
        <f t="shared" si="186"/>
        <v>-2.7514681146261806</v>
      </c>
      <c r="AH387" s="593">
        <f t="shared" si="187"/>
        <v>-66.192049407636745</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5">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1.0009240386548353</v>
      </c>
      <c r="N388" s="585">
        <f t="shared" si="174"/>
        <v>-4.2972728000739827E-2</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-1.6780005851054656</v>
      </c>
      <c r="X388" s="590">
        <f t="shared" si="180"/>
        <v>-125.13636384403706</v>
      </c>
      <c r="Y388" s="593">
        <f t="shared" si="181"/>
        <v>54.863636155962936</v>
      </c>
      <c r="AA388" s="150">
        <f t="shared" si="182"/>
        <v>33691.25</v>
      </c>
      <c r="AB388" s="150">
        <f t="shared" si="183"/>
        <v>1135100326.5625</v>
      </c>
      <c r="AD388" s="592">
        <f t="shared" si="184"/>
        <v>27.488148306184709</v>
      </c>
      <c r="AE388" s="593">
        <f t="shared" si="185"/>
        <v>-11.865288174546645</v>
      </c>
      <c r="AG388" s="592">
        <f t="shared" si="186"/>
        <v>-2.7958575230119322</v>
      </c>
      <c r="AH388" s="593">
        <f t="shared" si="187"/>
        <v>-66.08222748987275</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5">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1.000934636928406</v>
      </c>
      <c r="N389" s="585">
        <f t="shared" si="174"/>
        <v>-4.3218272833674305E-2</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-1.7341790432766127</v>
      </c>
      <c r="X389" s="590">
        <f t="shared" si="180"/>
        <v>-125.32335799294094</v>
      </c>
      <c r="Y389" s="593">
        <f t="shared" si="181"/>
        <v>54.676642007059058</v>
      </c>
      <c r="AA389" s="150">
        <f t="shared" si="182"/>
        <v>33884</v>
      </c>
      <c r="AB389" s="150">
        <f t="shared" si="183"/>
        <v>1148125456</v>
      </c>
      <c r="AD389" s="592">
        <f t="shared" si="184"/>
        <v>27.486682898253076</v>
      </c>
      <c r="AE389" s="593">
        <f t="shared" si="185"/>
        <v>-11.906438444619454</v>
      </c>
      <c r="AG389" s="592">
        <f t="shared" si="186"/>
        <v>-2.8399383448035698</v>
      </c>
      <c r="AH389" s="593">
        <f t="shared" si="187"/>
        <v>-65.972402705372787</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5">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1.0009455589750098</v>
      </c>
      <c r="N390" s="585">
        <f t="shared" si="174"/>
        <v>-4.3469863297407416E-2</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-1.7914822601373348</v>
      </c>
      <c r="X390" s="590">
        <f t="shared" si="180"/>
        <v>-125.51486012364373</v>
      </c>
      <c r="Y390" s="593">
        <f t="shared" si="181"/>
        <v>54.485139876356271</v>
      </c>
      <c r="AA390" s="150">
        <f t="shared" si="182"/>
        <v>34081.5</v>
      </c>
      <c r="AB390" s="150">
        <f t="shared" si="183"/>
        <v>1161548642.25</v>
      </c>
      <c r="AD390" s="592">
        <f t="shared" si="184"/>
        <v>27.485174958784601</v>
      </c>
      <c r="AE390" s="593">
        <f t="shared" si="185"/>
        <v>-11.948734859277163</v>
      </c>
      <c r="AG390" s="592">
        <f t="shared" si="186"/>
        <v>-2.8847888224730349</v>
      </c>
      <c r="AH390" s="593">
        <f t="shared" si="187"/>
        <v>-65.859870894896233</v>
      </c>
      <c r="AJ390" s="150">
        <f t="shared" si="188"/>
        <v>0</v>
      </c>
      <c r="AK390" s="150">
        <f t="shared" si="200"/>
        <v>0</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5">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1.0009565443778417</v>
      </c>
      <c r="N391" s="585">
        <f t="shared" si="174"/>
        <v>-4.37214482547022E-2</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-1.8485259454038785</v>
      </c>
      <c r="X391" s="590">
        <f t="shared" si="180"/>
        <v>-125.70625979825407</v>
      </c>
      <c r="Y391" s="593">
        <f t="shared" si="181"/>
        <v>54.293740201745933</v>
      </c>
      <c r="AA391" s="150">
        <f t="shared" si="182"/>
        <v>34279</v>
      </c>
      <c r="AB391" s="150">
        <f t="shared" si="183"/>
        <v>1175049841</v>
      </c>
      <c r="AD391" s="592">
        <f t="shared" si="184"/>
        <v>27.483660499217667</v>
      </c>
      <c r="AE391" s="593">
        <f t="shared" si="185"/>
        <v>-11.991162255388414</v>
      </c>
      <c r="AG391" s="592">
        <f t="shared" si="186"/>
        <v>-2.9293222614984771</v>
      </c>
      <c r="AH391" s="593">
        <f t="shared" si="187"/>
        <v>-65.747340891735632</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5">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1.0009675931348161</v>
      </c>
      <c r="N392" s="585">
        <f t="shared" si="174"/>
        <v>-4.3973027673892343E-2</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-1.9053133607573181</v>
      </c>
      <c r="X392" s="590">
        <f t="shared" si="180"/>
        <v>-125.89755596396057</v>
      </c>
      <c r="Y392" s="593">
        <f t="shared" si="181"/>
        <v>54.102444036039429</v>
      </c>
      <c r="AA392" s="150">
        <f t="shared" si="182"/>
        <v>34476.5</v>
      </c>
      <c r="AB392" s="150">
        <f t="shared" si="183"/>
        <v>1188629052.25</v>
      </c>
      <c r="AD392" s="592">
        <f t="shared" si="184"/>
        <v>27.482139497335375</v>
      </c>
      <c r="AE392" s="593">
        <f t="shared" si="185"/>
        <v>-12.033717979606976</v>
      </c>
      <c r="AG392" s="592">
        <f t="shared" si="186"/>
        <v>-2.9735420894408247</v>
      </c>
      <c r="AH392" s="593">
        <f t="shared" si="187"/>
        <v>-65.634815057980006</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5">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1.0009787052438346</v>
      </c>
      <c r="N393" s="585">
        <f t="shared" si="174"/>
        <v>-4.4224601523315733E-2</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-1.9618477099155884</v>
      </c>
      <c r="X393" s="590">
        <f t="shared" si="180"/>
        <v>-126.08874758532515</v>
      </c>
      <c r="Y393" s="593">
        <f t="shared" si="181"/>
        <v>53.911252414674848</v>
      </c>
      <c r="AA393" s="150">
        <f t="shared" si="182"/>
        <v>34674</v>
      </c>
      <c r="AB393" s="150">
        <f t="shared" si="183"/>
        <v>1202286276</v>
      </c>
      <c r="AD393" s="592">
        <f t="shared" si="184"/>
        <v>27.480611931813272</v>
      </c>
      <c r="AE393" s="593">
        <f t="shared" si="185"/>
        <v>-12.076399436960759</v>
      </c>
      <c r="AG393" s="592">
        <f t="shared" si="186"/>
        <v>-3.0174516770879545</v>
      </c>
      <c r="AH393" s="593">
        <f t="shared" si="187"/>
        <v>-65.52229570649348</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5">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1.0009901218836126</v>
      </c>
      <c r="N394" s="585">
        <f t="shared" si="174"/>
        <v>-4.4481583203458901E-2</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-2.0193406000215033</v>
      </c>
      <c r="X394" s="590">
        <f t="shared" si="180"/>
        <v>-126.28394445469756</v>
      </c>
      <c r="Y394" s="593">
        <f t="shared" si="181"/>
        <v>53.716055545302439</v>
      </c>
      <c r="AA394" s="150">
        <f t="shared" si="182"/>
        <v>34875.75</v>
      </c>
      <c r="AB394" s="150">
        <f t="shared" si="183"/>
        <v>1216317938.0625</v>
      </c>
      <c r="AD394" s="592">
        <f t="shared" si="184"/>
        <v>27.479044696331094</v>
      </c>
      <c r="AE394" s="593">
        <f t="shared" si="185"/>
        <v>-12.120126537529956</v>
      </c>
      <c r="AG394" s="592">
        <f t="shared" si="186"/>
        <v>-3.061989275710876</v>
      </c>
      <c r="AH394" s="593">
        <f t="shared" si="187"/>
        <v>-65.407364100575435</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5">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1.0010016046268513</v>
      </c>
      <c r="N395" s="585">
        <f t="shared" si="174"/>
        <v>-4.4738559004768294E-2</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-2.0765759940731212</v>
      </c>
      <c r="X395" s="590">
        <f t="shared" si="180"/>
        <v>-126.47903010159352</v>
      </c>
      <c r="Y395" s="593">
        <f t="shared" si="181"/>
        <v>53.520969898406477</v>
      </c>
      <c r="AA395" s="150">
        <f t="shared" si="182"/>
        <v>35077.5</v>
      </c>
      <c r="AB395" s="150">
        <f t="shared" si="183"/>
        <v>1230431006.25</v>
      </c>
      <c r="AD395" s="592">
        <f t="shared" si="184"/>
        <v>27.47747056942513</v>
      </c>
      <c r="AE395" s="593">
        <f t="shared" si="185"/>
        <v>-12.16397954605509</v>
      </c>
      <c r="AG395" s="592">
        <f t="shared" si="186"/>
        <v>-3.106210073105979</v>
      </c>
      <c r="AH395" s="593">
        <f t="shared" si="187"/>
        <v>-65.292443986165026</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5">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1.0010131534712761</v>
      </c>
      <c r="N396" s="585">
        <f t="shared" si="174"/>
        <v>-4.4995528893507199E-2</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-2.1335571281952794</v>
      </c>
      <c r="X396" s="590">
        <f t="shared" si="180"/>
        <v>-126.67400347608263</v>
      </c>
      <c r="Y396" s="593">
        <f t="shared" si="181"/>
        <v>53.325996523917368</v>
      </c>
      <c r="AA396" s="150">
        <f t="shared" si="182"/>
        <v>35279.25</v>
      </c>
      <c r="AB396" s="150">
        <f t="shared" si="183"/>
        <v>1244625480.5625</v>
      </c>
      <c r="AD396" s="592">
        <f t="shared" si="184"/>
        <v>27.4758895310644</v>
      </c>
      <c r="AE396" s="593">
        <f t="shared" si="185"/>
        <v>-12.207955874625336</v>
      </c>
      <c r="AG396" s="592">
        <f t="shared" si="186"/>
        <v>-3.1501174870868005</v>
      </c>
      <c r="AH396" s="593">
        <f t="shared" si="187"/>
        <v>-65.177537677712323</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5">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1.0010247684145988</v>
      </c>
      <c r="N397" s="585">
        <f t="shared" ref="N397:N460" si="206">-ATAN(G397/z_RHP)</f>
        <v>-4.525249283594359E-2</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-2.1902871809698174</v>
      </c>
      <c r="X397" s="590">
        <f t="shared" ref="X397:X460" si="212">((L397+R397+N397+V397)-(J397+P397+T397))*radconv</f>
        <v>-126.86886354560629</v>
      </c>
      <c r="Y397" s="593">
        <f t="shared" ref="Y397:Y460" si="213">IF(X397&gt;0,X397,X397+180)</f>
        <v>53.131136454393712</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-3.1937148790573113</v>
      </c>
      <c r="AH397" s="593">
        <f t="shared" ref="AH397:AH460" si="219">(L397+N397-(J397+V397))*radconv</f>
        <v>-65.062647441412935</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5">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1.001036739786773</v>
      </c>
      <c r="N398" s="585">
        <f t="shared" si="206"/>
        <v>-4.5515818949195937E-2</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-2.2481659564564165</v>
      </c>
      <c r="X398" s="590">
        <f t="shared" si="212"/>
        <v>-127.06843424691796</v>
      </c>
      <c r="Y398" s="593">
        <f t="shared" si="213"/>
        <v>52.93156575308204</v>
      </c>
      <c r="AA398" s="150">
        <f t="shared" si="214"/>
        <v>35687.75</v>
      </c>
      <c r="AB398" s="150">
        <f t="shared" si="215"/>
        <v>1273615500.0625</v>
      </c>
      <c r="AD398" s="592">
        <f t="shared" si="216"/>
        <v>27.47266702860021</v>
      </c>
      <c r="AE398" s="593">
        <f t="shared" si="217"/>
        <v>-12.297365701216096</v>
      </c>
      <c r="AG398" s="592">
        <f t="shared" si="218"/>
        <v>-3.2380745675986877</v>
      </c>
      <c r="AH398" s="593">
        <f t="shared" si="219"/>
        <v>-64.944928859094659</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5">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1.0010487805698143</v>
      </c>
      <c r="N399" s="585">
        <f t="shared" si="206"/>
        <v>-4.5779138746045146E-2</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-2.3057876304267246</v>
      </c>
      <c r="X399" s="590">
        <f t="shared" si="212"/>
        <v>-127.26788381634304</v>
      </c>
      <c r="Y399" s="593">
        <f t="shared" si="213"/>
        <v>52.732116183656956</v>
      </c>
      <c r="AA399" s="150">
        <f t="shared" si="214"/>
        <v>35894.5</v>
      </c>
      <c r="AB399" s="150">
        <f t="shared" si="215"/>
        <v>1288415130.25</v>
      </c>
      <c r="AD399" s="592">
        <f t="shared" si="216"/>
        <v>27.471025178553212</v>
      </c>
      <c r="AE399" s="593">
        <f t="shared" si="217"/>
        <v>-12.342800053891933</v>
      </c>
      <c r="AG399" s="592">
        <f t="shared" si="218"/>
        <v>-3.282115648526458</v>
      </c>
      <c r="AH399" s="593">
        <f t="shared" si="219"/>
        <v>-64.82723182417557</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5">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1.001060890761218</v>
      </c>
      <c r="N400" s="585">
        <f t="shared" si="206"/>
        <v>-4.6042452190204038E-2</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-2.3631554440944962</v>
      </c>
      <c r="X400" s="590">
        <f t="shared" si="212"/>
        <v>-127.46721119709292</v>
      </c>
      <c r="Y400" s="593">
        <f t="shared" si="213"/>
        <v>52.532788802907078</v>
      </c>
      <c r="AA400" s="150">
        <f t="shared" si="214"/>
        <v>36101.25</v>
      </c>
      <c r="AB400" s="150">
        <f t="shared" si="215"/>
        <v>1303300251.5625</v>
      </c>
      <c r="AD400" s="592">
        <f t="shared" si="216"/>
        <v>27.469375993891457</v>
      </c>
      <c r="AE400" s="593">
        <f t="shared" si="217"/>
        <v>-12.388353500991462</v>
      </c>
      <c r="AG400" s="592">
        <f t="shared" si="218"/>
        <v>-3.3258415632673155</v>
      </c>
      <c r="AH400" s="593">
        <f t="shared" si="219"/>
        <v>-64.709558625832742</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5">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1.0010730703584656</v>
      </c>
      <c r="N401" s="585">
        <f t="shared" si="206"/>
        <v>-4.6305759245390689E-2</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-2.4202725808152343</v>
      </c>
      <c r="X401" s="590">
        <f t="shared" si="212"/>
        <v>-127.66641535000895</v>
      </c>
      <c r="Y401" s="593">
        <f t="shared" si="213"/>
        <v>52.333584649991053</v>
      </c>
      <c r="AA401" s="150">
        <f t="shared" si="214"/>
        <v>36308</v>
      </c>
      <c r="AB401" s="150">
        <f t="shared" si="215"/>
        <v>1318270864</v>
      </c>
      <c r="AD401" s="592">
        <f t="shared" si="216"/>
        <v>27.467719457401031</v>
      </c>
      <c r="AE401" s="593">
        <f t="shared" si="217"/>
        <v>-12.434023549230247</v>
      </c>
      <c r="AG401" s="592">
        <f t="shared" si="218"/>
        <v>-3.3692556964772424</v>
      </c>
      <c r="AH401" s="593">
        <f t="shared" si="219"/>
        <v>-64.591911505288579</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5">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1.0010856015905507</v>
      </c>
      <c r="N402" s="585">
        <f t="shared" si="206"/>
        <v>-4.6575109028035723E-2</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-2.4784458392376068</v>
      </c>
      <c r="X402" s="590">
        <f t="shared" si="212"/>
        <v>-127.87006756766567</v>
      </c>
      <c r="Y402" s="593">
        <f t="shared" si="213"/>
        <v>52.129932432334328</v>
      </c>
      <c r="AA402" s="150">
        <f t="shared" si="214"/>
        <v>36519.5</v>
      </c>
      <c r="AB402" s="150">
        <f t="shared" si="215"/>
        <v>1333673880.25</v>
      </c>
      <c r="AD402" s="592">
        <f t="shared" si="216"/>
        <v>27.466017238395398</v>
      </c>
      <c r="AE402" s="593">
        <f t="shared" si="217"/>
        <v>-12.480860956307399</v>
      </c>
      <c r="AG402" s="592">
        <f t="shared" si="218"/>
        <v>-3.4133481147635325</v>
      </c>
      <c r="AH402" s="593">
        <f t="shared" si="219"/>
        <v>-64.471590759566681</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5">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1.0010982054488797</v>
      </c>
      <c r="N403" s="585">
        <f t="shared" si="206"/>
        <v>-4.6844452047976305E-2</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-2.5363633294081724</v>
      </c>
      <c r="X403" s="590">
        <f t="shared" si="212"/>
        <v>-128.07358868529369</v>
      </c>
      <c r="Y403" s="593">
        <f t="shared" si="213"/>
        <v>51.926411314706314</v>
      </c>
      <c r="AA403" s="150">
        <f t="shared" si="214"/>
        <v>36731</v>
      </c>
      <c r="AB403" s="150">
        <f t="shared" si="215"/>
        <v>1349166361</v>
      </c>
      <c r="AD403" s="592">
        <f t="shared" si="216"/>
        <v>27.46430729195076</v>
      </c>
      <c r="AE403" s="593">
        <f t="shared" si="217"/>
        <v>-12.52781527754704</v>
      </c>
      <c r="AG403" s="592">
        <f t="shared" si="218"/>
        <v>-3.45712124972763</v>
      </c>
      <c r="AH403" s="593">
        <f t="shared" si="219"/>
        <v>-64.351301899898388</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5">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1.0011108819307093</v>
      </c>
      <c r="N404" s="585">
        <f t="shared" si="206"/>
        <v>-4.7113788266389241E-2</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-2.594028279711853</v>
      </c>
      <c r="X404" s="590">
        <f t="shared" si="212"/>
        <v>-128.27697764543967</v>
      </c>
      <c r="Y404" s="593">
        <f t="shared" si="213"/>
        <v>51.723022354560328</v>
      </c>
      <c r="AA404" s="150">
        <f t="shared" si="214"/>
        <v>36942.5</v>
      </c>
      <c r="AB404" s="150">
        <f t="shared" si="215"/>
        <v>1364748306.25</v>
      </c>
      <c r="AD404" s="592">
        <f t="shared" si="216"/>
        <v>27.462589602142216</v>
      </c>
      <c r="AE404" s="593">
        <f t="shared" si="217"/>
        <v>-12.574884014987243</v>
      </c>
      <c r="AG404" s="592">
        <f t="shared" si="218"/>
        <v>-3.5005785485382015</v>
      </c>
      <c r="AH404" s="593">
        <f t="shared" si="219"/>
        <v>-64.231047177618237</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5">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1.0011236310332809</v>
      </c>
      <c r="N405" s="585">
        <f t="shared" si="206"/>
        <v>-4.7383117644457282E-2</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-2.6514438607732926</v>
      </c>
      <c r="X405" s="590">
        <f t="shared" si="212"/>
        <v>-128.48023340845515</v>
      </c>
      <c r="Y405" s="593">
        <f t="shared" si="213"/>
        <v>51.519766591544851</v>
      </c>
      <c r="AA405" s="150">
        <f t="shared" si="214"/>
        <v>37154</v>
      </c>
      <c r="AB405" s="150">
        <f t="shared" si="215"/>
        <v>1380419716</v>
      </c>
      <c r="AD405" s="592">
        <f t="shared" si="216"/>
        <v>27.46086415383499</v>
      </c>
      <c r="AE405" s="593">
        <f t="shared" si="217"/>
        <v>-12.622064725153844</v>
      </c>
      <c r="AG405" s="592">
        <f t="shared" si="218"/>
        <v>-3.5437234016326604</v>
      </c>
      <c r="AH405" s="593">
        <f t="shared" si="219"/>
        <v>-64.110828796694875</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5">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1.001136741545825</v>
      </c>
      <c r="N406" s="585">
        <f t="shared" si="206"/>
        <v>-4.7658488678127393E-2</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-2.7098943278489656</v>
      </c>
      <c r="X406" s="590">
        <f t="shared" si="212"/>
        <v>-128.6879152346543</v>
      </c>
      <c r="Y406" s="593">
        <f t="shared" si="213"/>
        <v>51.312084765345702</v>
      </c>
      <c r="AA406" s="150">
        <f t="shared" si="214"/>
        <v>37370.25</v>
      </c>
      <c r="AB406" s="150">
        <f t="shared" si="215"/>
        <v>1396535585.0625</v>
      </c>
      <c r="AD406" s="592">
        <f t="shared" si="216"/>
        <v>27.459091917536806</v>
      </c>
      <c r="AE406" s="593">
        <f t="shared" si="217"/>
        <v>-12.670418332623997</v>
      </c>
      <c r="AG406" s="592">
        <f t="shared" si="218"/>
        <v>-3.5875176524733687</v>
      </c>
      <c r="AH406" s="593">
        <f t="shared" si="219"/>
        <v>-63.987950298033873</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5">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1.0011499279717819</v>
      </c>
      <c r="N407" s="585">
        <f t="shared" si="206"/>
        <v>-4.7933852478699718E-2</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-2.7680906234758136</v>
      </c>
      <c r="X407" s="590">
        <f t="shared" si="212"/>
        <v>-128.89545567100771</v>
      </c>
      <c r="Y407" s="593">
        <f t="shared" si="213"/>
        <v>51.10454432899229</v>
      </c>
      <c r="AA407" s="150">
        <f t="shared" si="214"/>
        <v>37586.5</v>
      </c>
      <c r="AB407" s="150">
        <f t="shared" si="215"/>
        <v>1412744982.25</v>
      </c>
      <c r="AD407" s="592">
        <f t="shared" si="216"/>
        <v>27.457311540756137</v>
      </c>
      <c r="AE407" s="593">
        <f t="shared" si="217"/>
        <v>-12.7188840003178</v>
      </c>
      <c r="AG407" s="592">
        <f t="shared" si="218"/>
        <v>-3.6309922582391536</v>
      </c>
      <c r="AH407" s="593">
        <f t="shared" si="219"/>
        <v>-63.865114304875554</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5">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1.0011631903081519</v>
      </c>
      <c r="N408" s="585">
        <f t="shared" si="206"/>
        <v>-4.820920900470186E-2</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-2.8260359578970808</v>
      </c>
      <c r="X408" s="590">
        <f t="shared" si="212"/>
        <v>-129.10285366172883</v>
      </c>
      <c r="Y408" s="593">
        <f t="shared" si="213"/>
        <v>50.89714633827117</v>
      </c>
      <c r="AA408" s="150">
        <f t="shared" si="214"/>
        <v>37802.75</v>
      </c>
      <c r="AB408" s="150">
        <f t="shared" si="215"/>
        <v>1429047907.5625</v>
      </c>
      <c r="AD408" s="592">
        <f t="shared" si="216"/>
        <v>27.455523009715833</v>
      </c>
      <c r="AE408" s="593">
        <f t="shared" si="217"/>
        <v>-12.767459283308375</v>
      </c>
      <c r="AG408" s="592">
        <f t="shared" si="218"/>
        <v>-3.6741506672238384</v>
      </c>
      <c r="AH408" s="593">
        <f t="shared" si="219"/>
        <v>-63.742323027102202</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5">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1.0011765285519185</v>
      </c>
      <c r="N409" s="585">
        <f t="shared" si="206"/>
        <v>-4.8484558214668003E-2</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-2.8837334838096189</v>
      </c>
      <c r="X409" s="590">
        <f t="shared" si="212"/>
        <v>-129.31010816901551</v>
      </c>
      <c r="Y409" s="593">
        <f t="shared" si="213"/>
        <v>50.689891830984493</v>
      </c>
      <c r="AA409" s="150">
        <f t="shared" si="214"/>
        <v>38019</v>
      </c>
      <c r="AB409" s="150">
        <f t="shared" si="215"/>
        <v>1445444361</v>
      </c>
      <c r="AD409" s="592">
        <f t="shared" si="216"/>
        <v>27.453726311396565</v>
      </c>
      <c r="AE409" s="593">
        <f t="shared" si="217"/>
        <v>-12.816141789795978</v>
      </c>
      <c r="AG409" s="592">
        <f t="shared" si="218"/>
        <v>-3.7169962711381253</v>
      </c>
      <c r="AH409" s="593">
        <f t="shared" si="219"/>
        <v>-63.619578627855951</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5">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1.0011902693051729</v>
      </c>
      <c r="N410" s="585">
        <f t="shared" si="206"/>
        <v>-4.8766584575198911E-2</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-2.9425780888930535</v>
      </c>
      <c r="X410" s="590">
        <f t="shared" si="212"/>
        <v>-129.52224447171969</v>
      </c>
      <c r="Y410" s="593">
        <f t="shared" si="213"/>
        <v>50.477755528280312</v>
      </c>
      <c r="AA410" s="150">
        <f t="shared" si="214"/>
        <v>38240.5</v>
      </c>
      <c r="AB410" s="150">
        <f t="shared" si="215"/>
        <v>1462335840.25</v>
      </c>
      <c r="AD410" s="592">
        <f t="shared" si="216"/>
        <v>27.451877513869608</v>
      </c>
      <c r="AE410" s="593">
        <f t="shared" si="217"/>
        <v>-12.866114898106712</v>
      </c>
      <c r="AG410" s="592">
        <f t="shared" si="218"/>
        <v>-3.7605612554541521</v>
      </c>
      <c r="AH410" s="593">
        <f t="shared" si="219"/>
        <v>-63.493905119045472</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5">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1.0012040896897785</v>
      </c>
      <c r="N411" s="585">
        <f t="shared" si="206"/>
        <v>-4.9048603172110308E-2</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-3.0011692232359271</v>
      </c>
      <c r="X411" s="590">
        <f t="shared" si="212"/>
        <v>-129.73422809191507</v>
      </c>
      <c r="Y411" s="593">
        <f t="shared" si="213"/>
        <v>50.265771908084929</v>
      </c>
      <c r="AA411" s="150">
        <f t="shared" si="214"/>
        <v>38462</v>
      </c>
      <c r="AB411" s="150">
        <f t="shared" si="215"/>
        <v>1479325444</v>
      </c>
      <c r="AD411" s="592">
        <f t="shared" si="216"/>
        <v>27.450020122372241</v>
      </c>
      <c r="AE411" s="593">
        <f t="shared" si="217"/>
        <v>-12.916195584196206</v>
      </c>
      <c r="AG411" s="592">
        <f t="shared" si="218"/>
        <v>-3.8038050887989288</v>
      </c>
      <c r="AH411" s="593">
        <f t="shared" si="219"/>
        <v>-63.368285241262022</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5">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1.0012179897024378</v>
      </c>
      <c r="N412" s="585">
        <f t="shared" si="206"/>
        <v>-4.933061396086421E-2</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-3.059510095487898</v>
      </c>
      <c r="X412" s="590">
        <f t="shared" si="212"/>
        <v>-129.94605797083162</v>
      </c>
      <c r="Y412" s="593">
        <f t="shared" si="213"/>
        <v>50.053942029168383</v>
      </c>
      <c r="AA412" s="150">
        <f t="shared" si="214"/>
        <v>38683.5</v>
      </c>
      <c r="AB412" s="150">
        <f t="shared" si="215"/>
        <v>1496413172.25</v>
      </c>
      <c r="AD412" s="592">
        <f t="shared" si="216"/>
        <v>27.44815412523149</v>
      </c>
      <c r="AE412" s="593">
        <f t="shared" si="217"/>
        <v>-12.966381441560925</v>
      </c>
      <c r="AG412" s="592">
        <f t="shared" si="218"/>
        <v>-3.8467312395665552</v>
      </c>
      <c r="AH412" s="593">
        <f t="shared" si="219"/>
        <v>-63.242721174056477</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5">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1.0012319693398344</v>
      </c>
      <c r="N413" s="585">
        <f t="shared" si="206"/>
        <v>-4.961261689693007E-2</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-3.1176038565602111</v>
      </c>
      <c r="X413" s="590">
        <f t="shared" si="212"/>
        <v>-130.1577330680347</v>
      </c>
      <c r="Y413" s="593">
        <f t="shared" si="213"/>
        <v>49.842266931965298</v>
      </c>
      <c r="AA413" s="150">
        <f t="shared" si="214"/>
        <v>38905</v>
      </c>
      <c r="AB413" s="150">
        <f t="shared" si="215"/>
        <v>1513599025</v>
      </c>
      <c r="AD413" s="592">
        <f t="shared" si="216"/>
        <v>27.446279511507051</v>
      </c>
      <c r="AE413" s="593">
        <f t="shared" si="217"/>
        <v>-13.016670115871062</v>
      </c>
      <c r="AG413" s="592">
        <f t="shared" si="218"/>
        <v>-3.8893431193100874</v>
      </c>
      <c r="AH413" s="593">
        <f t="shared" si="219"/>
        <v>-63.117215050477462</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5">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1.0012463468823125</v>
      </c>
      <c r="N414" s="585">
        <f t="shared" si="206"/>
        <v>-4.9900977420790929E-2</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-3.1767566716934055</v>
      </c>
      <c r="X414" s="590">
        <f t="shared" si="212"/>
        <v>-130.37402525690129</v>
      </c>
      <c r="Y414" s="593">
        <f t="shared" si="213"/>
        <v>49.625974743098709</v>
      </c>
      <c r="AA414" s="150">
        <f t="shared" si="214"/>
        <v>39131.5</v>
      </c>
      <c r="AB414" s="150">
        <f t="shared" si="215"/>
        <v>1531274292.25</v>
      </c>
      <c r="AD414" s="592">
        <f t="shared" si="216"/>
        <v>27.444353660253434</v>
      </c>
      <c r="AE414" s="593">
        <f t="shared" si="217"/>
        <v>-13.068197899390878</v>
      </c>
      <c r="AG414" s="592">
        <f t="shared" si="218"/>
        <v>-3.9325953964512554</v>
      </c>
      <c r="AH414" s="593">
        <f t="shared" si="219"/>
        <v>-62.988937926820213</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5">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1.0012608076778231</v>
      </c>
      <c r="N415" s="585">
        <f t="shared" si="206"/>
        <v>-5.0189329639284769E-2</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-3.2356575782353132</v>
      </c>
      <c r="X415" s="590">
        <f t="shared" si="212"/>
        <v>-130.59015345409171</v>
      </c>
      <c r="Y415" s="593">
        <f t="shared" si="213"/>
        <v>49.409846545908295</v>
      </c>
      <c r="AA415" s="150">
        <f t="shared" si="214"/>
        <v>39358</v>
      </c>
      <c r="AB415" s="150">
        <f t="shared" si="215"/>
        <v>1549052164</v>
      </c>
      <c r="AD415" s="592">
        <f t="shared" si="216"/>
        <v>27.442418778123113</v>
      </c>
      <c r="AE415" s="593">
        <f t="shared" si="217"/>
        <v>-13.119828375621559</v>
      </c>
      <c r="AG415" s="592">
        <f t="shared" si="218"/>
        <v>-3.9755260928304637</v>
      </c>
      <c r="AH415" s="593">
        <f t="shared" si="219"/>
        <v>-62.860725759576148</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5">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1.0012753517227595</v>
      </c>
      <c r="N416" s="585">
        <f t="shared" si="206"/>
        <v>-5.0477673504821255E-2</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-3.2943097665020633</v>
      </c>
      <c r="X416" s="590">
        <f t="shared" si="212"/>
        <v>-130.80611660440752</v>
      </c>
      <c r="Y416" s="593">
        <f t="shared" si="213"/>
        <v>49.193883395592479</v>
      </c>
      <c r="AA416" s="150">
        <f t="shared" si="214"/>
        <v>39584.5</v>
      </c>
      <c r="AB416" s="150">
        <f t="shared" si="215"/>
        <v>1566932640.25</v>
      </c>
      <c r="AD416" s="592">
        <f t="shared" si="216"/>
        <v>27.440474855646734</v>
      </c>
      <c r="AE416" s="593">
        <f t="shared" si="217"/>
        <v>-13.171559187062083</v>
      </c>
      <c r="AG416" s="592">
        <f t="shared" si="218"/>
        <v>-4.0181386801206092</v>
      </c>
      <c r="AH416" s="593">
        <f t="shared" si="219"/>
        <v>-62.732580686033337</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5">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1.0012899790134935</v>
      </c>
      <c r="N417" s="585">
        <f t="shared" si="206"/>
        <v>-5.0766008969818338E-2</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-3.3527163692681028</v>
      </c>
      <c r="X417" s="590">
        <f t="shared" si="212"/>
        <v>-131.02191367126045</v>
      </c>
      <c r="Y417" s="593">
        <f t="shared" si="213"/>
        <v>48.97808632873955</v>
      </c>
      <c r="AA417" s="150">
        <f t="shared" si="214"/>
        <v>39811</v>
      </c>
      <c r="AB417" s="150">
        <f t="shared" si="215"/>
        <v>1584915721</v>
      </c>
      <c r="AD417" s="592">
        <f t="shared" si="216"/>
        <v>27.438521884059238</v>
      </c>
      <c r="AE417" s="593">
        <f t="shared" si="217"/>
        <v>-13.223388027112907</v>
      </c>
      <c r="AG417" s="592">
        <f t="shared" si="218"/>
        <v>-4.0604365732700947</v>
      </c>
      <c r="AH417" s="593">
        <f t="shared" si="219"/>
        <v>-62.604504797468593</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5">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1.0013050315060525</v>
      </c>
      <c r="N418" s="585">
        <f t="shared" si="206"/>
        <v>-5.106101896269423E-2</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-3.4122257860312946</v>
      </c>
      <c r="X418" s="590">
        <f t="shared" si="212"/>
        <v>-131.24253969235187</v>
      </c>
      <c r="Y418" s="593">
        <f t="shared" si="213"/>
        <v>48.757460307648131</v>
      </c>
      <c r="AA418" s="150">
        <f t="shared" si="214"/>
        <v>40042.75</v>
      </c>
      <c r="AB418" s="150">
        <f t="shared" si="215"/>
        <v>1603421827.5625</v>
      </c>
      <c r="AD418" s="592">
        <f t="shared" si="216"/>
        <v>27.436514270328203</v>
      </c>
      <c r="AE418" s="593">
        <f t="shared" si="217"/>
        <v>-13.276517307153574</v>
      </c>
      <c r="AG418" s="592">
        <f t="shared" si="218"/>
        <v>-4.1033926648751731</v>
      </c>
      <c r="AH418" s="593">
        <f t="shared" si="219"/>
        <v>-62.473534005667602</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5">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1.0013201711404613</v>
      </c>
      <c r="N419" s="585">
        <f t="shared" si="206"/>
        <v>-5.1356020060333935E-2</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-3.4714845571406632</v>
      </c>
      <c r="X419" s="590">
        <f t="shared" si="212"/>
        <v>-131.46298970419045</v>
      </c>
      <c r="Y419" s="593">
        <f t="shared" si="213"/>
        <v>48.537010295809552</v>
      </c>
      <c r="AA419" s="150">
        <f t="shared" si="214"/>
        <v>40274.5</v>
      </c>
      <c r="AB419" s="150">
        <f t="shared" si="215"/>
        <v>1622035350.25</v>
      </c>
      <c r="AD419" s="592">
        <f t="shared" si="216"/>
        <v>27.434497166727411</v>
      </c>
      <c r="AE419" s="593">
        <f t="shared" si="217"/>
        <v>-13.329744484432874</v>
      </c>
      <c r="AG419" s="592">
        <f t="shared" si="218"/>
        <v>-4.1460263614592279</v>
      </c>
      <c r="AH419" s="593">
        <f t="shared" si="219"/>
        <v>-62.342639930001425</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5">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1.0013353979127668</v>
      </c>
      <c r="N420" s="585">
        <f t="shared" si="206"/>
        <v>-5.1651012211796785E-2</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-3.530495859715304</v>
      </c>
      <c r="X420" s="590">
        <f t="shared" si="212"/>
        <v>-131.6832626547604</v>
      </c>
      <c r="Y420" s="593">
        <f t="shared" si="213"/>
        <v>48.316737345239602</v>
      </c>
      <c r="AA420" s="150">
        <f t="shared" si="214"/>
        <v>40506.25</v>
      </c>
      <c r="AB420" s="150">
        <f t="shared" si="215"/>
        <v>1640756289.0625</v>
      </c>
      <c r="AD420" s="592">
        <f t="shared" si="216"/>
        <v>27.432470566015738</v>
      </c>
      <c r="AE420" s="593">
        <f t="shared" si="217"/>
        <v>-13.383067244539523</v>
      </c>
      <c r="AG420" s="592">
        <f t="shared" si="218"/>
        <v>-4.1883411448008099</v>
      </c>
      <c r="AH420" s="593">
        <f t="shared" si="219"/>
        <v>-62.211824668203924</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5">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1.0013507118189942</v>
      </c>
      <c r="N421" s="585">
        <f t="shared" si="206"/>
        <v>-5.1945995366151396E-2</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-3.5892628133953099</v>
      </c>
      <c r="X421" s="590">
        <f t="shared" si="212"/>
        <v>-131.90335751102015</v>
      </c>
      <c r="Y421" s="593">
        <f t="shared" si="213"/>
        <v>48.096642488979853</v>
      </c>
      <c r="AA421" s="150">
        <f t="shared" si="214"/>
        <v>40738</v>
      </c>
      <c r="AB421" s="150">
        <f t="shared" si="215"/>
        <v>1659584644</v>
      </c>
      <c r="AD421" s="592">
        <f t="shared" si="216"/>
        <v>27.430434461631258</v>
      </c>
      <c r="AE421" s="593">
        <f t="shared" si="217"/>
        <v>-13.436483322847845</v>
      </c>
      <c r="AG421" s="592">
        <f t="shared" si="218"/>
        <v>-4.2303404399293667</v>
      </c>
      <c r="AH421" s="593">
        <f t="shared" si="219"/>
        <v>-62.081090272320019</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5">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1.0013664794181876</v>
      </c>
      <c r="N422" s="585">
        <f t="shared" si="206"/>
        <v>-5.2247969826372198E-2</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-3.6491745340055992</v>
      </c>
      <c r="X422" s="590">
        <f t="shared" si="212"/>
        <v>-132.12849021853924</v>
      </c>
      <c r="Y422" s="593">
        <f t="shared" si="213"/>
        <v>47.871509781460759</v>
      </c>
      <c r="AA422" s="150">
        <f t="shared" si="214"/>
        <v>40975.25</v>
      </c>
      <c r="AB422" s="150">
        <f t="shared" si="215"/>
        <v>1678971112.5625</v>
      </c>
      <c r="AD422" s="592">
        <f t="shared" si="216"/>
        <v>27.428340184632084</v>
      </c>
      <c r="AE422" s="593">
        <f t="shared" si="217"/>
        <v>-13.491261449519374</v>
      </c>
      <c r="AG422" s="592">
        <f t="shared" si="218"/>
        <v>-4.2730131917834493</v>
      </c>
      <c r="AH422" s="593">
        <f t="shared" si="219"/>
        <v>-61.947339089339067</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5">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1.0013823383276823</v>
      </c>
      <c r="N423" s="585">
        <f t="shared" si="206"/>
        <v>-5.2549934749378489E-2</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-3.7088366077027226</v>
      </c>
      <c r="X423" s="590">
        <f t="shared" si="212"/>
        <v>-132.35343414669268</v>
      </c>
      <c r="Y423" s="593">
        <f t="shared" si="213"/>
        <v>47.646565853307322</v>
      </c>
      <c r="AA423" s="150">
        <f t="shared" si="214"/>
        <v>41212.5</v>
      </c>
      <c r="AB423" s="150">
        <f t="shared" si="215"/>
        <v>1698470156.25</v>
      </c>
      <c r="AD423" s="592">
        <f t="shared" si="216"/>
        <v>27.426235935688904</v>
      </c>
      <c r="AE423" s="593">
        <f t="shared" si="217"/>
        <v>-13.546132727083492</v>
      </c>
      <c r="AG423" s="592">
        <f t="shared" si="218"/>
        <v>-4.3153623905981808</v>
      </c>
      <c r="AH423" s="593">
        <f t="shared" si="219"/>
        <v>-61.813676866373385</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5">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1.0013982885431407</v>
      </c>
      <c r="N424" s="585">
        <f t="shared" si="206"/>
        <v>-5.2851890080556657E-2</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-3.7682522028296677</v>
      </c>
      <c r="X424" s="590">
        <f t="shared" si="212"/>
        <v>-132.57818824678031</v>
      </c>
      <c r="Y424" s="593">
        <f t="shared" si="213"/>
        <v>47.421811753219686</v>
      </c>
      <c r="AA424" s="150">
        <f t="shared" si="214"/>
        <v>41449.75</v>
      </c>
      <c r="AB424" s="150">
        <f t="shared" si="215"/>
        <v>1718081775.0625</v>
      </c>
      <c r="AD424" s="592">
        <f t="shared" si="216"/>
        <v>27.424121709837614</v>
      </c>
      <c r="AE424" s="593">
        <f t="shared" si="217"/>
        <v>-13.60109487902081</v>
      </c>
      <c r="AG424" s="592">
        <f t="shared" si="218"/>
        <v>-4.3573915344912413</v>
      </c>
      <c r="AH424" s="593">
        <f t="shared" si="219"/>
        <v>-61.680105663350162</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5">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1.0014143300601992</v>
      </c>
      <c r="N425" s="585">
        <f t="shared" si="206"/>
        <v>-5.3153835765303588E-2</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-3.8274244301952369</v>
      </c>
      <c r="X425" s="590">
        <f t="shared" si="212"/>
        <v>-132.80275148952828</v>
      </c>
      <c r="Y425" s="593">
        <f t="shared" si="213"/>
        <v>47.197248510471724</v>
      </c>
      <c r="AA425" s="150">
        <f t="shared" si="214"/>
        <v>41687</v>
      </c>
      <c r="AB425" s="150">
        <f t="shared" si="215"/>
        <v>1737805969</v>
      </c>
      <c r="AD425" s="592">
        <f t="shared" si="216"/>
        <v>27.421997502771212</v>
      </c>
      <c r="AE425" s="593">
        <f t="shared" si="217"/>
        <v>-13.656145677616612</v>
      </c>
      <c r="AG425" s="592">
        <f t="shared" si="218"/>
        <v>-4.3991040646789372</v>
      </c>
      <c r="AH425" s="593">
        <f t="shared" si="219"/>
        <v>-61.54662749467596</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5">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1.001430837952902</v>
      </c>
      <c r="N426" s="585">
        <f t="shared" si="206"/>
        <v>-5.3462771203233742E-2</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-3.8877196955560884</v>
      </c>
      <c r="X426" s="590">
        <f t="shared" si="212"/>
        <v>-133.03232202516352</v>
      </c>
      <c r="Y426" s="593">
        <f t="shared" si="213"/>
        <v>46.967677974836477</v>
      </c>
      <c r="AA426" s="150">
        <f t="shared" si="214"/>
        <v>41929.75</v>
      </c>
      <c r="AB426" s="150">
        <f t="shared" si="215"/>
        <v>1758103935.0625</v>
      </c>
      <c r="AD426" s="592">
        <f t="shared" si="216"/>
        <v>27.419813716902496</v>
      </c>
      <c r="AE426" s="593">
        <f t="shared" si="217"/>
        <v>-13.712562159379745</v>
      </c>
      <c r="AG426" s="592">
        <f t="shared" si="218"/>
        <v>-4.4414594095842386</v>
      </c>
      <c r="AH426" s="593">
        <f t="shared" si="219"/>
        <v>-61.410153344400705</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5">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1.0014474414201135</v>
      </c>
      <c r="N427" s="585">
        <f t="shared" si="206"/>
        <v>-5.377169642667598E-2</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-3.9477665888319264</v>
      </c>
      <c r="X427" s="590">
        <f t="shared" si="212"/>
        <v>-133.26169063264675</v>
      </c>
      <c r="Y427" s="593">
        <f t="shared" si="213"/>
        <v>46.738309367353253</v>
      </c>
      <c r="AA427" s="150">
        <f t="shared" si="214"/>
        <v>42172.5</v>
      </c>
      <c r="AB427" s="150">
        <f t="shared" si="215"/>
        <v>1778519756.25</v>
      </c>
      <c r="AD427" s="592">
        <f t="shared" si="216"/>
        <v>27.417619474576711</v>
      </c>
      <c r="AE427" s="593">
        <f t="shared" si="217"/>
        <v>-13.769066877680544</v>
      </c>
      <c r="AG427" s="592">
        <f t="shared" si="218"/>
        <v>-4.4834904027633407</v>
      </c>
      <c r="AH427" s="593">
        <f t="shared" si="219"/>
        <v>-61.273780717338568</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5">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1.0014641404570812</v>
      </c>
      <c r="N428" s="585">
        <f t="shared" si="206"/>
        <v>-5.4080611377175368E-2</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-4.0075682636885652</v>
      </c>
      <c r="X428" s="590">
        <f t="shared" si="212"/>
        <v>-133.49085627046577</v>
      </c>
      <c r="Y428" s="593">
        <f t="shared" si="213"/>
        <v>46.50914372953423</v>
      </c>
      <c r="AA428" s="150">
        <f t="shared" si="214"/>
        <v>42415.25</v>
      </c>
      <c r="AB428" s="150">
        <f t="shared" si="215"/>
        <v>1799053432.5625</v>
      </c>
      <c r="AD428" s="592">
        <f t="shared" si="216"/>
        <v>27.415414773186143</v>
      </c>
      <c r="AE428" s="593">
        <f t="shared" si="217"/>
        <v>-13.825657596160246</v>
      </c>
      <c r="AG428" s="592">
        <f t="shared" si="218"/>
        <v>-4.5252005536034687</v>
      </c>
      <c r="AH428" s="593">
        <f t="shared" si="219"/>
        <v>-61.13751163025394</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5">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1.0014809350590235</v>
      </c>
      <c r="N429" s="585">
        <f t="shared" si="206"/>
        <v>-5.4389515996288738E-2</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-4.0671278163329836</v>
      </c>
      <c r="X429" s="590">
        <f t="shared" si="212"/>
        <v>-133.71981791699372</v>
      </c>
      <c r="Y429" s="593">
        <f t="shared" si="213"/>
        <v>46.280182083006281</v>
      </c>
      <c r="AA429" s="150">
        <f t="shared" si="214"/>
        <v>42658</v>
      </c>
      <c r="AB429" s="150">
        <f t="shared" si="215"/>
        <v>1819704964</v>
      </c>
      <c r="AD429" s="592">
        <f t="shared" si="216"/>
        <v>27.413199610758102</v>
      </c>
      <c r="AE429" s="593">
        <f t="shared" si="217"/>
        <v>-13.882332126206341</v>
      </c>
      <c r="AG429" s="592">
        <f t="shared" si="218"/>
        <v>-4.5665933145552504</v>
      </c>
      <c r="AH429" s="593">
        <f t="shared" si="219"/>
        <v>-61.001348054599958</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5">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1.0014982264555949</v>
      </c>
      <c r="N430" s="585">
        <f t="shared" si="206"/>
        <v>-5.4705726852254916E-2</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-4.1278505320029542</v>
      </c>
      <c r="X430" s="590">
        <f t="shared" si="212"/>
        <v>-133.95399061744698</v>
      </c>
      <c r="Y430" s="593">
        <f t="shared" si="213"/>
        <v>46.046009382553024</v>
      </c>
      <c r="AA430" s="150">
        <f t="shared" si="214"/>
        <v>42906.5</v>
      </c>
      <c r="AB430" s="150">
        <f t="shared" si="215"/>
        <v>1840967742.25</v>
      </c>
      <c r="AD430" s="592">
        <f t="shared" si="216"/>
        <v>27.410921140883278</v>
      </c>
      <c r="AE430" s="593">
        <f t="shared" si="217"/>
        <v>-13.940433678135387</v>
      </c>
      <c r="AG430" s="592">
        <f t="shared" si="218"/>
        <v>-4.608641332517168</v>
      </c>
      <c r="AH430" s="593">
        <f t="shared" si="219"/>
        <v>-60.862070484735355</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5">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1.0015156179878149</v>
      </c>
      <c r="N431" s="585">
        <f t="shared" si="206"/>
        <v>-5.502192675769893E-2</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-4.188325906634927</v>
      </c>
      <c r="X431" s="590">
        <f t="shared" si="212"/>
        <v>-134.18794744417337</v>
      </c>
      <c r="Y431" s="593">
        <f t="shared" si="213"/>
        <v>45.812052555826625</v>
      </c>
      <c r="AA431" s="150">
        <f t="shared" si="214"/>
        <v>43155</v>
      </c>
      <c r="AB431" s="150">
        <f t="shared" si="215"/>
        <v>1862354025</v>
      </c>
      <c r="AD431" s="592">
        <f t="shared" si="216"/>
        <v>27.408631706293825</v>
      </c>
      <c r="AE431" s="593">
        <f t="shared" si="217"/>
        <v>-13.998618565344948</v>
      </c>
      <c r="AG431" s="592">
        <f t="shared" si="218"/>
        <v>-4.6503638907987064</v>
      </c>
      <c r="AH431" s="593">
        <f t="shared" si="219"/>
        <v>-60.722907523923283</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5">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1.0015331096504665</v>
      </c>
      <c r="N432" s="585">
        <f t="shared" si="206"/>
        <v>-5.5338115649964076E-2</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-4.2485570831008177</v>
      </c>
      <c r="X432" s="590">
        <f t="shared" si="212"/>
        <v>-134.42168736383934</v>
      </c>
      <c r="Y432" s="593">
        <f t="shared" si="213"/>
        <v>45.578312636160661</v>
      </c>
      <c r="AA432" s="150">
        <f t="shared" si="214"/>
        <v>43403.5</v>
      </c>
      <c r="AB432" s="150">
        <f t="shared" si="215"/>
        <v>1883863812.25</v>
      </c>
      <c r="AD432" s="592">
        <f t="shared" si="216"/>
        <v>27.406331306816305</v>
      </c>
      <c r="AE432" s="593">
        <f t="shared" si="217"/>
        <v>-14.056884586904276</v>
      </c>
      <c r="AG432" s="592">
        <f t="shared" si="218"/>
        <v>-4.6917645158693508</v>
      </c>
      <c r="AH432" s="593">
        <f t="shared" si="219"/>
        <v>-60.583861146363603</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5">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1.0015507014383038</v>
      </c>
      <c r="N433" s="585">
        <f t="shared" si="206"/>
        <v>-5.5654293466406796E-2</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-4.308547146783849</v>
      </c>
      <c r="X433" s="590">
        <f t="shared" si="212"/>
        <v>-134.65520936354415</v>
      </c>
      <c r="Y433" s="593">
        <f t="shared" si="213"/>
        <v>45.344790636455855</v>
      </c>
      <c r="AA433" s="150">
        <f t="shared" si="214"/>
        <v>43652</v>
      </c>
      <c r="AB433" s="150">
        <f t="shared" si="215"/>
        <v>1905497104</v>
      </c>
      <c r="AD433" s="592">
        <f t="shared" si="216"/>
        <v>27.404019942892816</v>
      </c>
      <c r="AE433" s="593">
        <f t="shared" si="217"/>
        <v>-14.115229588692419</v>
      </c>
      <c r="AG433" s="592">
        <f t="shared" si="218"/>
        <v>-4.7328466771075659</v>
      </c>
      <c r="AH433" s="593">
        <f t="shared" si="219"/>
        <v>-60.444933281008488</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5">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1.0015687860498985</v>
      </c>
      <c r="N434" s="585">
        <f t="shared" si="206"/>
        <v>-5.5977457670761427E-2</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-4.3696189350690222</v>
      </c>
      <c r="X434" s="590">
        <f t="shared" si="212"/>
        <v>-134.89367361665148</v>
      </c>
      <c r="Y434" s="593">
        <f t="shared" si="213"/>
        <v>45.106326383348517</v>
      </c>
      <c r="AA434" s="150">
        <f t="shared" si="214"/>
        <v>43906</v>
      </c>
      <c r="AB434" s="150">
        <f t="shared" si="215"/>
        <v>1927736836</v>
      </c>
      <c r="AD434" s="592">
        <f t="shared" si="216"/>
        <v>27.401646091963926</v>
      </c>
      <c r="AE434" s="593">
        <f t="shared" si="217"/>
        <v>-14.174945355245034</v>
      </c>
      <c r="AG434" s="592">
        <f t="shared" si="218"/>
        <v>-4.7745125403352571</v>
      </c>
      <c r="AH434" s="593">
        <f t="shared" si="219"/>
        <v>-60.303054991094086</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5">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1.0015869752566491</v>
      </c>
      <c r="N435" s="585">
        <f t="shared" si="206"/>
        <v>-5.6300610171289692E-2</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-4.4304451596256254</v>
      </c>
      <c r="X435" s="590">
        <f t="shared" si="212"/>
        <v>-135.13190812070056</v>
      </c>
      <c r="Y435" s="593">
        <f t="shared" si="213"/>
        <v>44.868091879299442</v>
      </c>
      <c r="AA435" s="150">
        <f t="shared" si="214"/>
        <v>44160</v>
      </c>
      <c r="AB435" s="150">
        <f t="shared" si="215"/>
        <v>1950105600</v>
      </c>
      <c r="AD435" s="592">
        <f t="shared" si="216"/>
        <v>27.39926078869199</v>
      </c>
      <c r="AE435" s="593">
        <f t="shared" si="217"/>
        <v>-14.234739230018164</v>
      </c>
      <c r="AG435" s="592">
        <f t="shared" si="218"/>
        <v>-4.8158528392367064</v>
      </c>
      <c r="AH435" s="593">
        <f t="shared" si="219"/>
        <v>-60.161304452475775</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5">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1.0016052690528567</v>
      </c>
      <c r="N436" s="585">
        <f t="shared" si="206"/>
        <v>-5.6623750901139018E-2</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-4.4910289375287213</v>
      </c>
      <c r="X436" s="590">
        <f t="shared" si="212"/>
        <v>-135.36991185809893</v>
      </c>
      <c r="Y436" s="593">
        <f t="shared" si="213"/>
        <v>44.630088141901069</v>
      </c>
      <c r="AA436" s="150">
        <f t="shared" si="214"/>
        <v>44414</v>
      </c>
      <c r="AB436" s="150">
        <f t="shared" si="215"/>
        <v>1972603396</v>
      </c>
      <c r="AD436" s="592">
        <f t="shared" si="216"/>
        <v>27.396864035423427</v>
      </c>
      <c r="AE436" s="593">
        <f t="shared" si="217"/>
        <v>-14.294609055958702</v>
      </c>
      <c r="AG436" s="592">
        <f t="shared" si="218"/>
        <v>-4.8568711019653517</v>
      </c>
      <c r="AH436" s="593">
        <f t="shared" si="219"/>
        <v>-60.019683585204838</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5">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1.001623667432791</v>
      </c>
      <c r="N437" s="585">
        <f t="shared" si="206"/>
        <v>-5.6946879793471551E-2</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-4.5513733286895537</v>
      </c>
      <c r="X437" s="590">
        <f t="shared" si="212"/>
        <v>-135.60768383215756</v>
      </c>
      <c r="Y437" s="593">
        <f t="shared" si="213"/>
        <v>44.392316167842438</v>
      </c>
      <c r="AA437" s="150">
        <f t="shared" si="214"/>
        <v>44668</v>
      </c>
      <c r="AB437" s="150">
        <f t="shared" si="215"/>
        <v>1995230224</v>
      </c>
      <c r="AD437" s="592">
        <f t="shared" si="216"/>
        <v>27.39445583509842</v>
      </c>
      <c r="AE437" s="593">
        <f t="shared" si="217"/>
        <v>-14.354552721637347</v>
      </c>
      <c r="AG437" s="592">
        <f t="shared" si="218"/>
        <v>-4.897570799765564</v>
      </c>
      <c r="AH437" s="593">
        <f t="shared" si="219"/>
        <v>-59.878194264365391</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5">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1.0016426269982557</v>
      </c>
      <c r="N438" s="585">
        <f t="shared" si="206"/>
        <v>-5.7277947344118292E-2</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-4.612957418201832</v>
      </c>
      <c r="X438" s="590">
        <f t="shared" si="212"/>
        <v>-135.85106508618406</v>
      </c>
      <c r="Y438" s="593">
        <f t="shared" si="213"/>
        <v>44.148934913815935</v>
      </c>
      <c r="AA438" s="150">
        <f t="shared" si="214"/>
        <v>44928.25</v>
      </c>
      <c r="AB438" s="150">
        <f t="shared" si="215"/>
        <v>2018547648.0625</v>
      </c>
      <c r="AD438" s="592">
        <f t="shared" si="216"/>
        <v>27.391976508529691</v>
      </c>
      <c r="AE438" s="593">
        <f t="shared" si="217"/>
        <v>-14.41604580526578</v>
      </c>
      <c r="AG438" s="592">
        <f t="shared" si="218"/>
        <v>-4.9389451184977862</v>
      </c>
      <c r="AH438" s="593">
        <f t="shared" si="219"/>
        <v>-59.73336177111036</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5">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1.0016616963453218</v>
      </c>
      <c r="N439" s="585">
        <f t="shared" si="206"/>
        <v>-5.7609002325511936E-2</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-4.6742965205780438</v>
      </c>
      <c r="X439" s="590">
        <f t="shared" si="212"/>
        <v>-136.09420097830798</v>
      </c>
      <c r="Y439" s="593">
        <f t="shared" si="213"/>
        <v>43.905799021692019</v>
      </c>
      <c r="AA439" s="150">
        <f t="shared" si="214"/>
        <v>45188.5</v>
      </c>
      <c r="AB439" s="150">
        <f t="shared" si="215"/>
        <v>2042000532.25</v>
      </c>
      <c r="AD439" s="592">
        <f t="shared" si="216"/>
        <v>27.389485172718096</v>
      </c>
      <c r="AE439" s="593">
        <f t="shared" si="217"/>
        <v>-14.477612060823809</v>
      </c>
      <c r="AG439" s="592">
        <f t="shared" si="218"/>
        <v>-4.9799922023169483</v>
      </c>
      <c r="AH439" s="593">
        <f t="shared" si="219"/>
        <v>-59.588671222786239</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5">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1.0016808754677191</v>
      </c>
      <c r="N440" s="585">
        <f t="shared" si="206"/>
        <v>-5.7940044665806878E-2</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-4.7353937489846807</v>
      </c>
      <c r="X440" s="590">
        <f t="shared" si="212"/>
        <v>-136.3370905025923</v>
      </c>
      <c r="Y440" s="593">
        <f t="shared" si="213"/>
        <v>43.662909497407696</v>
      </c>
      <c r="AA440" s="150">
        <f t="shared" si="214"/>
        <v>45448.75</v>
      </c>
      <c r="AB440" s="150">
        <f t="shared" si="215"/>
        <v>2065588876.5625</v>
      </c>
      <c r="AD440" s="592">
        <f t="shared" si="216"/>
        <v>27.386981832650786</v>
      </c>
      <c r="AE440" s="593">
        <f t="shared" si="217"/>
        <v>-14.539249358012109</v>
      </c>
      <c r="AG440" s="592">
        <f t="shared" si="218"/>
        <v>-5.0207156073959904</v>
      </c>
      <c r="AH440" s="593">
        <f t="shared" si="219"/>
        <v>-59.444124496085585</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5">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1.0017001643591426</v>
      </c>
      <c r="N441" s="585">
        <f t="shared" si="206"/>
        <v>-5.8271074293174095E-2</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-4.7962521592044602</v>
      </c>
      <c r="X441" s="590">
        <f t="shared" si="212"/>
        <v>-136.57973267472809</v>
      </c>
      <c r="Y441" s="593">
        <f t="shared" si="213"/>
        <v>43.420267325271908</v>
      </c>
      <c r="AA441" s="150">
        <f t="shared" si="214"/>
        <v>45709</v>
      </c>
      <c r="AB441" s="150">
        <f t="shared" si="215"/>
        <v>2089312681</v>
      </c>
      <c r="AD441" s="592">
        <f t="shared" si="216"/>
        <v>27.384466493893946</v>
      </c>
      <c r="AE441" s="593">
        <f t="shared" si="217"/>
        <v>-14.600955611440146</v>
      </c>
      <c r="AG441" s="592">
        <f t="shared" si="218"/>
        <v>-5.0611188326209966</v>
      </c>
      <c r="AH441" s="593">
        <f t="shared" si="219"/>
        <v>-59.299723422521069</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5">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1.0017200115388656</v>
      </c>
      <c r="N442" s="585">
        <f t="shared" si="206"/>
        <v>-5.8609722496679978E-2</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-4.858269632447783</v>
      </c>
      <c r="X442" s="590">
        <f t="shared" si="212"/>
        <v>-136.82771192674983</v>
      </c>
      <c r="Y442" s="593">
        <f t="shared" si="213"/>
        <v>43.172288073250172</v>
      </c>
      <c r="AA442" s="150">
        <f t="shared" si="214"/>
        <v>45975.25</v>
      </c>
      <c r="AB442" s="150">
        <f t="shared" si="215"/>
        <v>2113723612.5625</v>
      </c>
      <c r="AD442" s="592">
        <f t="shared" si="216"/>
        <v>27.381880754193105</v>
      </c>
      <c r="AE442" s="593">
        <f t="shared" si="217"/>
        <v>-14.664153717785476</v>
      </c>
      <c r="AG442" s="592">
        <f t="shared" si="218"/>
        <v>-5.1021257967637865</v>
      </c>
      <c r="AH442" s="593">
        <f t="shared" si="219"/>
        <v>-59.15214581001343</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5">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1.0017399735938899</v>
      </c>
      <c r="N443" s="585">
        <f t="shared" si="206"/>
        <v>-5.8948357242275921E-2</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-4.9200434408904856</v>
      </c>
      <c r="X443" s="590">
        <f t="shared" si="212"/>
        <v>-137.07543027355786</v>
      </c>
      <c r="Y443" s="593">
        <f t="shared" si="213"/>
        <v>42.924569726442144</v>
      </c>
      <c r="AA443" s="150">
        <f t="shared" si="214"/>
        <v>46241.5</v>
      </c>
      <c r="AB443" s="150">
        <f t="shared" si="215"/>
        <v>2138276322.25</v>
      </c>
      <c r="AD443" s="592">
        <f t="shared" si="216"/>
        <v>27.379282469739174</v>
      </c>
      <c r="AE443" s="593">
        <f t="shared" si="217"/>
        <v>-14.727419719522963</v>
      </c>
      <c r="AG443" s="592">
        <f t="shared" si="218"/>
        <v>-5.1428048780006153</v>
      </c>
      <c r="AH443" s="593">
        <f t="shared" si="219"/>
        <v>-59.004724381704968</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5">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1.0017600505173481</v>
      </c>
      <c r="N444" s="585">
        <f t="shared" si="206"/>
        <v>-5.9286978453103933E-2</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-4.9815766786324183</v>
      </c>
      <c r="X444" s="590">
        <f t="shared" si="212"/>
        <v>-137.32288672930909</v>
      </c>
      <c r="Y444" s="593">
        <f t="shared" si="213"/>
        <v>42.67711327069091</v>
      </c>
      <c r="AA444" s="150">
        <f t="shared" si="214"/>
        <v>46507.75</v>
      </c>
      <c r="AB444" s="150">
        <f t="shared" si="215"/>
        <v>2162970810.0625</v>
      </c>
      <c r="AD444" s="592">
        <f t="shared" si="216"/>
        <v>27.376671648263098</v>
      </c>
      <c r="AE444" s="593">
        <f t="shared" si="217"/>
        <v>-14.79075152160466</v>
      </c>
      <c r="AG444" s="592">
        <f t="shared" si="218"/>
        <v>-5.1831596449232755</v>
      </c>
      <c r="AH444" s="593">
        <f t="shared" si="219"/>
        <v>-58.857460958489632</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5">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1.0017802423023339</v>
      </c>
      <c r="N445" s="585">
        <f t="shared" si="206"/>
        <v>-5.9625586052324563E-2</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-5.0428723825302137</v>
      </c>
      <c r="X445" s="590">
        <f t="shared" si="212"/>
        <v>-137.57008033043206</v>
      </c>
      <c r="Y445" s="593">
        <f t="shared" si="213"/>
        <v>42.429919669567937</v>
      </c>
      <c r="AA445" s="150">
        <f t="shared" si="214"/>
        <v>46774</v>
      </c>
      <c r="AB445" s="150">
        <f t="shared" si="215"/>
        <v>2187807076</v>
      </c>
      <c r="AD445" s="592">
        <f t="shared" si="216"/>
        <v>27.374048298057716</v>
      </c>
      <c r="AE445" s="593">
        <f t="shared" si="217"/>
        <v>-14.854147072927974</v>
      </c>
      <c r="AG445" s="592">
        <f t="shared" si="218"/>
        <v>-5.2231936087973585</v>
      </c>
      <c r="AH445" s="593">
        <f t="shared" si="219"/>
        <v>-58.710357316090686</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5">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1.0018010078795603</v>
      </c>
      <c r="N446" s="585">
        <f t="shared" si="206"/>
        <v>-5.9971810090122535E-2</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-5.1053068798827814</v>
      </c>
      <c r="X446" s="590">
        <f t="shared" si="212"/>
        <v>-137.82257170408926</v>
      </c>
      <c r="Y446" s="593">
        <f t="shared" si="213"/>
        <v>42.177428295910744</v>
      </c>
      <c r="AA446" s="150">
        <f t="shared" si="214"/>
        <v>47046.25</v>
      </c>
      <c r="AB446" s="150">
        <f t="shared" si="215"/>
        <v>2213349639.0625</v>
      </c>
      <c r="AD446" s="592">
        <f t="shared" si="216"/>
        <v>27.371352883895192</v>
      </c>
      <c r="AE446" s="593">
        <f t="shared" si="217"/>
        <v>-14.919035084598075</v>
      </c>
      <c r="AG446" s="592">
        <f t="shared" si="218"/>
        <v>-5.2638016173573892</v>
      </c>
      <c r="AH446" s="593">
        <f t="shared" si="219"/>
        <v>-58.560105688189815</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5">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1.0018218935387735</v>
      </c>
      <c r="N447" s="585">
        <f t="shared" si="206"/>
        <v>-6.03180197334858E-2</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-5.1674992615790476</v>
      </c>
      <c r="X447" s="590">
        <f t="shared" si="212"/>
        <v>-138.07478627480967</v>
      </c>
      <c r="Y447" s="593">
        <f t="shared" si="213"/>
        <v>41.925213725190332</v>
      </c>
      <c r="AA447" s="150">
        <f t="shared" si="214"/>
        <v>47318.5</v>
      </c>
      <c r="AB447" s="150">
        <f t="shared" si="215"/>
        <v>2239040442.25</v>
      </c>
      <c r="AD447" s="592">
        <f t="shared" si="216"/>
        <v>27.368644389230042</v>
      </c>
      <c r="AE447" s="593">
        <f t="shared" si="217"/>
        <v>-14.983985549017731</v>
      </c>
      <c r="AG447" s="592">
        <f t="shared" si="218"/>
        <v>-5.3040814485741414</v>
      </c>
      <c r="AH447" s="593">
        <f t="shared" si="219"/>
        <v>-58.410024738552607</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5">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1.0018428992724626</v>
      </c>
      <c r="N448" s="585">
        <f t="shared" si="206"/>
        <v>-6.0664214900323067E-2</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-5.2294525972667412</v>
      </c>
      <c r="X448" s="590">
        <f t="shared" si="212"/>
        <v>-138.32672308247481</v>
      </c>
      <c r="Y448" s="593">
        <f t="shared" si="213"/>
        <v>41.673276917525186</v>
      </c>
      <c r="AA448" s="150">
        <f t="shared" si="214"/>
        <v>47590.75</v>
      </c>
      <c r="AB448" s="150">
        <f t="shared" si="215"/>
        <v>2264879485.5625</v>
      </c>
      <c r="AD448" s="592">
        <f t="shared" si="216"/>
        <v>27.365922824644997</v>
      </c>
      <c r="AE448" s="593">
        <f t="shared" si="217"/>
        <v>-15.048996408019164</v>
      </c>
      <c r="AG448" s="592">
        <f t="shared" si="218"/>
        <v>-5.3440366787442786</v>
      </c>
      <c r="AH448" s="593">
        <f t="shared" si="219"/>
        <v>-58.260116225631897</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5">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1.0018640250730757</v>
      </c>
      <c r="N449" s="585">
        <f t="shared" si="206"/>
        <v>-6.101039550856379E-2</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-5.2911698996151424</v>
      </c>
      <c r="X449" s="590">
        <f t="shared" si="212"/>
        <v>-138.57838118988212</v>
      </c>
      <c r="Y449" s="593">
        <f t="shared" si="213"/>
        <v>41.421618810117877</v>
      </c>
      <c r="AA449" s="150">
        <f t="shared" si="214"/>
        <v>47863</v>
      </c>
      <c r="AB449" s="150">
        <f t="shared" si="215"/>
        <v>2290866769</v>
      </c>
      <c r="AD449" s="592">
        <f t="shared" si="216"/>
        <v>27.363188201267672</v>
      </c>
      <c r="AE449" s="593">
        <f t="shared" si="217"/>
        <v>-15.114065646363359</v>
      </c>
      <c r="AG449" s="592">
        <f t="shared" si="218"/>
        <v>-5.3836708269017928</v>
      </c>
      <c r="AH449" s="593">
        <f t="shared" si="219"/>
        <v>-58.110381862756128</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5">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1.0018857796477323</v>
      </c>
      <c r="N450" s="585">
        <f t="shared" si="206"/>
        <v>-6.1364826048746282E-2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-5.3541192438372933</v>
      </c>
      <c r="X450" s="590">
        <f t="shared" si="212"/>
        <v>-138.8357579477555</v>
      </c>
      <c r="Y450" s="593">
        <f t="shared" si="213"/>
        <v>41.164242052244504</v>
      </c>
      <c r="AA450" s="150">
        <f t="shared" si="214"/>
        <v>48141.75</v>
      </c>
      <c r="AB450" s="150">
        <f t="shared" si="215"/>
        <v>2317628093.0625</v>
      </c>
      <c r="AD450" s="592">
        <f t="shared" si="216"/>
        <v>27.360374770435605</v>
      </c>
      <c r="AE450" s="593">
        <f t="shared" si="217"/>
        <v>-15.180746846191202</v>
      </c>
      <c r="AG450" s="592">
        <f t="shared" si="218"/>
        <v>-5.4239221888297529</v>
      </c>
      <c r="AH450" s="593">
        <f t="shared" si="219"/>
        <v>-57.957254754182578</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5">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1.0019076600748154</v>
      </c>
      <c r="N451" s="585">
        <f t="shared" si="206"/>
        <v>-6.1719241152797776E-2</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-5.4168273640462878</v>
      </c>
      <c r="X451" s="590">
        <f t="shared" si="212"/>
        <v>-139.09284062222486</v>
      </c>
      <c r="Y451" s="593">
        <f t="shared" si="213"/>
        <v>40.907159377775145</v>
      </c>
      <c r="AA451" s="150">
        <f t="shared" si="214"/>
        <v>48420.5</v>
      </c>
      <c r="AB451" s="150">
        <f t="shared" si="215"/>
        <v>2344544820.25</v>
      </c>
      <c r="AD451" s="592">
        <f t="shared" si="216"/>
        <v>27.35754767509842</v>
      </c>
      <c r="AE451" s="593">
        <f t="shared" si="217"/>
        <v>-15.247485103414274</v>
      </c>
      <c r="AG451" s="592">
        <f t="shared" si="218"/>
        <v>-5.4638442417249768</v>
      </c>
      <c r="AH451" s="593">
        <f t="shared" si="219"/>
        <v>-57.804313705057844</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5">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1.0019296663460799</v>
      </c>
      <c r="N452" s="585">
        <f t="shared" si="206"/>
        <v>-6.2073640732696299E-2</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-5.4792973167343195</v>
      </c>
      <c r="X452" s="590">
        <f t="shared" si="212"/>
        <v>-139.34962827981937</v>
      </c>
      <c r="Y452" s="593">
        <f t="shared" si="213"/>
        <v>40.65037172018063</v>
      </c>
      <c r="AA452" s="150">
        <f t="shared" si="214"/>
        <v>48699.25</v>
      </c>
      <c r="AB452" s="150">
        <f t="shared" si="215"/>
        <v>2371616950.5625</v>
      </c>
      <c r="AD452" s="592">
        <f t="shared" si="216"/>
        <v>27.354706928873213</v>
      </c>
      <c r="AE452" s="593">
        <f t="shared" si="217"/>
        <v>-15.314278387236008</v>
      </c>
      <c r="AG452" s="592">
        <f t="shared" si="218"/>
        <v>-5.5034405843593888</v>
      </c>
      <c r="AH452" s="593">
        <f t="shared" si="219"/>
        <v>-57.651560413754623</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5">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1.0019517984532338</v>
      </c>
      <c r="N453" s="585">
        <f t="shared" si="206"/>
        <v>-6.2428024700443167E-2</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-5.5415321013929404</v>
      </c>
      <c r="X453" s="590">
        <f t="shared" si="212"/>
        <v>-139.60612001079704</v>
      </c>
      <c r="Y453" s="593">
        <f t="shared" si="213"/>
        <v>40.393879989202958</v>
      </c>
      <c r="AA453" s="150">
        <f t="shared" si="214"/>
        <v>48978</v>
      </c>
      <c r="AB453" s="150">
        <f t="shared" si="215"/>
        <v>2398844484</v>
      </c>
      <c r="AD453" s="592">
        <f t="shared" si="216"/>
        <v>27.351852545908951</v>
      </c>
      <c r="AE453" s="593">
        <f t="shared" si="217"/>
        <v>-15.381124709028517</v>
      </c>
      <c r="AG453" s="592">
        <f t="shared" si="218"/>
        <v>-5.5427147579928171</v>
      </c>
      <c r="AH453" s="593">
        <f t="shared" si="219"/>
        <v>-57.498996533278458</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5">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1.0019745769082335</v>
      </c>
      <c r="N454" s="585">
        <f t="shared" si="206"/>
        <v>-6.2790656075962681E-2</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-5.6049777141247024</v>
      </c>
      <c r="X454" s="590">
        <f t="shared" si="212"/>
        <v>-139.86828543240941</v>
      </c>
      <c r="Y454" s="593">
        <f t="shared" si="213"/>
        <v>40.131714567590592</v>
      </c>
      <c r="AA454" s="150">
        <f t="shared" si="214"/>
        <v>49263.25</v>
      </c>
      <c r="AB454" s="150">
        <f t="shared" si="215"/>
        <v>2426867800.5625</v>
      </c>
      <c r="AD454" s="592">
        <f t="shared" si="216"/>
        <v>27.348917501218722</v>
      </c>
      <c r="AE454" s="593">
        <f t="shared" si="217"/>
        <v>-15.449582654960324</v>
      </c>
      <c r="AG454" s="592">
        <f t="shared" si="218"/>
        <v>-5.5825748522461671</v>
      </c>
      <c r="AH454" s="593">
        <f t="shared" si="219"/>
        <v>-57.343072874866358</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5">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1.0019974871184065</v>
      </c>
      <c r="N455" s="585">
        <f t="shared" si="206"/>
        <v>-6.3153270916366661E-2</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-5.6681832415944111</v>
      </c>
      <c r="X455" s="590">
        <f t="shared" si="212"/>
        <v>-140.13013911250209</v>
      </c>
      <c r="Y455" s="593">
        <f t="shared" si="213"/>
        <v>39.869860887497907</v>
      </c>
      <c r="AA455" s="150">
        <f t="shared" si="214"/>
        <v>49548.5</v>
      </c>
      <c r="AB455" s="150">
        <f t="shared" si="215"/>
        <v>2455053852.25</v>
      </c>
      <c r="AD455" s="592">
        <f t="shared" si="216"/>
        <v>27.345968208019464</v>
      </c>
      <c r="AE455" s="593">
        <f t="shared" si="217"/>
        <v>-15.518092058030906</v>
      </c>
      <c r="AG455" s="592">
        <f t="shared" si="218"/>
        <v>-5.6221049015575666</v>
      </c>
      <c r="AH455" s="593">
        <f t="shared" si="219"/>
        <v>-57.187350924873556</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5">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1.0020205290747162</v>
      </c>
      <c r="N456" s="585">
        <f t="shared" si="206"/>
        <v>-6.3515869127432456E-2</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-5.7311517211936094</v>
      </c>
      <c r="X456" s="590">
        <f t="shared" si="212"/>
        <v>-140.39168015112543</v>
      </c>
      <c r="Y456" s="593">
        <f t="shared" si="213"/>
        <v>39.608319848874572</v>
      </c>
      <c r="AA456" s="150">
        <f t="shared" si="214"/>
        <v>49833.75</v>
      </c>
      <c r="AB456" s="150">
        <f t="shared" si="215"/>
        <v>2483402639.0625</v>
      </c>
      <c r="AD456" s="592">
        <f t="shared" si="216"/>
        <v>27.34300468310424</v>
      </c>
      <c r="AE456" s="593">
        <f t="shared" si="217"/>
        <v>-15.586650916915618</v>
      </c>
      <c r="AG456" s="592">
        <f t="shared" si="218"/>
        <v>-5.6613085219046342</v>
      </c>
      <c r="AH456" s="593">
        <f t="shared" si="219"/>
        <v>-57.031832313477771</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5">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1.0020437027680733</v>
      </c>
      <c r="N457" s="585">
        <f t="shared" si="206"/>
        <v>-6.3878450614963542E-2</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-5.7938861334304628</v>
      </c>
      <c r="X457" s="590">
        <f t="shared" si="212"/>
        <v>-140.65290767286507</v>
      </c>
      <c r="Y457" s="593">
        <f t="shared" si="213"/>
        <v>39.347092327134931</v>
      </c>
      <c r="AA457" s="150">
        <f t="shared" si="214"/>
        <v>50119</v>
      </c>
      <c r="AB457" s="150">
        <f t="shared" si="215"/>
        <v>2511914161</v>
      </c>
      <c r="AD457" s="592">
        <f t="shared" si="216"/>
        <v>27.340026943784757</v>
      </c>
      <c r="AE457" s="593">
        <f t="shared" si="217"/>
        <v>-15.655257271634081</v>
      </c>
      <c r="AG457" s="592">
        <f t="shared" si="218"/>
        <v>-5.700189271615999</v>
      </c>
      <c r="AH457" s="593">
        <f t="shared" si="219"/>
        <v>-56.876518625299603</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5">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1.0020675407856185</v>
      </c>
      <c r="N458" s="585">
        <f t="shared" si="206"/>
        <v>-6.4249276859688342E-2</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-5.8578109961939919</v>
      </c>
      <c r="X458" s="590">
        <f t="shared" si="212"/>
        <v>-140.91976259214226</v>
      </c>
      <c r="Y458" s="593">
        <f t="shared" si="213"/>
        <v>39.080237407857737</v>
      </c>
      <c r="AA458" s="150">
        <f t="shared" si="214"/>
        <v>50410.75</v>
      </c>
      <c r="AB458" s="150">
        <f t="shared" si="215"/>
        <v>2541243715.5625</v>
      </c>
      <c r="AD458" s="592">
        <f t="shared" si="216"/>
        <v>27.336966665254451</v>
      </c>
      <c r="AE458" s="593">
        <f t="shared" si="217"/>
        <v>-15.725474092200237</v>
      </c>
      <c r="AG458" s="592">
        <f t="shared" si="218"/>
        <v>-5.7396256574899605</v>
      </c>
      <c r="AH458" s="593">
        <f t="shared" si="219"/>
        <v>-56.717879385351686</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5">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1.0020915165930124</v>
      </c>
      <c r="N459" s="585">
        <f t="shared" si="206"/>
        <v>-6.4620085410797654E-2</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-5.9214971329832782</v>
      </c>
      <c r="X459" s="590">
        <f t="shared" si="212"/>
        <v>-141.18628776815609</v>
      </c>
      <c r="Y459" s="593">
        <f t="shared" si="213"/>
        <v>38.813712231843908</v>
      </c>
      <c r="AA459" s="150">
        <f t="shared" si="214"/>
        <v>50702.5</v>
      </c>
      <c r="AB459" s="150">
        <f t="shared" si="215"/>
        <v>2570743506.25</v>
      </c>
      <c r="AD459" s="592">
        <f t="shared" si="216"/>
        <v>27.333891555360267</v>
      </c>
      <c r="AE459" s="593">
        <f t="shared" si="217"/>
        <v>-15.795736578024135</v>
      </c>
      <c r="AG459" s="592">
        <f t="shared" si="218"/>
        <v>-5.7787316409010678</v>
      </c>
      <c r="AH459" s="593">
        <f t="shared" si="219"/>
        <v>-56.559457725618984</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5">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1.0021156301803651</v>
      </c>
      <c r="N460" s="585">
        <f t="shared" si="206"/>
        <v>-6.4990876167593539E-2</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-5.9849475565806465</v>
      </c>
      <c r="X460" s="590">
        <f t="shared" si="212"/>
        <v>-141.45248234163398</v>
      </c>
      <c r="Y460" s="593">
        <f t="shared" si="213"/>
        <v>38.547517658366019</v>
      </c>
      <c r="AA460" s="150">
        <f t="shared" si="214"/>
        <v>50994.25</v>
      </c>
      <c r="AB460" s="150">
        <f t="shared" si="215"/>
        <v>2600413533.0625</v>
      </c>
      <c r="AD460" s="592">
        <f t="shared" si="216"/>
        <v>27.330801634213039</v>
      </c>
      <c r="AE460" s="593">
        <f t="shared" si="217"/>
        <v>-15.86604275900671</v>
      </c>
      <c r="AG460" s="592">
        <f t="shared" si="218"/>
        <v>-5.8175108500582038</v>
      </c>
      <c r="AH460" s="593">
        <f t="shared" si="219"/>
        <v>-56.401255199952637</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5">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1.0021398815377307</v>
      </c>
      <c r="N461" s="585">
        <f t="shared" ref="N461:N524" si="238">-ATAN(G461/z_RHP)</f>
        <v>-6.536164902940729E-2</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-6.0481652231336902</v>
      </c>
      <c r="X461" s="590">
        <f t="shared" ref="X461:X524" si="244">((L461+R461+N461+V461)-(J461+P461+T461))*radconv</f>
        <v>-141.71834547863492</v>
      </c>
      <c r="Y461" s="593">
        <f t="shared" ref="Y461:Y524" si="245">IF(X461&gt;0,X461,X461+180)</f>
        <v>38.281654521365084</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-5.8559668554883384</v>
      </c>
      <c r="AH461" s="593">
        <f t="shared" ref="AH461:AH524" si="251">(L461+N461-(J461+V461))*radconv</f>
        <v>-56.243273316507803</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5">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1.0021648575189499</v>
      </c>
      <c r="N462" s="585">
        <f t="shared" si="238"/>
        <v>-6.5741299248895851E-2</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-6.11266150918539</v>
      </c>
      <c r="X462" s="590">
        <f t="shared" si="244"/>
        <v>-141.99024320333146</v>
      </c>
      <c r="Y462" s="593">
        <f t="shared" si="245"/>
        <v>38.00975679666854</v>
      </c>
      <c r="AA462" s="150">
        <f t="shared" si="246"/>
        <v>51584.75</v>
      </c>
      <c r="AB462" s="150">
        <f t="shared" si="247"/>
        <v>2660986432.5625</v>
      </c>
      <c r="AD462" s="592">
        <f t="shared" si="248"/>
        <v>27.324502413690837</v>
      </c>
      <c r="AE462" s="593">
        <f t="shared" si="249"/>
        <v>-16.008467826901985</v>
      </c>
      <c r="AG462" s="592">
        <f t="shared" si="250"/>
        <v>-5.8950142830352039</v>
      </c>
      <c r="AH462" s="593">
        <f t="shared" si="251"/>
        <v>-56.081731125814301</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5">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1.0021899779392764</v>
      </c>
      <c r="N463" s="585">
        <f t="shared" si="238"/>
        <v>-6.6120930490834076E-2</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-6.1769198325199079</v>
      </c>
      <c r="X463" s="590">
        <f t="shared" si="244"/>
        <v>-142.26179170632204</v>
      </c>
      <c r="Y463" s="593">
        <f t="shared" si="245"/>
        <v>37.738208293677957</v>
      </c>
      <c r="AA463" s="150">
        <f t="shared" si="246"/>
        <v>51883.5</v>
      </c>
      <c r="AB463" s="150">
        <f t="shared" si="247"/>
        <v>2691897572.25</v>
      </c>
      <c r="AD463" s="592">
        <f t="shared" si="248"/>
        <v>27.321292441368822</v>
      </c>
      <c r="AE463" s="593">
        <f t="shared" si="249"/>
        <v>-16.080584772097225</v>
      </c>
      <c r="AG463" s="592">
        <f t="shared" si="250"/>
        <v>-5.9337302092209878</v>
      </c>
      <c r="AH463" s="593">
        <f t="shared" si="251"/>
        <v>-55.920423350243169</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5">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1.0022152427878497</v>
      </c>
      <c r="N464" s="585">
        <f t="shared" si="238"/>
        <v>-6.6500542647228281E-2</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-6.2409431911271174</v>
      </c>
      <c r="X464" s="590">
        <f t="shared" si="244"/>
        <v>-142.53299017240727</v>
      </c>
      <c r="Y464" s="593">
        <f t="shared" si="245"/>
        <v>37.467009827592733</v>
      </c>
      <c r="AA464" s="150">
        <f t="shared" si="246"/>
        <v>52182.25</v>
      </c>
      <c r="AB464" s="150">
        <f t="shared" si="247"/>
        <v>2722987215.0625</v>
      </c>
      <c r="AD464" s="592">
        <f t="shared" si="248"/>
        <v>27.318067029153642</v>
      </c>
      <c r="AE464" s="593">
        <f t="shared" si="249"/>
        <v>-16.152739594009141</v>
      </c>
      <c r="AG464" s="592">
        <f t="shared" si="250"/>
        <v>-5.9721182879693613</v>
      </c>
      <c r="AH464" s="593">
        <f t="shared" si="251"/>
        <v>-55.759351466465674</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5">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1.002240652053747</v>
      </c>
      <c r="N465" s="585">
        <f t="shared" si="238"/>
        <v>-6.6880135610117658E-2</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-6.3047345263604893</v>
      </c>
      <c r="X465" s="590">
        <f t="shared" si="244"/>
        <v>-142.80383781267423</v>
      </c>
      <c r="Y465" s="593">
        <f t="shared" si="245"/>
        <v>37.196162187325768</v>
      </c>
      <c r="AA465" s="150">
        <f t="shared" si="246"/>
        <v>52481</v>
      </c>
      <c r="AB465" s="150">
        <f t="shared" si="247"/>
        <v>2754255361</v>
      </c>
      <c r="AD465" s="592">
        <f t="shared" si="248"/>
        <v>27.314826201231234</v>
      </c>
      <c r="AE465" s="593">
        <f t="shared" si="249"/>
        <v>-16.224930385357023</v>
      </c>
      <c r="AG465" s="592">
        <f t="shared" si="250"/>
        <v>-6.0101821152011183</v>
      </c>
      <c r="AH465" s="593">
        <f t="shared" si="251"/>
        <v>-55.598516905063413</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5">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1.0022667847574329</v>
      </c>
      <c r="N466" s="585">
        <f t="shared" si="238"/>
        <v>-6.7268285189062596E-2</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-6.3697302326959448</v>
      </c>
      <c r="X466" s="590">
        <f t="shared" si="244"/>
        <v>-143.08044142293173</v>
      </c>
      <c r="Y466" s="593">
        <f t="shared" si="245"/>
        <v>36.919558577068273</v>
      </c>
      <c r="AA466" s="150">
        <f t="shared" si="246"/>
        <v>52786.5</v>
      </c>
      <c r="AB466" s="150">
        <f t="shared" si="247"/>
        <v>2786414582.25</v>
      </c>
      <c r="AD466" s="592">
        <f t="shared" si="248"/>
        <v>27.311496233186908</v>
      </c>
      <c r="AE466" s="593">
        <f t="shared" si="249"/>
        <v>-16.298787516690421</v>
      </c>
      <c r="AG466" s="592">
        <f t="shared" si="250"/>
        <v>-6.04877432568275</v>
      </c>
      <c r="AH466" s="593">
        <f t="shared" si="251"/>
        <v>-55.43429529410021</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5">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1.0022930684548408</v>
      </c>
      <c r="N467" s="585">
        <f t="shared" si="238"/>
        <v>-6.7656414469149204E-2</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-6.4344893579042299</v>
      </c>
      <c r="X467" s="590">
        <f t="shared" si="244"/>
        <v>-143.35667658901508</v>
      </c>
      <c r="Y467" s="593">
        <f t="shared" si="245"/>
        <v>36.64332341098492</v>
      </c>
      <c r="AA467" s="150">
        <f t="shared" si="246"/>
        <v>53092</v>
      </c>
      <c r="AB467" s="150">
        <f t="shared" si="247"/>
        <v>2818760464</v>
      </c>
      <c r="AD467" s="592">
        <f t="shared" si="248"/>
        <v>27.308150197635385</v>
      </c>
      <c r="AE467" s="593">
        <f t="shared" si="249"/>
        <v>-16.37267835006412</v>
      </c>
      <c r="AG467" s="592">
        <f t="shared" si="250"/>
        <v>-6.0870348920147102</v>
      </c>
      <c r="AH467" s="593">
        <f t="shared" si="251"/>
        <v>-55.27032473322452</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5">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1.0023195031340926</v>
      </c>
      <c r="N468" s="585">
        <f t="shared" si="238"/>
        <v>-6.8044523335039978E-2</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-6.4990148720286456</v>
      </c>
      <c r="X468" s="590">
        <f t="shared" si="244"/>
        <v>-143.63254255017659</v>
      </c>
      <c r="Y468" s="593">
        <f t="shared" si="245"/>
        <v>36.367457449823405</v>
      </c>
      <c r="AA468" s="150">
        <f t="shared" si="246"/>
        <v>53397.5</v>
      </c>
      <c r="AB468" s="150">
        <f t="shared" si="247"/>
        <v>2851293006.25</v>
      </c>
      <c r="AD468" s="592">
        <f t="shared" si="248"/>
        <v>27.304788121956456</v>
      </c>
      <c r="AE468" s="593">
        <f t="shared" si="249"/>
        <v>-16.446600968184352</v>
      </c>
      <c r="AG468" s="592">
        <f t="shared" si="250"/>
        <v>-6.1249674794225131</v>
      </c>
      <c r="AH468" s="593">
        <f t="shared" si="251"/>
        <v>-55.106606608933937</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5">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1.0023460887832427</v>
      </c>
      <c r="N469" s="585">
        <f t="shared" si="238"/>
        <v>-6.8432611671434204E-2</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-6.5633096888011631</v>
      </c>
      <c r="X469" s="590">
        <f t="shared" si="244"/>
        <v>-143.90803857280258</v>
      </c>
      <c r="Y469" s="593">
        <f t="shared" si="245"/>
        <v>36.091961427197418</v>
      </c>
      <c r="AA469" s="150">
        <f t="shared" si="246"/>
        <v>53703</v>
      </c>
      <c r="AB469" s="150">
        <f t="shared" si="247"/>
        <v>2884012209</v>
      </c>
      <c r="AD469" s="592">
        <f t="shared" si="248"/>
        <v>27.301410034012903</v>
      </c>
      <c r="AE469" s="593">
        <f t="shared" si="249"/>
        <v>-16.520553492729153</v>
      </c>
      <c r="AG469" s="592">
        <f t="shared" si="250"/>
        <v>-6.1625756951073107</v>
      </c>
      <c r="AH469" s="593">
        <f t="shared" si="251"/>
        <v>-54.943142261459762</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5">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1.0023734617260551</v>
      </c>
      <c r="N470" s="585">
        <f t="shared" si="238"/>
        <v>-6.8829888573747694E-2</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-6.6288943335140251</v>
      </c>
      <c r="X470" s="590">
        <f t="shared" si="244"/>
        <v>-144.18968860400463</v>
      </c>
      <c r="Y470" s="593">
        <f t="shared" si="245"/>
        <v>35.81031139599537</v>
      </c>
      <c r="AA470" s="150">
        <f t="shared" si="246"/>
        <v>54015.75</v>
      </c>
      <c r="AB470" s="150">
        <f t="shared" si="247"/>
        <v>2917701248.0625</v>
      </c>
      <c r="AD470" s="592">
        <f t="shared" si="248"/>
        <v>27.297935221495123</v>
      </c>
      <c r="AE470" s="593">
        <f t="shared" si="249"/>
        <v>-16.596290086231051</v>
      </c>
      <c r="AG470" s="592">
        <f t="shared" si="250"/>
        <v>-6.2007441101890812</v>
      </c>
      <c r="AH470" s="593">
        <f t="shared" si="251"/>
        <v>-54.776062879311944</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5">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1.0024009928637505</v>
      </c>
      <c r="N471" s="585">
        <f t="shared" si="238"/>
        <v>-6.9227143716182299E-2</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-6.6942432059845682</v>
      </c>
      <c r="X471" s="590">
        <f t="shared" si="244"/>
        <v>-144.47094945938929</v>
      </c>
      <c r="Y471" s="593">
        <f t="shared" si="245"/>
        <v>35.529050540610712</v>
      </c>
      <c r="AA471" s="150">
        <f t="shared" si="246"/>
        <v>54328.5</v>
      </c>
      <c r="AB471" s="150">
        <f t="shared" si="247"/>
        <v>2951585912.25</v>
      </c>
      <c r="AD471" s="592">
        <f t="shared" si="248"/>
        <v>27.294443688289924</v>
      </c>
      <c r="AE471" s="593">
        <f t="shared" si="249"/>
        <v>-16.672054159282268</v>
      </c>
      <c r="AG471" s="592">
        <f t="shared" si="250"/>
        <v>-6.2385800448902078</v>
      </c>
      <c r="AH471" s="593">
        <f t="shared" si="251"/>
        <v>-54.609252160098976</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5">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1.0024286821832951</v>
      </c>
      <c r="N472" s="585">
        <f t="shared" si="238"/>
        <v>-6.9624376975153127E-2</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-6.7593592574818206</v>
      </c>
      <c r="X472" s="590">
        <f t="shared" si="244"/>
        <v>-144.75182043772358</v>
      </c>
      <c r="Y472" s="593">
        <f t="shared" si="245"/>
        <v>35.24817956227642</v>
      </c>
      <c r="AA472" s="150">
        <f t="shared" si="246"/>
        <v>54641.25</v>
      </c>
      <c r="AB472" s="150">
        <f t="shared" si="247"/>
        <v>2985666201.5625</v>
      </c>
      <c r="AD472" s="592">
        <f t="shared" si="248"/>
        <v>27.290935465777725</v>
      </c>
      <c r="AE472" s="593">
        <f t="shared" si="249"/>
        <v>-16.747843816762856</v>
      </c>
      <c r="AG472" s="592">
        <f t="shared" si="250"/>
        <v>-6.276087188585163</v>
      </c>
      <c r="AH472" s="593">
        <f t="shared" si="251"/>
        <v>-54.442711397339664</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5">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1.0024565296715808</v>
      </c>
      <c r="N473" s="585">
        <f t="shared" si="238"/>
        <v>-7.0021588227116488E-2</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-6.8242453830561853</v>
      </c>
      <c r="X473" s="590">
        <f t="shared" si="244"/>
        <v>-145.03230086590614</v>
      </c>
      <c r="Y473" s="593">
        <f t="shared" si="245"/>
        <v>34.967699134093863</v>
      </c>
      <c r="AA473" s="150">
        <f t="shared" si="246"/>
        <v>54954</v>
      </c>
      <c r="AB473" s="150">
        <f t="shared" si="247"/>
        <v>3019942116</v>
      </c>
      <c r="AD473" s="592">
        <f t="shared" si="248"/>
        <v>27.287410585812637</v>
      </c>
      <c r="AE473" s="593">
        <f t="shared" si="249"/>
        <v>-16.823657201891535</v>
      </c>
      <c r="AG473" s="592">
        <f t="shared" si="250"/>
        <v>-6.3132691723249916</v>
      </c>
      <c r="AH473" s="593">
        <f t="shared" si="251"/>
        <v>-54.276441837876078</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5">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1.0024851864025222</v>
      </c>
      <c r="N474" s="585">
        <f t="shared" si="238"/>
        <v>-7.0427984506808108E-2</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-6.8904006427608264</v>
      </c>
      <c r="X474" s="590">
        <f t="shared" si="244"/>
        <v>-145.31887833011322</v>
      </c>
      <c r="Y474" s="593">
        <f t="shared" si="245"/>
        <v>34.681121669886778</v>
      </c>
      <c r="AA474" s="150">
        <f t="shared" si="246"/>
        <v>55274</v>
      </c>
      <c r="AB474" s="150">
        <f t="shared" si="247"/>
        <v>3055215076</v>
      </c>
      <c r="AD474" s="592">
        <f t="shared" si="248"/>
        <v>27.283786786565422</v>
      </c>
      <c r="AE474" s="593">
        <f t="shared" si="249"/>
        <v>-16.90125071310289</v>
      </c>
      <c r="AG474" s="592">
        <f t="shared" si="250"/>
        <v>-6.3509802621801779</v>
      </c>
      <c r="AH474" s="593">
        <f t="shared" si="251"/>
        <v>-54.106599867190816</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5">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1.0025140086923663</v>
      </c>
      <c r="N475" s="585">
        <f t="shared" si="238"/>
        <v>-7.0834357485816346E-2</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-6.9563211503107638</v>
      </c>
      <c r="X475" s="590">
        <f t="shared" si="244"/>
        <v>-145.60504559003149</v>
      </c>
      <c r="Y475" s="593">
        <f t="shared" si="245"/>
        <v>34.394954409968506</v>
      </c>
      <c r="AA475" s="150">
        <f t="shared" si="246"/>
        <v>55594</v>
      </c>
      <c r="AB475" s="150">
        <f t="shared" si="247"/>
        <v>3090692836</v>
      </c>
      <c r="AD475" s="592">
        <f t="shared" si="248"/>
        <v>27.280145617557572</v>
      </c>
      <c r="AE475" s="593">
        <f t="shared" si="249"/>
        <v>-16.978865250486319</v>
      </c>
      <c r="AG475" s="592">
        <f t="shared" si="250"/>
        <v>-6.3883584512716309</v>
      </c>
      <c r="AH475" s="593">
        <f t="shared" si="251"/>
        <v>-53.93704431475156</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5">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1.0025429965268342</v>
      </c>
      <c r="N476" s="585">
        <f t="shared" si="238"/>
        <v>-7.1240707031940603E-2</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-7.0220098325769529</v>
      </c>
      <c r="X476" s="590">
        <f t="shared" si="244"/>
        <v>-145.89080201348989</v>
      </c>
      <c r="Y476" s="593">
        <f t="shared" si="245"/>
        <v>34.109197986510111</v>
      </c>
      <c r="AA476" s="150">
        <f t="shared" si="246"/>
        <v>55914</v>
      </c>
      <c r="AB476" s="150">
        <f t="shared" si="247"/>
        <v>3126375396</v>
      </c>
      <c r="AD476" s="592">
        <f t="shared" si="248"/>
        <v>27.276487114365793</v>
      </c>
      <c r="AE476" s="593">
        <f t="shared" si="249"/>
        <v>-17.056498943098827</v>
      </c>
      <c r="AG476" s="592">
        <f t="shared" si="250"/>
        <v>-6.425407447667749</v>
      </c>
      <c r="AH476" s="593">
        <f t="shared" si="251"/>
        <v>-53.767776370689809</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5">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1.0025721498915667</v>
      </c>
      <c r="N477" s="585">
        <f t="shared" si="238"/>
        <v>-7.1647033013026468E-2</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-7.0874695604465519</v>
      </c>
      <c r="X477" s="590">
        <f t="shared" si="244"/>
        <v>-146.17614699741037</v>
      </c>
      <c r="Y477" s="593">
        <f t="shared" si="245"/>
        <v>33.82385300258963</v>
      </c>
      <c r="AA477" s="150">
        <f t="shared" si="246"/>
        <v>56234</v>
      </c>
      <c r="AB477" s="150">
        <f t="shared" si="247"/>
        <v>3162262756</v>
      </c>
      <c r="AD477" s="592">
        <f t="shared" si="248"/>
        <v>27.272811313030608</v>
      </c>
      <c r="AE477" s="593">
        <f t="shared" si="249"/>
        <v>-17.134149957652266</v>
      </c>
      <c r="AG477" s="592">
        <f t="shared" si="250"/>
        <v>-6.4621309009204539</v>
      </c>
      <c r="AH477" s="593">
        <f t="shared" si="251"/>
        <v>-53.598797178130368</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5">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1.0026021579183688</v>
      </c>
      <c r="N478" s="585">
        <f t="shared" si="238"/>
        <v>-7.2062857721467893E-2</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-7.1542293726929982</v>
      </c>
      <c r="X478" s="590">
        <f t="shared" si="244"/>
        <v>-146.46775313794706</v>
      </c>
      <c r="Y478" s="593">
        <f t="shared" si="245"/>
        <v>33.532246862052943</v>
      </c>
      <c r="AA478" s="150">
        <f t="shared" si="246"/>
        <v>56561.5</v>
      </c>
      <c r="AB478" s="150">
        <f t="shared" si="247"/>
        <v>3199203282.25</v>
      </c>
      <c r="AD478" s="592">
        <f t="shared" si="248"/>
        <v>27.269031487151661</v>
      </c>
      <c r="AE478" s="593">
        <f t="shared" si="249"/>
        <v>-17.21363697891578</v>
      </c>
      <c r="AG478" s="592">
        <f t="shared" si="250"/>
        <v>-6.4993817309772002</v>
      </c>
      <c r="AH478" s="593">
        <f t="shared" si="251"/>
        <v>-53.426157662542401</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5">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1.0026323392949039</v>
      </c>
      <c r="N479" s="585">
        <f t="shared" si="238"/>
        <v>-7.2478657467376612E-2</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-7.2207552831582023</v>
      </c>
      <c r="X479" s="590">
        <f t="shared" si="244"/>
        <v>-146.75892714007495</v>
      </c>
      <c r="Y479" s="593">
        <f t="shared" si="245"/>
        <v>33.241072859925055</v>
      </c>
      <c r="AA479" s="150">
        <f t="shared" si="246"/>
        <v>56889</v>
      </c>
      <c r="AB479" s="150">
        <f t="shared" si="247"/>
        <v>3236358321</v>
      </c>
      <c r="AD479" s="592">
        <f t="shared" si="248"/>
        <v>27.265233620594188</v>
      </c>
      <c r="AE479" s="593">
        <f t="shared" si="249"/>
        <v>-17.293138374610855</v>
      </c>
      <c r="AG479" s="592">
        <f t="shared" si="250"/>
        <v>-6.5362991317962615</v>
      </c>
      <c r="AH479" s="593">
        <f t="shared" si="251"/>
        <v>-53.253822868426219</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5">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1.0026626940055181</v>
      </c>
      <c r="N480" s="585">
        <f t="shared" si="238"/>
        <v>-7.2894432109238641E-2</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-7.287050195749794</v>
      </c>
      <c r="X480" s="590">
        <f t="shared" si="244"/>
        <v>-147.04966844923968</v>
      </c>
      <c r="Y480" s="593">
        <f t="shared" si="245"/>
        <v>32.950331550760325</v>
      </c>
      <c r="AA480" s="150">
        <f t="shared" si="246"/>
        <v>57216.5</v>
      </c>
      <c r="AB480" s="150">
        <f t="shared" si="247"/>
        <v>3273727872.25</v>
      </c>
      <c r="AD480" s="592">
        <f t="shared" si="248"/>
        <v>27.261417753419529</v>
      </c>
      <c r="AE480" s="593">
        <f t="shared" si="249"/>
        <v>-17.372652295516772</v>
      </c>
      <c r="AG480" s="592">
        <f t="shared" si="250"/>
        <v>-6.5728868334071127</v>
      </c>
      <c r="AH480" s="593">
        <f t="shared" si="251"/>
        <v>-53.081793874559146</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5">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1.0026932220344691</v>
      </c>
      <c r="N481" s="585">
        <f t="shared" si="238"/>
        <v>-7.3310181505591723E-2</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-7.3531169585925626</v>
      </c>
      <c r="X481" s="590">
        <f t="shared" si="244"/>
        <v>-147.33997654098812</v>
      </c>
      <c r="Y481" s="593">
        <f t="shared" si="245"/>
        <v>32.660023459011882</v>
      </c>
      <c r="AA481" s="150">
        <f t="shared" si="246"/>
        <v>57544</v>
      </c>
      <c r="AB481" s="150">
        <f t="shared" si="247"/>
        <v>3311311936</v>
      </c>
      <c r="AD481" s="592">
        <f t="shared" si="248"/>
        <v>27.257583926143866</v>
      </c>
      <c r="AE481" s="593">
        <f t="shared" si="249"/>
        <v>-17.452176929455408</v>
      </c>
      <c r="AG481" s="592">
        <f t="shared" si="250"/>
        <v>-6.6091485070494915</v>
      </c>
      <c r="AH481" s="593">
        <f t="shared" si="251"/>
        <v>-52.910071712322548</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5">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1.0027246284795519</v>
      </c>
      <c r="N482" s="585">
        <f t="shared" si="238"/>
        <v>-7.3735425613724911E-2</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-7.4204635660688458</v>
      </c>
      <c r="X482" s="590">
        <f t="shared" si="244"/>
        <v>-147.63648418146553</v>
      </c>
      <c r="Y482" s="593">
        <f t="shared" si="245"/>
        <v>32.363515818534466</v>
      </c>
      <c r="AA482" s="150">
        <f t="shared" si="246"/>
        <v>57879</v>
      </c>
      <c r="AB482" s="150">
        <f t="shared" si="247"/>
        <v>3349978641</v>
      </c>
      <c r="AD482" s="592">
        <f t="shared" si="248"/>
        <v>27.253643762238639</v>
      </c>
      <c r="AE482" s="593">
        <f t="shared" si="249"/>
        <v>-17.533531970643995</v>
      </c>
      <c r="AG482" s="592">
        <f t="shared" si="250"/>
        <v>-6.6459070548135921</v>
      </c>
      <c r="AH482" s="593">
        <f t="shared" si="251"/>
        <v>-52.734735460163925</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5">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1.0027562162385102</v>
      </c>
      <c r="N483" s="585">
        <f t="shared" si="238"/>
        <v>-7.4160643007572691E-2</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-7.487577309898712</v>
      </c>
      <c r="X483" s="590">
        <f t="shared" si="244"/>
        <v>-147.93253751977988</v>
      </c>
      <c r="Y483" s="593">
        <f t="shared" si="245"/>
        <v>32.067462480220115</v>
      </c>
      <c r="AA483" s="150">
        <f t="shared" si="246"/>
        <v>58214</v>
      </c>
      <c r="AB483" s="150">
        <f t="shared" si="247"/>
        <v>3388869796</v>
      </c>
      <c r="AD483" s="592">
        <f t="shared" si="248"/>
        <v>27.249684893373729</v>
      </c>
      <c r="AE483" s="593">
        <f t="shared" si="249"/>
        <v>-17.614894499909294</v>
      </c>
      <c r="AG483" s="592">
        <f t="shared" si="250"/>
        <v>-6.682332058763393</v>
      </c>
      <c r="AH483" s="593">
        <f t="shared" si="251"/>
        <v>-52.559722289342972</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5">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1.0027879852942101</v>
      </c>
      <c r="N484" s="585">
        <f t="shared" si="238"/>
        <v>-7.4585833535899926E-2</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-7.5544610657651825</v>
      </c>
      <c r="X484" s="590">
        <f t="shared" si="244"/>
        <v>-148.22813608952097</v>
      </c>
      <c r="Y484" s="593">
        <f t="shared" si="245"/>
        <v>31.771863910479027</v>
      </c>
      <c r="AA484" s="150">
        <f t="shared" si="246"/>
        <v>58549</v>
      </c>
      <c r="AB484" s="150">
        <f t="shared" si="247"/>
        <v>3427985401</v>
      </c>
      <c r="AD484" s="592">
        <f t="shared" si="248"/>
        <v>27.245707364309744</v>
      </c>
      <c r="AE484" s="593">
        <f t="shared" si="249"/>
        <v>-17.69626269165655</v>
      </c>
      <c r="AG484" s="592">
        <f t="shared" si="250"/>
        <v>-6.7184272654407948</v>
      </c>
      <c r="AH484" s="593">
        <f t="shared" si="251"/>
        <v>-52.385033156165989</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5">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1.0028199356294212</v>
      </c>
      <c r="N485" s="585">
        <f t="shared" si="238"/>
        <v>-7.5010997047529379E-2</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-7.6211176539086081</v>
      </c>
      <c r="X485" s="590">
        <f t="shared" si="244"/>
        <v>-148.52327945533369</v>
      </c>
      <c r="Y485" s="593">
        <f t="shared" si="245"/>
        <v>31.476720544666307</v>
      </c>
      <c r="AA485" s="150">
        <f t="shared" si="246"/>
        <v>58884</v>
      </c>
      <c r="AB485" s="150">
        <f t="shared" si="247"/>
        <v>3467325456</v>
      </c>
      <c r="AD485" s="592">
        <f t="shared" si="248"/>
        <v>27.241711220252377</v>
      </c>
      <c r="AE485" s="593">
        <f t="shared" si="249"/>
        <v>-17.777634756679781</v>
      </c>
      <c r="AG485" s="592">
        <f t="shared" si="250"/>
        <v>-6.754196362425148</v>
      </c>
      <c r="AH485" s="593">
        <f t="shared" si="251"/>
        <v>-52.210668969250278</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5">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1.0028528367644123</v>
      </c>
      <c r="N486" s="585">
        <f t="shared" si="238"/>
        <v>-7.5446285567660615E-2</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-7.6891335598009256</v>
      </c>
      <c r="X486" s="590">
        <f t="shared" si="244"/>
        <v>-148.82499895886366</v>
      </c>
      <c r="Y486" s="593">
        <f t="shared" si="245"/>
        <v>31.175001041136341</v>
      </c>
      <c r="AA486" s="150">
        <f t="shared" si="246"/>
        <v>59227</v>
      </c>
      <c r="AB486" s="150">
        <f t="shared" si="247"/>
        <v>3507837529</v>
      </c>
      <c r="AD486" s="592">
        <f t="shared" si="248"/>
        <v>27.237600406447502</v>
      </c>
      <c r="AE486" s="593">
        <f t="shared" si="249"/>
        <v>-17.86095221696727</v>
      </c>
      <c r="AG486" s="592">
        <f t="shared" si="250"/>
        <v>-6.7904855531110417</v>
      </c>
      <c r="AH486" s="593">
        <f t="shared" si="251"/>
        <v>-52.032478440101798</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5">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1.0028859279035551</v>
      </c>
      <c r="N487" s="585">
        <f t="shared" si="238"/>
        <v>-7.588154544477238E-2</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-7.756917129900768</v>
      </c>
      <c r="X487" s="590">
        <f t="shared" si="244"/>
        <v>-149.12624043186693</v>
      </c>
      <c r="Y487" s="593">
        <f t="shared" si="245"/>
        <v>30.873759568133067</v>
      </c>
      <c r="AA487" s="150">
        <f t="shared" si="246"/>
        <v>59570</v>
      </c>
      <c r="AB487" s="150">
        <f t="shared" si="247"/>
        <v>3548584900</v>
      </c>
      <c r="AD487" s="592">
        <f t="shared" si="248"/>
        <v>27.233470175248996</v>
      </c>
      <c r="AE487" s="593">
        <f t="shared" si="249"/>
        <v>-17.944270054330424</v>
      </c>
      <c r="AG487" s="592">
        <f t="shared" si="250"/>
        <v>-6.8264405127186354</v>
      </c>
      <c r="AH487" s="593">
        <f t="shared" si="251"/>
        <v>-51.85463034123817</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5">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1.0029192090280421</v>
      </c>
      <c r="N488" s="585">
        <f t="shared" si="238"/>
        <v>-7.6316776516787102E-2</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-7.8244712192448853</v>
      </c>
      <c r="X488" s="590">
        <f t="shared" si="244"/>
        <v>-149.42700350524217</v>
      </c>
      <c r="Y488" s="593">
        <f t="shared" si="245"/>
        <v>30.572996494757831</v>
      </c>
      <c r="AA488" s="150">
        <f t="shared" si="246"/>
        <v>59913</v>
      </c>
      <c r="AB488" s="150">
        <f t="shared" si="247"/>
        <v>3589567569</v>
      </c>
      <c r="AD488" s="592">
        <f t="shared" si="248"/>
        <v>27.229320576550315</v>
      </c>
      <c r="AE488" s="593">
        <f t="shared" si="249"/>
        <v>-18.027586460657712</v>
      </c>
      <c r="AG488" s="592">
        <f t="shared" si="250"/>
        <v>-6.8620650154422647</v>
      </c>
      <c r="AH488" s="593">
        <f t="shared" si="251"/>
        <v>-51.677125498971641</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5">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1.0029526801189601</v>
      </c>
      <c r="N489" s="585">
        <f t="shared" si="238"/>
        <v>-7.6751978621692335E-2</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-7.891798627580533</v>
      </c>
      <c r="X489" s="590">
        <f t="shared" si="244"/>
        <v>-149.72728784201769</v>
      </c>
      <c r="Y489" s="593">
        <f t="shared" si="245"/>
        <v>30.272712157982312</v>
      </c>
      <c r="AA489" s="150">
        <f t="shared" si="246"/>
        <v>60256</v>
      </c>
      <c r="AB489" s="150">
        <f t="shared" si="247"/>
        <v>3630785536</v>
      </c>
      <c r="AD489" s="592">
        <f t="shared" si="248"/>
        <v>27.225151660681959</v>
      </c>
      <c r="AE489" s="593">
        <f t="shared" si="249"/>
        <v>-18.110899663747073</v>
      </c>
      <c r="AG489" s="592">
        <f t="shared" si="250"/>
        <v>-6.8973627760911338</v>
      </c>
      <c r="AH489" s="593">
        <f t="shared" si="251"/>
        <v>-51.499964691456732</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5">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1.0029871285210363</v>
      </c>
      <c r="N490" s="585">
        <f t="shared" si="238"/>
        <v>-7.7197301055634465E-2</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-7.960464545654987</v>
      </c>
      <c r="X490" s="590">
        <f t="shared" si="244"/>
        <v>-150.034079961125</v>
      </c>
      <c r="Y490" s="593">
        <f t="shared" si="245"/>
        <v>29.965920038874998</v>
      </c>
      <c r="AA490" s="150">
        <f t="shared" si="246"/>
        <v>60607</v>
      </c>
      <c r="AB490" s="150">
        <f t="shared" si="247"/>
        <v>3673208449</v>
      </c>
      <c r="AD490" s="592">
        <f t="shared" si="248"/>
        <v>27.220865565337071</v>
      </c>
      <c r="AE490" s="593">
        <f t="shared" si="249"/>
        <v>-18.196150903482867</v>
      </c>
      <c r="AG490" s="592">
        <f t="shared" si="250"/>
        <v>-6.933149360677076</v>
      </c>
      <c r="AH490" s="593">
        <f t="shared" si="251"/>
        <v>-51.319028780356007</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5">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1.0030217758138806</v>
      </c>
      <c r="N491" s="585">
        <f t="shared" si="238"/>
        <v>-7.7642592812411038E-2</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-8.0288988458527921</v>
      </c>
      <c r="X491" s="590">
        <f t="shared" si="244"/>
        <v>-150.34037013844238</v>
      </c>
      <c r="Y491" s="593">
        <f t="shared" si="245"/>
        <v>29.659629861557619</v>
      </c>
      <c r="AA491" s="150">
        <f t="shared" si="246"/>
        <v>60958</v>
      </c>
      <c r="AB491" s="150">
        <f t="shared" si="247"/>
        <v>3715877764</v>
      </c>
      <c r="AD491" s="592">
        <f t="shared" si="248"/>
        <v>27.216559349212183</v>
      </c>
      <c r="AE491" s="593">
        <f t="shared" si="249"/>
        <v>-18.281395144981399</v>
      </c>
      <c r="AG491" s="592">
        <f t="shared" si="250"/>
        <v>-6.9686014697940255</v>
      </c>
      <c r="AH491" s="593">
        <f t="shared" si="251"/>
        <v>-51.138454638061759</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5">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1.0030566219768831</v>
      </c>
      <c r="N492" s="585">
        <f t="shared" si="238"/>
        <v>-7.8087853718621064E-2</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-8.0971043571598056</v>
      </c>
      <c r="X492" s="590">
        <f t="shared" si="244"/>
        <v>-150.64615811420046</v>
      </c>
      <c r="Y492" s="593">
        <f t="shared" si="245"/>
        <v>29.35384188579954</v>
      </c>
      <c r="AA492" s="150">
        <f t="shared" si="246"/>
        <v>61309</v>
      </c>
      <c r="AB492" s="150">
        <f t="shared" si="247"/>
        <v>3758793481</v>
      </c>
      <c r="AD492" s="592">
        <f t="shared" si="248"/>
        <v>27.212233067585746</v>
      </c>
      <c r="AE492" s="593">
        <f t="shared" si="249"/>
        <v>-18.366630599834615</v>
      </c>
      <c r="AG492" s="592">
        <f t="shared" si="250"/>
        <v>-7.0037228993613336</v>
      </c>
      <c r="AH492" s="593">
        <f t="shared" si="251"/>
        <v>-50.958242948345351</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5">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1.0030916669893182</v>
      </c>
      <c r="N493" s="585">
        <f t="shared" si="238"/>
        <v>-7.8533083600936443E-2</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-8.1650838535740338</v>
      </c>
      <c r="X493" s="590">
        <f t="shared" si="244"/>
        <v>-150.9514436617558</v>
      </c>
      <c r="Y493" s="593">
        <f t="shared" si="245"/>
        <v>29.048556338244197</v>
      </c>
      <c r="AA493" s="150">
        <f t="shared" si="246"/>
        <v>61660</v>
      </c>
      <c r="AB493" s="150">
        <f t="shared" si="247"/>
        <v>3801955600</v>
      </c>
      <c r="AD493" s="592">
        <f t="shared" si="248"/>
        <v>27.207886776164131</v>
      </c>
      <c r="AE493" s="593">
        <f t="shared" si="249"/>
        <v>-18.451855515020902</v>
      </c>
      <c r="AG493" s="592">
        <f t="shared" si="250"/>
        <v>-7.0385173855953829</v>
      </c>
      <c r="AH493" s="593">
        <f t="shared" si="251"/>
        <v>-50.778394346476837</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5">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1.0031277164261048</v>
      </c>
      <c r="N494" s="585">
        <f t="shared" si="238"/>
        <v>-7.8988428899694471E-2</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-8.2343817747315189</v>
      </c>
      <c r="X494" s="590">
        <f t="shared" si="244"/>
        <v>-151.26316734668626</v>
      </c>
      <c r="Y494" s="593">
        <f t="shared" si="245"/>
        <v>28.736832653313741</v>
      </c>
      <c r="AA494" s="150">
        <f t="shared" si="246"/>
        <v>62019</v>
      </c>
      <c r="AB494" s="150">
        <f t="shared" si="247"/>
        <v>3846356361</v>
      </c>
      <c r="AD494" s="592">
        <f t="shared" si="248"/>
        <v>27.203420783380395</v>
      </c>
      <c r="AE494" s="593">
        <f t="shared" si="249"/>
        <v>-18.539010184613829</v>
      </c>
      <c r="AG494" s="592">
        <f t="shared" si="250"/>
        <v>-7.0737705357933613</v>
      </c>
      <c r="AH494" s="593">
        <f t="shared" si="251"/>
        <v>-50.59482283897291</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5">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1.0031639738357576</v>
      </c>
      <c r="N495" s="585">
        <f t="shared" si="238"/>
        <v>-7.9443741377711596E-2</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-8.3034489604162918</v>
      </c>
      <c r="X495" s="590">
        <f t="shared" si="244"/>
        <v>-151.57436506399486</v>
      </c>
      <c r="Y495" s="593">
        <f t="shared" si="245"/>
        <v>28.425634936005139</v>
      </c>
      <c r="AA495" s="150">
        <f t="shared" si="246"/>
        <v>62378</v>
      </c>
      <c r="AB495" s="150">
        <f t="shared" si="247"/>
        <v>3891014884</v>
      </c>
      <c r="AD495" s="592">
        <f t="shared" si="248"/>
        <v>27.198933977476042</v>
      </c>
      <c r="AE495" s="593">
        <f t="shared" si="249"/>
        <v>-18.626150228509573</v>
      </c>
      <c r="AG495" s="592">
        <f t="shared" si="250"/>
        <v>-7.1086893897037182</v>
      </c>
      <c r="AH495" s="593">
        <f t="shared" si="251"/>
        <v>-50.41163235226864</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5">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1.0032004391957272</v>
      </c>
      <c r="N496" s="585">
        <f t="shared" si="238"/>
        <v>-7.9899020849775529E-2</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-8.3722882086779649</v>
      </c>
      <c r="X496" s="590">
        <f t="shared" si="244"/>
        <v>-151.88503667539987</v>
      </c>
      <c r="Y496" s="593">
        <f t="shared" si="245"/>
        <v>28.114963324600126</v>
      </c>
      <c r="AA496" s="150">
        <f t="shared" si="246"/>
        <v>62737</v>
      </c>
      <c r="AB496" s="150">
        <f t="shared" si="247"/>
        <v>3935931169</v>
      </c>
      <c r="AD496" s="592">
        <f t="shared" si="248"/>
        <v>27.194426419366099</v>
      </c>
      <c r="AE496" s="593">
        <f t="shared" si="249"/>
        <v>-18.713273880016004</v>
      </c>
      <c r="AG496" s="592">
        <f t="shared" si="250"/>
        <v>-7.1432777592590213</v>
      </c>
      <c r="AH496" s="593">
        <f t="shared" si="251"/>
        <v>-50.228823415206307</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5">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1.0032371124833379</v>
      </c>
      <c r="N497" s="585">
        <f t="shared" si="238"/>
        <v>-8.0354267130755566E-2</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-8.4409022630196375</v>
      </c>
      <c r="X497" s="590">
        <f t="shared" si="244"/>
        <v>-152.19518207665118</v>
      </c>
      <c r="Y497" s="593">
        <f t="shared" si="245"/>
        <v>27.804817923348821</v>
      </c>
      <c r="AA497" s="150">
        <f t="shared" si="246"/>
        <v>63096</v>
      </c>
      <c r="AB497" s="150">
        <f t="shared" si="247"/>
        <v>3981105216</v>
      </c>
      <c r="AD497" s="592">
        <f t="shared" si="248"/>
        <v>27.189898170383159</v>
      </c>
      <c r="AE497" s="593">
        <f t="shared" si="249"/>
        <v>-18.800379407270501</v>
      </c>
      <c r="AG497" s="592">
        <f t="shared" si="250"/>
        <v>-7.1775393964681342</v>
      </c>
      <c r="AH497" s="593">
        <f t="shared" si="251"/>
        <v>-50.04639650791529</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5">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1.0032748436676775</v>
      </c>
      <c r="N498" s="585">
        <f t="shared" si="238"/>
        <v>-8.0819940662617495E-2</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-8.510862891483665</v>
      </c>
      <c r="X498" s="590">
        <f t="shared" si="244"/>
        <v>-152.51191021319016</v>
      </c>
      <c r="Y498" s="593">
        <f t="shared" si="245"/>
        <v>27.488089786809837</v>
      </c>
      <c r="AA498" s="150">
        <f t="shared" si="246"/>
        <v>63463.25</v>
      </c>
      <c r="AB498" s="150">
        <f t="shared" si="247"/>
        <v>4027584100.5625</v>
      </c>
      <c r="AD498" s="592">
        <f t="shared" si="248"/>
        <v>27.185244514776208</v>
      </c>
      <c r="AE498" s="593">
        <f t="shared" si="249"/>
        <v>-18.889466139247858</v>
      </c>
      <c r="AG498" s="592">
        <f t="shared" si="250"/>
        <v>-7.2122541525245643</v>
      </c>
      <c r="AH498" s="593">
        <f t="shared" si="251"/>
        <v>-49.860173088947541</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5">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1.0033127923976204</v>
      </c>
      <c r="N499" s="585">
        <f t="shared" si="238"/>
        <v>-8.1285579068708286E-2</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-8.5805934959247505</v>
      </c>
      <c r="X499" s="590">
        <f t="shared" si="244"/>
        <v>-152.82808756255784</v>
      </c>
      <c r="Y499" s="593">
        <f t="shared" si="245"/>
        <v>27.17191243744216</v>
      </c>
      <c r="AA499" s="150">
        <f t="shared" si="246"/>
        <v>63830.5</v>
      </c>
      <c r="AB499" s="150">
        <f t="shared" si="247"/>
        <v>4074332730.25</v>
      </c>
      <c r="AD499" s="592">
        <f t="shared" si="248"/>
        <v>27.180569337525927</v>
      </c>
      <c r="AE499" s="593">
        <f t="shared" si="249"/>
        <v>-18.978530345730132</v>
      </c>
      <c r="AG499" s="592">
        <f t="shared" si="250"/>
        <v>-7.2466347432942495</v>
      </c>
      <c r="AH499" s="593">
        <f t="shared" si="251"/>
        <v>-49.67435032477929</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5">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1.0033509586484823</v>
      </c>
      <c r="N500" s="585">
        <f t="shared" si="238"/>
        <v>-8.1751182151106411E-2</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-8.6500968446863844</v>
      </c>
      <c r="X500" s="590">
        <f t="shared" si="244"/>
        <v>-153.14371412019804</v>
      </c>
      <c r="Y500" s="593">
        <f t="shared" si="245"/>
        <v>26.856285879801959</v>
      </c>
      <c r="AA500" s="150">
        <f t="shared" si="246"/>
        <v>64197.75</v>
      </c>
      <c r="AB500" s="150">
        <f t="shared" si="247"/>
        <v>4121351105.0625</v>
      </c>
      <c r="AD500" s="592">
        <f t="shared" si="248"/>
        <v>27.175872705571258</v>
      </c>
      <c r="AE500" s="593">
        <f t="shared" si="249"/>
        <v>-19.067570280045512</v>
      </c>
      <c r="AG500" s="592">
        <f t="shared" si="250"/>
        <v>-7.2806849989777858</v>
      </c>
      <c r="AH500" s="593">
        <f t="shared" si="251"/>
        <v>-49.488928577851027</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5">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1.0033893423954414</v>
      </c>
      <c r="N501" s="585">
        <f t="shared" si="238"/>
        <v>-8.2216749711981618E-2</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-8.7193756519919443</v>
      </c>
      <c r="X501" s="590">
        <f t="shared" si="244"/>
        <v>-153.45878991648422</v>
      </c>
      <c r="Y501" s="593">
        <f t="shared" si="245"/>
        <v>26.541210083515779</v>
      </c>
      <c r="AA501" s="150">
        <f t="shared" si="246"/>
        <v>64565</v>
      </c>
      <c r="AB501" s="150">
        <f t="shared" si="247"/>
        <v>4168639225</v>
      </c>
      <c r="AD501" s="592">
        <f t="shared" si="248"/>
        <v>27.171154686258081</v>
      </c>
      <c r="AE501" s="593">
        <f t="shared" si="249"/>
        <v>-19.156584229862251</v>
      </c>
      <c r="AG501" s="592">
        <f t="shared" si="250"/>
        <v>-7.3144086895587188</v>
      </c>
      <c r="AH501" s="593">
        <f t="shared" si="251"/>
        <v>-49.303908161685513</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5">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1.0034288659680315</v>
      </c>
      <c r="N502" s="585">
        <f t="shared" si="238"/>
        <v>-8.2693372753110117E-2</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-8.7900752264649231</v>
      </c>
      <c r="X502" s="590">
        <f t="shared" si="244"/>
        <v>-153.78080209087807</v>
      </c>
      <c r="Y502" s="593">
        <f t="shared" si="245"/>
        <v>26.219197909121931</v>
      </c>
      <c r="AA502" s="150">
        <f t="shared" si="246"/>
        <v>64941</v>
      </c>
      <c r="AB502" s="150">
        <f t="shared" si="247"/>
        <v>4217333481</v>
      </c>
      <c r="AD502" s="592">
        <f t="shared" si="248"/>
        <v>27.166302169639998</v>
      </c>
      <c r="AE502" s="593">
        <f t="shared" si="249"/>
        <v>-19.247690328688346</v>
      </c>
      <c r="AG502" s="592">
        <f t="shared" si="250"/>
        <v>-7.3486014178694772</v>
      </c>
      <c r="AH502" s="593">
        <f t="shared" si="251"/>
        <v>-49.114895563503083</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5">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1.0034686174710921</v>
      </c>
      <c r="N503" s="585">
        <f t="shared" si="238"/>
        <v>-8.3169958140514463E-2</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-8.8605450221196396</v>
      </c>
      <c r="X503" s="590">
        <f t="shared" si="244"/>
        <v>-154.10223712084911</v>
      </c>
      <c r="Y503" s="593">
        <f t="shared" si="245"/>
        <v>25.897762879150889</v>
      </c>
      <c r="AA503" s="150">
        <f t="shared" si="246"/>
        <v>65317</v>
      </c>
      <c r="AB503" s="150">
        <f t="shared" si="247"/>
        <v>4266310489</v>
      </c>
      <c r="AD503" s="592">
        <f t="shared" si="248"/>
        <v>27.161427378508343</v>
      </c>
      <c r="AE503" s="593">
        <f t="shared" si="249"/>
        <v>-19.338765664016154</v>
      </c>
      <c r="AG503" s="592">
        <f t="shared" si="250"/>
        <v>-7.3824596441449444</v>
      </c>
      <c r="AH503" s="593">
        <f t="shared" si="251"/>
        <v>-48.926304160431378</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5">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1.0035085968775366</v>
      </c>
      <c r="N504" s="585">
        <f t="shared" si="238"/>
        <v>-8.364650566218515E-2</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-8.9307877840456822</v>
      </c>
      <c r="X504" s="590">
        <f t="shared" si="244"/>
        <v>-154.42309514907646</v>
      </c>
      <c r="Y504" s="593">
        <f t="shared" si="245"/>
        <v>25.57690485092354</v>
      </c>
      <c r="AA504" s="150">
        <f t="shared" si="246"/>
        <v>65693</v>
      </c>
      <c r="AB504" s="150">
        <f t="shared" si="247"/>
        <v>4315570249</v>
      </c>
      <c r="AD504" s="592">
        <f t="shared" si="248"/>
        <v>27.156530386387775</v>
      </c>
      <c r="AE504" s="593">
        <f t="shared" si="249"/>
        <v>-19.429808504385107</v>
      </c>
      <c r="AG504" s="592">
        <f t="shared" si="250"/>
        <v>-7.4159872263450577</v>
      </c>
      <c r="AH504" s="593">
        <f t="shared" si="251"/>
        <v>-48.738134136398571</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5">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1.0035488041601273</v>
      </c>
      <c r="N505" s="585">
        <f t="shared" si="238"/>
        <v>-8.4123015106215102E-2</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-9.0008062034906509</v>
      </c>
      <c r="X505" s="590">
        <f t="shared" si="244"/>
        <v>-154.74337635413809</v>
      </c>
      <c r="Y505" s="593">
        <f t="shared" si="245"/>
        <v>25.256623645861907</v>
      </c>
      <c r="AA505" s="150">
        <f t="shared" si="246"/>
        <v>66069</v>
      </c>
      <c r="AB505" s="150">
        <f t="shared" si="247"/>
        <v>4365112761</v>
      </c>
      <c r="AD505" s="592">
        <f t="shared" si="248"/>
        <v>27.151611267199737</v>
      </c>
      <c r="AE505" s="593">
        <f t="shared" si="249"/>
        <v>-19.520817152337923</v>
      </c>
      <c r="AG505" s="592">
        <f t="shared" si="250"/>
        <v>-7.449187961692429</v>
      </c>
      <c r="AH505" s="593">
        <f t="shared" si="251"/>
        <v>-48.550385626108735</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5">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1.0035901829812421</v>
      </c>
      <c r="N506" s="585">
        <f t="shared" si="238"/>
        <v>-8.4610573895238392E-2</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-9.0722245590384283</v>
      </c>
      <c r="X506" s="590">
        <f t="shared" si="244"/>
        <v>-155.07051402056135</v>
      </c>
      <c r="Y506" s="593">
        <f t="shared" si="245"/>
        <v>24.929485979438653</v>
      </c>
      <c r="AA506" s="150">
        <f t="shared" si="246"/>
        <v>66453.75</v>
      </c>
      <c r="AB506" s="150">
        <f t="shared" si="247"/>
        <v>4416100889.0625</v>
      </c>
      <c r="AD506" s="592">
        <f t="shared" si="248"/>
        <v>27.146554845901086</v>
      </c>
      <c r="AE506" s="593">
        <f t="shared" si="249"/>
        <v>-19.613906556449702</v>
      </c>
      <c r="AG506" s="592">
        <f t="shared" si="250"/>
        <v>-7.4828268748739308</v>
      </c>
      <c r="AH506" s="593">
        <f t="shared" si="251"/>
        <v>-48.358704399940407</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5">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1.0036318003496603</v>
      </c>
      <c r="N507" s="585">
        <f t="shared" si="238"/>
        <v>-8.5098092365167688E-2</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-9.1434135436486379</v>
      </c>
      <c r="X507" s="590">
        <f t="shared" si="244"/>
        <v>-155.39704819545264</v>
      </c>
      <c r="Y507" s="593">
        <f t="shared" si="245"/>
        <v>24.602951804547359</v>
      </c>
      <c r="AA507" s="150">
        <f t="shared" si="246"/>
        <v>66838.5</v>
      </c>
      <c r="AB507" s="150">
        <f t="shared" si="247"/>
        <v>4467385082.25</v>
      </c>
      <c r="AD507" s="592">
        <f t="shared" si="248"/>
        <v>27.141475413528507</v>
      </c>
      <c r="AE507" s="593">
        <f t="shared" si="249"/>
        <v>-19.706956667441393</v>
      </c>
      <c r="AG507" s="592">
        <f t="shared" si="250"/>
        <v>-7.5161314071698619</v>
      </c>
      <c r="AH507" s="593">
        <f t="shared" si="251"/>
        <v>-48.167464666266916</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5">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1.0036736562357074</v>
      </c>
      <c r="N508" s="585">
        <f t="shared" si="238"/>
        <v>-8.558557028929184E-2</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-9.2143758742964756</v>
      </c>
      <c r="X508" s="590">
        <f t="shared" si="244"/>
        <v>-155.72297918294683</v>
      </c>
      <c r="Y508" s="593">
        <f t="shared" si="245"/>
        <v>24.27702081705317</v>
      </c>
      <c r="AA508" s="150">
        <f t="shared" si="246"/>
        <v>67223.25</v>
      </c>
      <c r="AB508" s="150">
        <f t="shared" si="247"/>
        <v>4518965340.5625</v>
      </c>
      <c r="AD508" s="592">
        <f t="shared" si="248"/>
        <v>27.136373050498964</v>
      </c>
      <c r="AE508" s="593">
        <f t="shared" si="249"/>
        <v>-19.799965771586411</v>
      </c>
      <c r="AG508" s="592">
        <f t="shared" si="250"/>
        <v>-7.5491054378531697</v>
      </c>
      <c r="AH508" s="593">
        <f t="shared" si="251"/>
        <v>-47.976666416325642</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5">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1.0037157506095444</v>
      </c>
      <c r="N509" s="585">
        <f t="shared" si="238"/>
        <v>-8.6073007441014399E-2</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-9.2851142145425882</v>
      </c>
      <c r="X509" s="590">
        <f t="shared" si="244"/>
        <v>-156.04830732391</v>
      </c>
      <c r="Y509" s="593">
        <f t="shared" si="245"/>
        <v>23.951692676090005</v>
      </c>
      <c r="AA509" s="150">
        <f t="shared" si="246"/>
        <v>67608</v>
      </c>
      <c r="AB509" s="150">
        <f t="shared" si="247"/>
        <v>4570841664</v>
      </c>
      <c r="AD509" s="592">
        <f t="shared" si="248"/>
        <v>27.131247837613945</v>
      </c>
      <c r="AE509" s="593">
        <f t="shared" si="249"/>
        <v>-19.892932188790407</v>
      </c>
      <c r="AG509" s="592">
        <f t="shared" si="250"/>
        <v>-7.5817527850423101</v>
      </c>
      <c r="AH509" s="593">
        <f t="shared" si="251"/>
        <v>-47.786309592006752</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5">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1.0037590765368181</v>
      </c>
      <c r="N510" s="585">
        <f t="shared" si="238"/>
        <v>-8.6571804180889375E-2</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-9.3572780663930022</v>
      </c>
      <c r="X510" s="590">
        <f t="shared" si="244"/>
        <v>-156.38062170944082</v>
      </c>
      <c r="Y510" s="593">
        <f t="shared" si="245"/>
        <v>23.619378290559183</v>
      </c>
      <c r="AA510" s="150">
        <f t="shared" si="246"/>
        <v>68001.75</v>
      </c>
      <c r="AB510" s="150">
        <f t="shared" si="247"/>
        <v>4624238003.0625</v>
      </c>
      <c r="AD510" s="592">
        <f t="shared" si="248"/>
        <v>27.125979163554032</v>
      </c>
      <c r="AE510" s="593">
        <f t="shared" si="249"/>
        <v>-19.988027343958834</v>
      </c>
      <c r="AG510" s="592">
        <f t="shared" si="250"/>
        <v>-7.6148294985397849</v>
      </c>
      <c r="AH510" s="593">
        <f t="shared" si="251"/>
        <v>-47.591956900221703</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5">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1.0038026521759371</v>
      </c>
      <c r="N511" s="585">
        <f t="shared" si="238"/>
        <v>-8.707055773874893E-2</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-9.4292128050202724</v>
      </c>
      <c r="X511" s="590">
        <f t="shared" si="244"/>
        <v>-156.71230555265311</v>
      </c>
      <c r="Y511" s="593">
        <f t="shared" si="245"/>
        <v>23.287694447346894</v>
      </c>
      <c r="AA511" s="150">
        <f t="shared" si="246"/>
        <v>68395.5</v>
      </c>
      <c r="AB511" s="150">
        <f t="shared" si="247"/>
        <v>4677944420.25</v>
      </c>
      <c r="AD511" s="592">
        <f t="shared" si="248"/>
        <v>27.120686730550403</v>
      </c>
      <c r="AE511" s="593">
        <f t="shared" si="249"/>
        <v>-20.08307433565308</v>
      </c>
      <c r="AG511" s="592">
        <f t="shared" si="250"/>
        <v>-7.6475719668731434</v>
      </c>
      <c r="AH511" s="593">
        <f t="shared" si="251"/>
        <v>-47.398066250374988</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5">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1.0038464774943818</v>
      </c>
      <c r="N512" s="585">
        <f t="shared" si="238"/>
        <v>-8.7569267872097734E-2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-9.5009211200514159</v>
      </c>
      <c r="X512" s="590">
        <f t="shared" si="244"/>
        <v>-157.04335933422087</v>
      </c>
      <c r="Y512" s="593">
        <f t="shared" si="245"/>
        <v>22.956640665779133</v>
      </c>
      <c r="AA512" s="150">
        <f t="shared" si="246"/>
        <v>68789.25</v>
      </c>
      <c r="AB512" s="150">
        <f t="shared" si="247"/>
        <v>4731960915.5625</v>
      </c>
      <c r="AD512" s="592">
        <f t="shared" si="248"/>
        <v>27.115370626382486</v>
      </c>
      <c r="AE512" s="593">
        <f t="shared" si="249"/>
        <v>-20.178071467069476</v>
      </c>
      <c r="AG512" s="592">
        <f t="shared" si="250"/>
        <v>-7.6799840917302209</v>
      </c>
      <c r="AH512" s="593">
        <f t="shared" si="251"/>
        <v>-47.204637426780714</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5">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1.003890552459453</v>
      </c>
      <c r="N513" s="585">
        <f t="shared" si="238"/>
        <v>-8.8067934338569062E-2</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-9.5724056481333228</v>
      </c>
      <c r="X513" s="590">
        <f t="shared" si="244"/>
        <v>-157.37378357232686</v>
      </c>
      <c r="Y513" s="593">
        <f t="shared" si="245"/>
        <v>22.626216427673143</v>
      </c>
      <c r="AA513" s="150">
        <f t="shared" si="246"/>
        <v>69183</v>
      </c>
      <c r="AB513" s="150">
        <f t="shared" si="247"/>
        <v>4786287489</v>
      </c>
      <c r="AD513" s="592">
        <f t="shared" si="248"/>
        <v>27.110030939200648</v>
      </c>
      <c r="AE513" s="593">
        <f t="shared" si="249"/>
        <v>-20.273017074723459</v>
      </c>
      <c r="AG513" s="592">
        <f t="shared" si="250"/>
        <v>-7.7120697131686224</v>
      </c>
      <c r="AH513" s="593">
        <f t="shared" si="251"/>
        <v>-47.011670164350157</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5">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1.0039359213146719</v>
      </c>
      <c r="N514" s="585">
        <f t="shared" si="238"/>
        <v>-8.8578270038863996E-2</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-9.6453404582004545</v>
      </c>
      <c r="X514" s="590">
        <f t="shared" si="244"/>
        <v>-157.71131883597087</v>
      </c>
      <c r="Y514" s="593">
        <f t="shared" si="245"/>
        <v>22.288681164029128</v>
      </c>
      <c r="AA514" s="150">
        <f t="shared" si="246"/>
        <v>69586</v>
      </c>
      <c r="AB514" s="150">
        <f t="shared" si="247"/>
        <v>4842211396</v>
      </c>
      <c r="AD514" s="592">
        <f t="shared" si="248"/>
        <v>27.104541483579077</v>
      </c>
      <c r="AE514" s="593">
        <f t="shared" si="249"/>
        <v>-20.370138095093484</v>
      </c>
      <c r="AG514" s="592">
        <f t="shared" si="250"/>
        <v>-7.7445749374206132</v>
      </c>
      <c r="AH514" s="593">
        <f t="shared" si="251"/>
        <v>-46.814647328478088</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5">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1.0039815516138284</v>
      </c>
      <c r="N515" s="585">
        <f t="shared" si="238"/>
        <v>-8.9088559483208152E-2</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-9.7180462678809842</v>
      </c>
      <c r="X515" s="590">
        <f t="shared" si="244"/>
        <v>-158.04819584598999</v>
      </c>
      <c r="Y515" s="593">
        <f t="shared" si="245"/>
        <v>21.951804154010006</v>
      </c>
      <c r="AA515" s="150">
        <f t="shared" si="246"/>
        <v>69989</v>
      </c>
      <c r="AB515" s="150">
        <f t="shared" si="247"/>
        <v>4898460121</v>
      </c>
      <c r="AD515" s="592">
        <f t="shared" si="248"/>
        <v>27.099027511890622</v>
      </c>
      <c r="AE515" s="593">
        <f t="shared" si="249"/>
        <v>-20.467201719774113</v>
      </c>
      <c r="AG515" s="592">
        <f t="shared" si="250"/>
        <v>-7.7767460850340484</v>
      </c>
      <c r="AH515" s="593">
        <f t="shared" si="251"/>
        <v>-46.618107278964075</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5">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1.0040274433212766</v>
      </c>
      <c r="N516" s="585">
        <f t="shared" si="238"/>
        <v>-8.959880241217244E-2</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-9.7905257401303007</v>
      </c>
      <c r="X516" s="590">
        <f t="shared" si="244"/>
        <v>-158.38441527559675</v>
      </c>
      <c r="Y516" s="593">
        <f t="shared" si="245"/>
        <v>21.615584724403249</v>
      </c>
      <c r="AA516" s="150">
        <f t="shared" si="246"/>
        <v>70392</v>
      </c>
      <c r="AB516" s="150">
        <f t="shared" si="247"/>
        <v>4955033664</v>
      </c>
      <c r="AD516" s="592">
        <f t="shared" si="248"/>
        <v>27.093489119774596</v>
      </c>
      <c r="AE516" s="593">
        <f t="shared" si="249"/>
        <v>-20.564206268368931</v>
      </c>
      <c r="AG516" s="592">
        <f t="shared" si="250"/>
        <v>-7.8085870808323357</v>
      </c>
      <c r="AH516" s="593">
        <f t="shared" si="251"/>
        <v>-46.422049578132366</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5">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1.0040735964011736</v>
      </c>
      <c r="N517" s="585">
        <f t="shared" si="238"/>
        <v>-9.0108998566471865E-2</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-9.8627814853710092</v>
      </c>
      <c r="X517" s="590">
        <f t="shared" si="244"/>
        <v>-158.71997783621507</v>
      </c>
      <c r="Y517" s="593">
        <f t="shared" si="245"/>
        <v>21.280022163784935</v>
      </c>
      <c r="AA517" s="150">
        <f t="shared" si="246"/>
        <v>70795</v>
      </c>
      <c r="AB517" s="150">
        <f t="shared" si="247"/>
        <v>5011932025</v>
      </c>
      <c r="AD517" s="592">
        <f t="shared" si="248"/>
        <v>27.087926403225886</v>
      </c>
      <c r="AE517" s="593">
        <f t="shared" si="249"/>
        <v>-20.661150093543153</v>
      </c>
      <c r="AG517" s="592">
        <f t="shared" si="250"/>
        <v>-7.8401017874791883</v>
      </c>
      <c r="AH517" s="593">
        <f t="shared" si="251"/>
        <v>-46.226473738940165</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5">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1.0041210792285424</v>
      </c>
      <c r="N518" s="585">
        <f t="shared" si="238"/>
        <v>-9.0630856510822158E-2</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-9.9364668854036395</v>
      </c>
      <c r="X518" s="590">
        <f t="shared" si="244"/>
        <v>-159.06256363866399</v>
      </c>
      <c r="Y518" s="593">
        <f t="shared" si="245"/>
        <v>20.937436361336012</v>
      </c>
      <c r="AA518" s="150">
        <f t="shared" si="246"/>
        <v>71207.25</v>
      </c>
      <c r="AB518" s="150">
        <f t="shared" si="247"/>
        <v>5070472452.5625</v>
      </c>
      <c r="AD518" s="592">
        <f t="shared" si="248"/>
        <v>27.082210938590912</v>
      </c>
      <c r="AE518" s="593">
        <f t="shared" si="249"/>
        <v>-20.760254542349852</v>
      </c>
      <c r="AG518" s="592">
        <f t="shared" si="250"/>
        <v>-7.8720062009976068</v>
      </c>
      <c r="AH518" s="593">
        <f t="shared" si="251"/>
        <v>-46.026906896520138</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5">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1.0041688354880376</v>
      </c>
      <c r="N519" s="585">
        <f t="shared" si="238"/>
        <v>-9.115266496023014E-2</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-10.009923533501066</v>
      </c>
      <c r="X519" s="590">
        <f t="shared" si="244"/>
        <v>-159.4044636973677</v>
      </c>
      <c r="Y519" s="593">
        <f t="shared" si="245"/>
        <v>20.595536302632297</v>
      </c>
      <c r="AA519" s="150">
        <f t="shared" si="246"/>
        <v>71619.5</v>
      </c>
      <c r="AB519" s="150">
        <f t="shared" si="247"/>
        <v>5129352780.25</v>
      </c>
      <c r="AD519" s="592">
        <f t="shared" si="248"/>
        <v>27.07647022437499</v>
      </c>
      <c r="AE519" s="593">
        <f t="shared" si="249"/>
        <v>-20.859292063428157</v>
      </c>
      <c r="AG519" s="592">
        <f t="shared" si="250"/>
        <v>-7.9035771581084244</v>
      </c>
      <c r="AH519" s="593">
        <f t="shared" si="251"/>
        <v>-45.827843105580527</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5">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1.0042168651406493</v>
      </c>
      <c r="N520" s="585">
        <f t="shared" si="238"/>
        <v>-9.16744236376172E-2</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-10.08315406182307</v>
      </c>
      <c r="X520" s="590">
        <f t="shared" si="244"/>
        <v>-159.74567889332425</v>
      </c>
      <c r="Y520" s="593">
        <f t="shared" si="245"/>
        <v>20.254321106675746</v>
      </c>
      <c r="AA520" s="150">
        <f t="shared" si="246"/>
        <v>72031.75</v>
      </c>
      <c r="AB520" s="150">
        <f t="shared" si="247"/>
        <v>5188573008.0625</v>
      </c>
      <c r="AD520" s="592">
        <f t="shared" si="248"/>
        <v>27.070704364412158</v>
      </c>
      <c r="AE520" s="593">
        <f t="shared" si="249"/>
        <v>-20.958260995566025</v>
      </c>
      <c r="AG520" s="592">
        <f t="shared" si="250"/>
        <v>-7.9348185999947365</v>
      </c>
      <c r="AH520" s="593">
        <f t="shared" si="251"/>
        <v>-45.629281691885858</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5">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1.0042651681471522</v>
      </c>
      <c r="N521" s="585">
        <f t="shared" si="238"/>
        <v>-9.2196132266066044E-2</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-10.156161050587233</v>
      </c>
      <c r="X521" s="590">
        <f t="shared" si="244"/>
        <v>-160.08621014626056</v>
      </c>
      <c r="Y521" s="593">
        <f t="shared" si="245"/>
        <v>19.913789853739445</v>
      </c>
      <c r="AA521" s="150">
        <f t="shared" si="246"/>
        <v>72444</v>
      </c>
      <c r="AB521" s="150">
        <f t="shared" si="247"/>
        <v>5248133136</v>
      </c>
      <c r="AD521" s="592">
        <f t="shared" si="248"/>
        <v>27.064913462873633</v>
      </c>
      <c r="AE521" s="593">
        <f t="shared" si="249"/>
        <v>-21.057159710330918</v>
      </c>
      <c r="AG521" s="592">
        <f t="shared" si="250"/>
        <v>-7.9657344052508918</v>
      </c>
      <c r="AH521" s="593">
        <f t="shared" si="251"/>
        <v>-45.43122193209868</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5">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1.0043148670953455</v>
      </c>
      <c r="N522" s="585">
        <f t="shared" si="238"/>
        <v>-9.2729811207787949E-2</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-10.230621743693471</v>
      </c>
      <c r="X522" s="590">
        <f t="shared" si="244"/>
        <v>-160.43388192590083</v>
      </c>
      <c r="Y522" s="593">
        <f t="shared" si="245"/>
        <v>19.566118074099165</v>
      </c>
      <c r="AA522" s="150">
        <f t="shared" si="246"/>
        <v>72865.75</v>
      </c>
      <c r="AB522" s="150">
        <f t="shared" si="247"/>
        <v>5309417523.0625</v>
      </c>
      <c r="AD522" s="592">
        <f t="shared" si="248"/>
        <v>27.058963309387206</v>
      </c>
      <c r="AE522" s="593">
        <f t="shared" si="249"/>
        <v>-21.158263145971507</v>
      </c>
      <c r="AG522" s="592">
        <f t="shared" si="250"/>
        <v>-7.9970296437095003</v>
      </c>
      <c r="AH522" s="593">
        <f t="shared" si="251"/>
        <v>-45.229116352824605</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5">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1.0043648520573265</v>
      </c>
      <c r="N523" s="585">
        <f t="shared" si="238"/>
        <v>-9.3263437181498668E-2</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-10.304853778316685</v>
      </c>
      <c r="X523" s="590">
        <f t="shared" si="244"/>
        <v>-160.78083994563232</v>
      </c>
      <c r="Y523" s="593">
        <f t="shared" si="245"/>
        <v>19.219160054367677</v>
      </c>
      <c r="AA523" s="150">
        <f t="shared" si="246"/>
        <v>73287.5</v>
      </c>
      <c r="AB523" s="150">
        <f t="shared" si="247"/>
        <v>5371057656.25</v>
      </c>
      <c r="AD523" s="592">
        <f t="shared" si="248"/>
        <v>27.052987168492532</v>
      </c>
      <c r="AE523" s="593">
        <f t="shared" si="249"/>
        <v>-21.259289744409898</v>
      </c>
      <c r="AG523" s="592">
        <f t="shared" si="250"/>
        <v>-8.0279920818206598</v>
      </c>
      <c r="AH523" s="593">
        <f t="shared" si="251"/>
        <v>-45.027534130509203</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5">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1.0044151229903953</v>
      </c>
      <c r="N524" s="585">
        <f t="shared" si="238"/>
        <v>-9.379700989122175E-2</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-10.378859756853904</v>
      </c>
      <c r="X524" s="590">
        <f t="shared" si="244"/>
        <v>-161.12708531115501</v>
      </c>
      <c r="Y524" s="593">
        <f t="shared" si="245"/>
        <v>18.872914688844986</v>
      </c>
      <c r="AA524" s="150">
        <f t="shared" si="246"/>
        <v>73709.25</v>
      </c>
      <c r="AB524" s="150">
        <f t="shared" si="247"/>
        <v>5433053535.5625</v>
      </c>
      <c r="AD524" s="592">
        <f t="shared" si="248"/>
        <v>27.046985152745087</v>
      </c>
      <c r="AE524" s="593">
        <f t="shared" si="249"/>
        <v>-21.360237863429305</v>
      </c>
      <c r="AG524" s="592">
        <f t="shared" si="250"/>
        <v>-8.0586256774937652</v>
      </c>
      <c r="AH524" s="593">
        <f t="shared" si="251"/>
        <v>-44.826474338759148</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5">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1.0044656798516149</v>
      </c>
      <c r="N525" s="585">
        <f t="shared" ref="N525:N588" si="270">-ATAN(G525/z_RHP)</f>
        <v>-9.433052904116114E-2</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-10.452642230362612</v>
      </c>
      <c r="X525" s="590">
        <f t="shared" ref="X525:X588" si="276">((L525+R525+N525+V525)-(J525+P525+T525))*radconv</f>
        <v>-161.4726191673069</v>
      </c>
      <c r="Y525" s="593">
        <f t="shared" ref="Y525:Y588" si="277">IF(X525&gt;0,X525,X525+180)</f>
        <v>18.527380832693098</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-8.0889343255675268</v>
      </c>
      <c r="AH525" s="593">
        <f t="shared" ref="AH525:AH588" si="283">(L525+N525-(J525+V525))*radconv</f>
        <v>-44.62593600247034</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5">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1.0045177315856737</v>
      </c>
      <c r="N526" s="585">
        <f t="shared" si="270"/>
        <v>-9.4876642530754784E-2</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-10.527945233906665</v>
      </c>
      <c r="X526" s="590">
        <f t="shared" si="276"/>
        <v>-161.82561010364381</v>
      </c>
      <c r="Y526" s="593">
        <f t="shared" si="277"/>
        <v>18.174389896356189</v>
      </c>
      <c r="AA526" s="150">
        <f t="shared" si="278"/>
        <v>74562.75</v>
      </c>
      <c r="AB526" s="150">
        <f t="shared" si="279"/>
        <v>5559603687.5625</v>
      </c>
      <c r="AD526" s="592">
        <f t="shared" si="280"/>
        <v>27.03476010696809</v>
      </c>
      <c r="AE526" s="593">
        <f t="shared" si="281"/>
        <v>-21.564280970624036</v>
      </c>
      <c r="AG526" s="592">
        <f t="shared" si="282"/>
        <v>-8.1196290191987792</v>
      </c>
      <c r="AH526" s="593">
        <f t="shared" si="283"/>
        <v>-44.421181836271039</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5">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1.0045700828759456</v>
      </c>
      <c r="N527" s="585">
        <f t="shared" si="270"/>
        <v>-9.5422699263824823E-2</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-10.603019258913776</v>
      </c>
      <c r="X527" s="590">
        <f t="shared" si="276"/>
        <v>-162.17785793999784</v>
      </c>
      <c r="Y527" s="593">
        <f t="shared" si="277"/>
        <v>17.822142060002164</v>
      </c>
      <c r="AA527" s="150">
        <f t="shared" si="278"/>
        <v>74994.5</v>
      </c>
      <c r="AB527" s="150">
        <f t="shared" si="279"/>
        <v>5624175030.25</v>
      </c>
      <c r="AD527" s="592">
        <f t="shared" si="280"/>
        <v>27.02853608112536</v>
      </c>
      <c r="AE527" s="593">
        <f t="shared" si="281"/>
        <v>-21.667368803233764</v>
      </c>
      <c r="AG527" s="592">
        <f t="shared" si="282"/>
        <v>-8.1499912363447375</v>
      </c>
      <c r="AH527" s="593">
        <f t="shared" si="283"/>
        <v>-44.21697192767035</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5">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1.0046227336756008</v>
      </c>
      <c r="N528" s="585">
        <f t="shared" si="270"/>
        <v>-9.5968698923625501E-2</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-10.677866883459433</v>
      </c>
      <c r="X528" s="590">
        <f t="shared" si="276"/>
        <v>-162.52936402684068</v>
      </c>
      <c r="Y528" s="593">
        <f t="shared" si="277"/>
        <v>17.470635973159318</v>
      </c>
      <c r="AA528" s="150">
        <f t="shared" si="278"/>
        <v>75426.25</v>
      </c>
      <c r="AB528" s="150">
        <f t="shared" si="279"/>
        <v>5689119189.0625</v>
      </c>
      <c r="AD528" s="592">
        <f t="shared" si="280"/>
        <v>27.022285419528398</v>
      </c>
      <c r="AE528" s="593">
        <f t="shared" si="281"/>
        <v>-21.77036776532049</v>
      </c>
      <c r="AG528" s="592">
        <f t="shared" si="282"/>
        <v>-8.1800249584736537</v>
      </c>
      <c r="AH528" s="593">
        <f t="shared" si="283"/>
        <v>-44.013305079771257</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5">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1.004675683937551</v>
      </c>
      <c r="N529" s="585">
        <f t="shared" si="270"/>
        <v>-9.6514641193613374E-2</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-10.75249063478315</v>
      </c>
      <c r="X529" s="590">
        <f t="shared" si="276"/>
        <v>-162.88012975415469</v>
      </c>
      <c r="Y529" s="593">
        <f t="shared" si="277"/>
        <v>17.119870245845306</v>
      </c>
      <c r="AA529" s="150">
        <f t="shared" si="278"/>
        <v>75858</v>
      </c>
      <c r="AB529" s="150">
        <f t="shared" si="279"/>
        <v>5754436164</v>
      </c>
      <c r="AD529" s="592">
        <f t="shared" si="280"/>
        <v>27.016008244509976</v>
      </c>
      <c r="AE529" s="593">
        <f t="shared" si="281"/>
        <v>-21.873276263470554</v>
      </c>
      <c r="AG529" s="592">
        <f t="shared" si="282"/>
        <v>-8.2097341033067561</v>
      </c>
      <c r="AH529" s="593">
        <f t="shared" si="283"/>
        <v>-43.81018004739412</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5">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1.0047301705069911</v>
      </c>
      <c r="N530" s="585">
        <f t="shared" si="270"/>
        <v>-9.7073168604776466E-2</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-10.82861366080008</v>
      </c>
      <c r="X530" s="590">
        <f t="shared" si="276"/>
        <v>-163.23825497042324</v>
      </c>
      <c r="Y530" s="593">
        <f t="shared" si="277"/>
        <v>16.761745029576758</v>
      </c>
      <c r="AA530" s="150">
        <f t="shared" si="278"/>
        <v>76299.75</v>
      </c>
      <c r="AB530" s="150">
        <f t="shared" si="279"/>
        <v>5821651850.0625</v>
      </c>
      <c r="AD530" s="592">
        <f t="shared" si="280"/>
        <v>27.009558366592596</v>
      </c>
      <c r="AE530" s="593">
        <f t="shared" si="281"/>
        <v>-21.978473022321449</v>
      </c>
      <c r="AG530" s="592">
        <f t="shared" si="282"/>
        <v>-8.2397994377985455</v>
      </c>
      <c r="AH530" s="593">
        <f t="shared" si="283"/>
        <v>-43.602909760776754</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5">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1.0047849704708407</v>
      </c>
      <c r="N531" s="585">
        <f t="shared" si="270"/>
        <v>-9.7631635267090164E-2</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-10.904507518208767</v>
      </c>
      <c r="X531" s="590">
        <f t="shared" si="276"/>
        <v>-163.59560820120674</v>
      </c>
      <c r="Y531" s="593">
        <f t="shared" si="277"/>
        <v>16.404391798793256</v>
      </c>
      <c r="AA531" s="150">
        <f t="shared" si="278"/>
        <v>76741.5</v>
      </c>
      <c r="AB531" s="150">
        <f t="shared" si="279"/>
        <v>5889257822.25</v>
      </c>
      <c r="AD531" s="592">
        <f t="shared" si="280"/>
        <v>27.003080992825794</v>
      </c>
      <c r="AE531" s="593">
        <f t="shared" si="281"/>
        <v>-22.083571804138359</v>
      </c>
      <c r="AG531" s="592">
        <f t="shared" si="282"/>
        <v>-8.2695330842715986</v>
      </c>
      <c r="AH531" s="593">
        <f t="shared" si="283"/>
        <v>-43.396203892233871</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5">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1.004840083777826</v>
      </c>
      <c r="N532" s="585">
        <f t="shared" si="270"/>
        <v>-9.81900408421673E-2</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-10.980174757087749</v>
      </c>
      <c r="X532" s="590">
        <f t="shared" si="276"/>
        <v>-163.95219105826837</v>
      </c>
      <c r="Y532" s="593">
        <f t="shared" si="277"/>
        <v>16.047808941731631</v>
      </c>
      <c r="AA532" s="150">
        <f t="shared" si="278"/>
        <v>77183.25</v>
      </c>
      <c r="AB532" s="150">
        <f t="shared" si="279"/>
        <v>5957254080.5625</v>
      </c>
      <c r="AD532" s="592">
        <f t="shared" si="280"/>
        <v>26.996576255108302</v>
      </c>
      <c r="AE532" s="593">
        <f t="shared" si="281"/>
        <v>-22.188571002819543</v>
      </c>
      <c r="AG532" s="592">
        <f t="shared" si="282"/>
        <v>-8.298939040207534</v>
      </c>
      <c r="AH532" s="593">
        <f t="shared" si="283"/>
        <v>-43.190060959161521</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5">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1.0048955103763915</v>
      </c>
      <c r="N533" s="585">
        <f t="shared" si="270"/>
        <v>-9.8748384991847168E-2</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-11.055617877327252</v>
      </c>
      <c r="X533" s="590">
        <f t="shared" si="276"/>
        <v>-164.3080051930142</v>
      </c>
      <c r="Y533" s="593">
        <f t="shared" si="277"/>
        <v>15.691994806985804</v>
      </c>
      <c r="AA533" s="150">
        <f t="shared" si="278"/>
        <v>77625</v>
      </c>
      <c r="AB533" s="150">
        <f t="shared" si="279"/>
        <v>6025640625</v>
      </c>
      <c r="AD533" s="592">
        <f t="shared" si="280"/>
        <v>26.990044285603712</v>
      </c>
      <c r="AE533" s="593">
        <f t="shared" si="281"/>
        <v>-22.293469044612852</v>
      </c>
      <c r="AG533" s="592">
        <f t="shared" si="282"/>
        <v>-8.3280212387719423</v>
      </c>
      <c r="AH533" s="593">
        <f t="shared" si="283"/>
        <v>-42.984479431387101</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5">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1.0049525472735825</v>
      </c>
      <c r="N534" s="585">
        <f t="shared" si="270"/>
        <v>-9.9319620562993149E-2</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-11.132582093982922</v>
      </c>
      <c r="X534" s="590">
        <f t="shared" si="276"/>
        <v>-164.67128142209771</v>
      </c>
      <c r="Y534" s="593">
        <f t="shared" si="277"/>
        <v>15.328718577902293</v>
      </c>
      <c r="AA534" s="150">
        <f t="shared" si="278"/>
        <v>78077</v>
      </c>
      <c r="AB534" s="150">
        <f t="shared" si="279"/>
        <v>6096017929</v>
      </c>
      <c r="AD534" s="592">
        <f t="shared" si="280"/>
        <v>26.983332704912939</v>
      </c>
      <c r="AE534" s="593">
        <f t="shared" si="281"/>
        <v>-22.400694740159814</v>
      </c>
      <c r="AG534" s="592">
        <f t="shared" si="282"/>
        <v>-8.3574471601984204</v>
      </c>
      <c r="AH534" s="593">
        <f t="shared" si="283"/>
        <v>-42.774707211983326</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5">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1.0050099120596336</v>
      </c>
      <c r="N535" s="585">
        <f t="shared" si="270"/>
        <v>-9.9890791109588428E-2</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-11.209316810670245</v>
      </c>
      <c r="X535" s="590">
        <f t="shared" si="276"/>
        <v>-165.03375646266909</v>
      </c>
      <c r="Y535" s="593">
        <f t="shared" si="277"/>
        <v>14.966243537330911</v>
      </c>
      <c r="AA535" s="150">
        <f t="shared" si="278"/>
        <v>78529</v>
      </c>
      <c r="AB535" s="150">
        <f t="shared" si="279"/>
        <v>6166803841</v>
      </c>
      <c r="AD535" s="592">
        <f t="shared" si="280"/>
        <v>26.97659289478451</v>
      </c>
      <c r="AE535" s="593">
        <f t="shared" si="281"/>
        <v>-22.507811297048463</v>
      </c>
      <c r="AG535" s="592">
        <f t="shared" si="282"/>
        <v>-8.3865422561156997</v>
      </c>
      <c r="AH535" s="593">
        <f t="shared" si="283"/>
        <v>-42.565519364679275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5">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1.0050676046784017</v>
      </c>
      <c r="N536" s="585">
        <f t="shared" si="270"/>
        <v>-0.10046189627012646</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-11.285824550540495</v>
      </c>
      <c r="X536" s="590">
        <f t="shared" si="276"/>
        <v>-165.39543220688788</v>
      </c>
      <c r="Y536" s="593">
        <f t="shared" si="277"/>
        <v>14.604567793112125</v>
      </c>
      <c r="AA536" s="150">
        <f t="shared" si="278"/>
        <v>78981</v>
      </c>
      <c r="AB536" s="150">
        <f t="shared" si="279"/>
        <v>6237998361</v>
      </c>
      <c r="AD536" s="592">
        <f t="shared" si="280"/>
        <v>26.969824997571166</v>
      </c>
      <c r="AE536" s="593">
        <f t="shared" si="281"/>
        <v>-22.614817129764809</v>
      </c>
      <c r="AG536" s="592">
        <f t="shared" si="282"/>
        <v>-8.4153105392214496</v>
      </c>
      <c r="AH536" s="593">
        <f t="shared" si="283"/>
        <v>-42.356914103912139</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5">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1.0051256250734351</v>
      </c>
      <c r="N537" s="585">
        <f t="shared" si="270"/>
        <v>-0.10103293568335403</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-11.362107787229032</v>
      </c>
      <c r="X537" s="590">
        <f t="shared" si="276"/>
        <v>-165.75631058652206</v>
      </c>
      <c r="Y537" s="593">
        <f t="shared" si="277"/>
        <v>14.243689413477938</v>
      </c>
      <c r="AA537" s="150">
        <f t="shared" si="278"/>
        <v>79433</v>
      </c>
      <c r="AB537" s="150">
        <f t="shared" si="279"/>
        <v>6309601489</v>
      </c>
      <c r="AD537" s="592">
        <f t="shared" si="280"/>
        <v>26.963029155858283</v>
      </c>
      <c r="AE537" s="593">
        <f t="shared" si="281"/>
        <v>-22.721710685084041</v>
      </c>
      <c r="AG537" s="592">
        <f t="shared" si="282"/>
        <v>-8.4437559572888503</v>
      </c>
      <c r="AH537" s="593">
        <f t="shared" si="283"/>
        <v>-42.1488895974569</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5">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1.0051853325142841</v>
      </c>
      <c r="N538" s="585">
        <f t="shared" si="270"/>
        <v>-0.1016171719600944</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-11.439933233386945</v>
      </c>
      <c r="X538" s="590">
        <f t="shared" si="276"/>
        <v>-166.12474889450939</v>
      </c>
      <c r="Y538" s="593">
        <f t="shared" si="277"/>
        <v>13.875251105490605</v>
      </c>
      <c r="AA538" s="150">
        <f t="shared" si="278"/>
        <v>79895.5</v>
      </c>
      <c r="AB538" s="150">
        <f t="shared" si="279"/>
        <v>6383290920.25</v>
      </c>
      <c r="AD538" s="592">
        <f t="shared" si="280"/>
        <v>26.956046669336288</v>
      </c>
      <c r="AE538" s="593">
        <f t="shared" si="281"/>
        <v>-22.830969580025005</v>
      </c>
      <c r="AG538" s="592">
        <f t="shared" si="282"/>
        <v>-8.4725320138167515</v>
      </c>
      <c r="AH538" s="593">
        <f t="shared" si="283"/>
        <v>-41.936631851950004</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5">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1.0052453830162544</v>
      </c>
      <c r="N539" s="585">
        <f t="shared" si="270"/>
        <v>-0.10220133863498057</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-11.517528711460198</v>
      </c>
      <c r="X539" s="590">
        <f t="shared" si="276"/>
        <v>-166.49235657703019</v>
      </c>
      <c r="Y539" s="593">
        <f t="shared" si="277"/>
        <v>13.507643422969807</v>
      </c>
      <c r="AA539" s="150">
        <f t="shared" si="278"/>
        <v>80358</v>
      </c>
      <c r="AB539" s="150">
        <f t="shared" si="279"/>
        <v>6457408164</v>
      </c>
      <c r="AD539" s="592">
        <f t="shared" si="280"/>
        <v>26.949035227656548</v>
      </c>
      <c r="AE539" s="593">
        <f t="shared" si="281"/>
        <v>-22.94010773069839</v>
      </c>
      <c r="AG539" s="592">
        <f t="shared" si="282"/>
        <v>-8.5009781908286719</v>
      </c>
      <c r="AH539" s="593">
        <f t="shared" si="283"/>
        <v>-41.724978130848662</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5">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1.0053057765178688</v>
      </c>
      <c r="N540" s="585">
        <f t="shared" si="270"/>
        <v>-0.10278543532182656</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-11.594896718808489</v>
      </c>
      <c r="X540" s="590">
        <f t="shared" si="276"/>
        <v>-166.8591358263624</v>
      </c>
      <c r="Y540" s="593">
        <f t="shared" si="277"/>
        <v>13.140864173637596</v>
      </c>
      <c r="AA540" s="150">
        <f t="shared" si="278"/>
        <v>80820.5</v>
      </c>
      <c r="AB540" s="150">
        <f t="shared" si="279"/>
        <v>6531953220.25</v>
      </c>
      <c r="AD540" s="592">
        <f t="shared" si="280"/>
        <v>26.941994984240409</v>
      </c>
      <c r="AE540" s="593">
        <f t="shared" si="281"/>
        <v>-23.049123573346261</v>
      </c>
      <c r="AG540" s="592">
        <f t="shared" si="282"/>
        <v>-8.5290985150524019</v>
      </c>
      <c r="AH540" s="593">
        <f t="shared" si="283"/>
        <v>-41.513926327993659</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5">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1.0053665129573146</v>
      </c>
      <c r="N541" s="585">
        <f t="shared" si="270"/>
        <v>-0.10336946163472993</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-11.672039703975578</v>
      </c>
      <c r="X541" s="590">
        <f t="shared" si="276"/>
        <v>-167.22508887417544</v>
      </c>
      <c r="Y541" s="593">
        <f t="shared" si="277"/>
        <v>12.774911125824559</v>
      </c>
      <c r="AA541" s="150">
        <f t="shared" si="278"/>
        <v>81283</v>
      </c>
      <c r="AB541" s="150">
        <f t="shared" si="279"/>
        <v>6606926089</v>
      </c>
      <c r="AD541" s="592">
        <f t="shared" si="280"/>
        <v>26.934926092704558</v>
      </c>
      <c r="AE541" s="593">
        <f t="shared" si="281"/>
        <v>-23.158015576492154</v>
      </c>
      <c r="AG541" s="592">
        <f t="shared" si="282"/>
        <v>-8.5568969476477754</v>
      </c>
      <c r="AH541" s="593">
        <f t="shared" si="283"/>
        <v>-41.303474291680381</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5">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1.0054290160307111</v>
      </c>
      <c r="N542" s="585">
        <f t="shared" si="270"/>
        <v>-0.10396698936449725</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-11.750745318320245</v>
      </c>
      <c r="X542" s="590">
        <f t="shared" si="276"/>
        <v>-167.59869499587316</v>
      </c>
      <c r="Y542" s="593">
        <f t="shared" si="277"/>
        <v>12.40130500412684</v>
      </c>
      <c r="AA542" s="150">
        <f t="shared" si="278"/>
        <v>81756.25</v>
      </c>
      <c r="AB542" s="150">
        <f t="shared" si="279"/>
        <v>6684084414.0625</v>
      </c>
      <c r="AD542" s="592">
        <f t="shared" si="280"/>
        <v>26.927663402968022</v>
      </c>
      <c r="AE542" s="593">
        <f t="shared" si="281"/>
        <v>-23.269308827891763</v>
      </c>
      <c r="AG542" s="592">
        <f t="shared" si="282"/>
        <v>-8.5850123693899949</v>
      </c>
      <c r="AH542" s="593">
        <f t="shared" si="283"/>
        <v>-41.088749215890545</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5">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1.0054918780371638</v>
      </c>
      <c r="N543" s="585">
        <f t="shared" si="270"/>
        <v>-0.10456444259428889</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-11.829220364349773</v>
      </c>
      <c r="X543" s="590">
        <f t="shared" si="276"/>
        <v>-167.97144091215733</v>
      </c>
      <c r="Y543" s="593">
        <f t="shared" si="277"/>
        <v>12.028559087842666</v>
      </c>
      <c r="AA543" s="150">
        <f t="shared" si="278"/>
        <v>82229.5</v>
      </c>
      <c r="AB543" s="150">
        <f t="shared" si="279"/>
        <v>6761690670.25</v>
      </c>
      <c r="AD543" s="592">
        <f t="shared" si="280"/>
        <v>26.920371043869086</v>
      </c>
      <c r="AE543" s="593">
        <f t="shared" si="281"/>
        <v>-23.380469272165239</v>
      </c>
      <c r="AG543" s="592">
        <f t="shared" si="282"/>
        <v>-8.612798948702018</v>
      </c>
      <c r="AH543" s="593">
        <f t="shared" si="283"/>
        <v>-40.874647413251814</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5">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1.0055550989093569</v>
      </c>
      <c r="N544" s="585">
        <f t="shared" si="270"/>
        <v>-0.10516182091159476</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-11.907467314861131</v>
      </c>
      <c r="X544" s="590">
        <f t="shared" si="276"/>
        <v>-168.34332913570782</v>
      </c>
      <c r="Y544" s="593">
        <f t="shared" si="277"/>
        <v>11.656670864292181</v>
      </c>
      <c r="AA544" s="150">
        <f t="shared" si="278"/>
        <v>82702.75</v>
      </c>
      <c r="AB544" s="150">
        <f t="shared" si="279"/>
        <v>6839744857.5625</v>
      </c>
      <c r="AD544" s="592">
        <f t="shared" si="280"/>
        <v>26.91304918052915</v>
      </c>
      <c r="AE544" s="593">
        <f t="shared" si="281"/>
        <v>-23.491495368848419</v>
      </c>
      <c r="AG544" s="592">
        <f t="shared" si="282"/>
        <v>-8.6402607247676997</v>
      </c>
      <c r="AH544" s="593">
        <f t="shared" si="283"/>
        <v>-40.661166439069397</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5">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1.0056186785796075</v>
      </c>
      <c r="N545" s="585">
        <f t="shared" si="270"/>
        <v>-0.1057591239042221</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-11.985488594565492</v>
      </c>
      <c r="X545" s="590">
        <f t="shared" si="276"/>
        <v>-168.71436221817518</v>
      </c>
      <c r="Y545" s="593">
        <f t="shared" si="277"/>
        <v>11.285637781824818</v>
      </c>
      <c r="AA545" s="150">
        <f t="shared" si="278"/>
        <v>83176</v>
      </c>
      <c r="AB545" s="150">
        <f t="shared" si="279"/>
        <v>6918246976</v>
      </c>
      <c r="AD545" s="592">
        <f t="shared" si="280"/>
        <v>26.905697978221941</v>
      </c>
      <c r="AE545" s="593">
        <f t="shared" si="281"/>
        <v>-23.602385609802393</v>
      </c>
      <c r="AG545" s="592">
        <f t="shared" si="282"/>
        <v>-8.6674016705292285</v>
      </c>
      <c r="AH545" s="593">
        <f t="shared" si="283"/>
        <v>-40.448303804451861</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5">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1.0056841412747661</v>
      </c>
      <c r="N546" s="585">
        <f t="shared" si="270"/>
        <v>-0.10637054739671849</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-12.065133280935186</v>
      </c>
      <c r="X546" s="590">
        <f t="shared" si="276"/>
        <v>-169.09333225057148</v>
      </c>
      <c r="Y546" s="593">
        <f t="shared" si="277"/>
        <v>10.906667749428522</v>
      </c>
      <c r="AA546" s="150">
        <f t="shared" si="278"/>
        <v>83660.5</v>
      </c>
      <c r="AB546" s="150">
        <f t="shared" si="279"/>
        <v>6999079260.25</v>
      </c>
      <c r="AD546" s="592">
        <f t="shared" si="280"/>
        <v>26.898141803969299</v>
      </c>
      <c r="AE546" s="593">
        <f t="shared" si="281"/>
        <v>-23.715769630428877</v>
      </c>
      <c r="AG546" s="592">
        <f t="shared" si="282"/>
        <v>-8.6948595243273843</v>
      </c>
      <c r="AH546" s="593">
        <f t="shared" si="283"/>
        <v>-40.23101896289333</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5">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1.0057499798845402</v>
      </c>
      <c r="N547" s="585">
        <f t="shared" si="270"/>
        <v>-0.10698189106747581</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-12.144546433943134</v>
      </c>
      <c r="X547" s="590">
        <f t="shared" si="276"/>
        <v>-169.47141153533931</v>
      </c>
      <c r="Y547" s="593">
        <f t="shared" si="277"/>
        <v>10.528588464660686</v>
      </c>
      <c r="AA547" s="150">
        <f t="shared" si="278"/>
        <v>84145</v>
      </c>
      <c r="AB547" s="150">
        <f t="shared" si="279"/>
        <v>7080381025</v>
      </c>
      <c r="AD547" s="592">
        <f t="shared" si="280"/>
        <v>26.890555230283123</v>
      </c>
      <c r="AE547" s="593">
        <f t="shared" si="281"/>
        <v>-23.829008161268778</v>
      </c>
      <c r="AG547" s="592">
        <f t="shared" si="282"/>
        <v>-8.7219893332367668</v>
      </c>
      <c r="AH547" s="593">
        <f t="shared" si="283"/>
        <v>-40.014376793069353</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5">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1.0058161943351096</v>
      </c>
      <c r="N548" s="585">
        <f t="shared" si="270"/>
        <v>-0.10759315447524558</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-12.223730506930593</v>
      </c>
      <c r="X548" s="590">
        <f t="shared" si="276"/>
        <v>-169.84860293079231</v>
      </c>
      <c r="Y548" s="593">
        <f t="shared" si="277"/>
        <v>10.15139706920769</v>
      </c>
      <c r="AA548" s="150">
        <f t="shared" si="278"/>
        <v>84629.5</v>
      </c>
      <c r="AB548" s="150">
        <f t="shared" si="279"/>
        <v>7162152270.25</v>
      </c>
      <c r="AD548" s="592">
        <f t="shared" si="280"/>
        <v>26.88293843490554</v>
      </c>
      <c r="AE548" s="593">
        <f t="shared" si="281"/>
        <v>-23.94209968474993</v>
      </c>
      <c r="AG548" s="592">
        <f t="shared" si="282"/>
        <v>-8.7487951531589196</v>
      </c>
      <c r="AH548" s="593">
        <f t="shared" si="283"/>
        <v>-39.798374489225885</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5">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1.0058827845522533</v>
      </c>
      <c r="N549" s="585">
        <f t="shared" si="270"/>
        <v>-0.10820433717913502</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-12.302687905818409</v>
      </c>
      <c r="X549" s="590">
        <f t="shared" si="276"/>
        <v>-170.22490933365452</v>
      </c>
      <c r="Y549" s="593">
        <f t="shared" si="277"/>
        <v>9.7750906663454771</v>
      </c>
      <c r="AA549" s="150">
        <f t="shared" si="278"/>
        <v>85114</v>
      </c>
      <c r="AB549" s="150">
        <f t="shared" si="279"/>
        <v>7244392996</v>
      </c>
      <c r="AD549" s="592">
        <f t="shared" si="280"/>
        <v>26.875291595681674</v>
      </c>
      <c r="AE549" s="593">
        <f t="shared" si="281"/>
        <v>-24.055042715785369</v>
      </c>
      <c r="AG549" s="592">
        <f t="shared" si="282"/>
        <v>-8.7752809729176846</v>
      </c>
      <c r="AH549" s="593">
        <f t="shared" si="283"/>
        <v>-39.583009202922604</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5">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1.0059512752042468</v>
      </c>
      <c r="N550" s="585">
        <f t="shared" si="270"/>
        <v>-0.10882931213191682</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-12.383205946019435</v>
      </c>
      <c r="X550" s="590">
        <f t="shared" si="276"/>
        <v>-170.60884702692582</v>
      </c>
      <c r="Y550" s="593">
        <f t="shared" si="277"/>
        <v>9.3911529730741847</v>
      </c>
      <c r="AA550" s="150">
        <f t="shared" si="278"/>
        <v>85609.5</v>
      </c>
      <c r="AB550" s="150">
        <f t="shared" si="279"/>
        <v>7328986490.25</v>
      </c>
      <c r="AD550" s="592">
        <f t="shared" si="280"/>
        <v>26.867440254685672</v>
      </c>
      <c r="AE550" s="593">
        <f t="shared" si="281"/>
        <v>-24.170394882781693</v>
      </c>
      <c r="AG550" s="592">
        <f t="shared" si="282"/>
        <v>-8.802041229474213</v>
      </c>
      <c r="AH550" s="593">
        <f t="shared" si="283"/>
        <v>-39.363410166347684</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5">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1.0060201587208728</v>
      </c>
      <c r="N551" s="585">
        <f t="shared" si="270"/>
        <v>-0.10945420174304321</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-12.463491846079327</v>
      </c>
      <c r="X551" s="590">
        <f t="shared" si="276"/>
        <v>-170.99186533272021</v>
      </c>
      <c r="Y551" s="593">
        <f t="shared" si="277"/>
        <v>9.0081346672797906</v>
      </c>
      <c r="AA551" s="150">
        <f t="shared" si="278"/>
        <v>86105</v>
      </c>
      <c r="AB551" s="150">
        <f t="shared" si="279"/>
        <v>7414071025</v>
      </c>
      <c r="AD551" s="592">
        <f t="shared" si="280"/>
        <v>26.859557866647904</v>
      </c>
      <c r="AE551" s="593">
        <f t="shared" si="281"/>
        <v>-24.285588697248553</v>
      </c>
      <c r="AG551" s="592">
        <f t="shared" si="282"/>
        <v>-8.8284750201974873</v>
      </c>
      <c r="AH551" s="593">
        <f t="shared" si="283"/>
        <v>-39.144471244306651</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5">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1.0060894350214364</v>
      </c>
      <c r="N552" s="585">
        <f t="shared" si="270"/>
        <v>-0.11007900554207112</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-12.543548033763052</v>
      </c>
      <c r="X552" s="590">
        <f t="shared" si="276"/>
        <v>-171.37396746737113</v>
      </c>
      <c r="Y552" s="593">
        <f t="shared" si="277"/>
        <v>8.6260325326288694</v>
      </c>
      <c r="AA552" s="150">
        <f t="shared" si="278"/>
        <v>86600.5</v>
      </c>
      <c r="AB552" s="150">
        <f t="shared" si="279"/>
        <v>7499646600.25</v>
      </c>
      <c r="AD552" s="592">
        <f t="shared" si="280"/>
        <v>26.851644622037661</v>
      </c>
      <c r="AE552" s="593">
        <f t="shared" si="281"/>
        <v>-24.400622671535956</v>
      </c>
      <c r="AG552" s="592">
        <f t="shared" si="282"/>
        <v>-8.85458640277505</v>
      </c>
      <c r="AH552" s="593">
        <f t="shared" si="283"/>
        <v>-38.926189260380141</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5">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1.0061591040248059</v>
      </c>
      <c r="N553" s="585">
        <f t="shared" si="270"/>
        <v>-0.11070372305895469</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-12.623376890309718</v>
      </c>
      <c r="X553" s="590">
        <f t="shared" si="276"/>
        <v>-171.75515668467074</v>
      </c>
      <c r="Y553" s="593">
        <f t="shared" si="277"/>
        <v>8.2448433153292626</v>
      </c>
      <c r="AA553" s="150">
        <f t="shared" si="278"/>
        <v>87096</v>
      </c>
      <c r="AB553" s="150">
        <f t="shared" si="279"/>
        <v>7585713216</v>
      </c>
      <c r="AD553" s="592">
        <f t="shared" si="280"/>
        <v>26.843700711370076</v>
      </c>
      <c r="AE553" s="593">
        <f t="shared" si="281"/>
        <v>-24.515495350553444</v>
      </c>
      <c r="AG553" s="592">
        <f t="shared" si="282"/>
        <v>-8.8803793672362161</v>
      </c>
      <c r="AH553" s="593">
        <f t="shared" si="283"/>
        <v>-38.708560997412974</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5">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1.0062308318151134</v>
      </c>
      <c r="N554" s="585">
        <f t="shared" si="270"/>
        <v>-0.11134316489939124</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-12.704865719434991</v>
      </c>
      <c r="X554" s="590">
        <f t="shared" si="276"/>
        <v>-172.1444429909279</v>
      </c>
      <c r="Y554" s="593">
        <f t="shared" si="277"/>
        <v>7.8555570090721005</v>
      </c>
      <c r="AA554" s="150">
        <f t="shared" si="278"/>
        <v>87603.25</v>
      </c>
      <c r="AB554" s="150">
        <f t="shared" si="279"/>
        <v>7674329410.5625</v>
      </c>
      <c r="AD554" s="592">
        <f t="shared" si="280"/>
        <v>26.835536856867396</v>
      </c>
      <c r="AE554" s="593">
        <f t="shared" si="281"/>
        <v>-24.632923490121538</v>
      </c>
      <c r="AG554" s="592">
        <f t="shared" si="282"/>
        <v>-8.9064582334165987</v>
      </c>
      <c r="AH554" s="593">
        <f t="shared" si="283"/>
        <v>-38.486445781450549</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5">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1.0063029709802365</v>
      </c>
      <c r="N555" s="585">
        <f t="shared" si="270"/>
        <v>-0.11198251532147174</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-12.786121214176287</v>
      </c>
      <c r="X555" s="590">
        <f t="shared" si="276"/>
        <v>-172.53277958598204</v>
      </c>
      <c r="Y555" s="593">
        <f t="shared" si="277"/>
        <v>7.4672204140179588</v>
      </c>
      <c r="AA555" s="150">
        <f t="shared" si="278"/>
        <v>88110.5</v>
      </c>
      <c r="AB555" s="150">
        <f t="shared" si="279"/>
        <v>7763460210.25</v>
      </c>
      <c r="AD555" s="592">
        <f t="shared" si="280"/>
        <v>26.827341268797067</v>
      </c>
      <c r="AE555" s="593">
        <f t="shared" si="281"/>
        <v>-24.750179609555975</v>
      </c>
      <c r="AG555" s="592">
        <f t="shared" si="282"/>
        <v>-8.932211651606389</v>
      </c>
      <c r="AH555" s="593">
        <f t="shared" si="283"/>
        <v>-38.265008710224301</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5">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1.0063755214317103</v>
      </c>
      <c r="N556" s="585">
        <f t="shared" si="270"/>
        <v>-0.11262177382221865</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-12.867145785769798</v>
      </c>
      <c r="X556" s="590">
        <f t="shared" si="276"/>
        <v>-172.92017007550314</v>
      </c>
      <c r="Y556" s="593">
        <f t="shared" si="277"/>
        <v>7.0798299244968632</v>
      </c>
      <c r="AA556" s="150">
        <f t="shared" si="278"/>
        <v>88617.75</v>
      </c>
      <c r="AB556" s="150">
        <f t="shared" si="279"/>
        <v>7853105615.0625</v>
      </c>
      <c r="AD556" s="592">
        <f t="shared" si="280"/>
        <v>26.819114151596146</v>
      </c>
      <c r="AE556" s="593">
        <f t="shared" si="281"/>
        <v>-24.867262249336424</v>
      </c>
      <c r="AG556" s="592">
        <f t="shared" si="282"/>
        <v>-8.9576436908712314</v>
      </c>
      <c r="AH556" s="593">
        <f t="shared" si="283"/>
        <v>-38.044246208744347</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5">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1.0064484830805913</v>
      </c>
      <c r="N557" s="585">
        <f t="shared" si="270"/>
        <v>-0.11326093989909949</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-12.947941799667062</v>
      </c>
      <c r="X557" s="590">
        <f t="shared" si="276"/>
        <v>-173.30661810157039</v>
      </c>
      <c r="Y557" s="593">
        <f t="shared" si="277"/>
        <v>6.6933818984296067</v>
      </c>
      <c r="AA557" s="150">
        <f t="shared" si="278"/>
        <v>89125</v>
      </c>
      <c r="AB557" s="150">
        <f t="shared" si="279"/>
        <v>7943265625</v>
      </c>
      <c r="AD557" s="592">
        <f t="shared" si="280"/>
        <v>26.810855709682386</v>
      </c>
      <c r="AE557" s="593">
        <f t="shared" si="281"/>
        <v>-24.984169982754462</v>
      </c>
      <c r="AG557" s="592">
        <f t="shared" si="282"/>
        <v>-8.9827583517481795</v>
      </c>
      <c r="AH557" s="593">
        <f t="shared" si="283"/>
        <v>-37.824154663349987</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5">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1.0065235603238769</v>
      </c>
      <c r="N558" s="585">
        <f t="shared" si="270"/>
        <v>-0.11391481551213521</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-13.030375242084309</v>
      </c>
      <c r="X558" s="590">
        <f t="shared" si="276"/>
        <v>-173.70104622858403</v>
      </c>
      <c r="Y558" s="593">
        <f t="shared" si="277"/>
        <v>6.2989537714159667</v>
      </c>
      <c r="AA558" s="150">
        <f t="shared" si="278"/>
        <v>89644</v>
      </c>
      <c r="AB558" s="150">
        <f t="shared" si="279"/>
        <v>8036046736</v>
      </c>
      <c r="AD558" s="592">
        <f t="shared" si="280"/>
        <v>26.802373759867013</v>
      </c>
      <c r="AE558" s="593">
        <f t="shared" si="281"/>
        <v>-25.103603295982019</v>
      </c>
      <c r="AG558" s="592">
        <f t="shared" si="282"/>
        <v>-9.0081303825630972</v>
      </c>
      <c r="AH558" s="593">
        <f t="shared" si="283"/>
        <v>-37.599655532067693</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5">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1.006599067845348</v>
      </c>
      <c r="N559" s="585">
        <f t="shared" si="270"/>
        <v>-0.11456859330696055</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-13.112574284012437</v>
      </c>
      <c r="X559" s="590">
        <f t="shared" si="276"/>
        <v>-174.09449554946403</v>
      </c>
      <c r="Y559" s="593">
        <f t="shared" si="277"/>
        <v>5.9055044505359717</v>
      </c>
      <c r="AA559" s="150">
        <f t="shared" si="278"/>
        <v>90163</v>
      </c>
      <c r="AB559" s="150">
        <f t="shared" si="279"/>
        <v>8129366569</v>
      </c>
      <c r="AD559" s="592">
        <f t="shared" si="280"/>
        <v>26.793859450130494</v>
      </c>
      <c r="AE559" s="593">
        <f t="shared" si="281"/>
        <v>-25.222850586391669</v>
      </c>
      <c r="AG559" s="592">
        <f t="shared" si="282"/>
        <v>-9.0331784203400485</v>
      </c>
      <c r="AH559" s="593">
        <f t="shared" si="283"/>
        <v>-37.375851029645908</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5">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1.0066750055481835</v>
      </c>
      <c r="N560" s="585">
        <f t="shared" si="270"/>
        <v>-0.11522227274676729</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-13.19454131828801</v>
      </c>
      <c r="X560" s="590">
        <f t="shared" si="276"/>
        <v>-174.48697007629667</v>
      </c>
      <c r="Y560" s="593">
        <f t="shared" si="277"/>
        <v>5.5130299237033284</v>
      </c>
      <c r="AA560" s="150">
        <f t="shared" si="278"/>
        <v>90682</v>
      </c>
      <c r="AB560" s="150">
        <f t="shared" si="279"/>
        <v>8223225124</v>
      </c>
      <c r="AD560" s="592">
        <f t="shared" si="280"/>
        <v>26.785312999255879</v>
      </c>
      <c r="AE560" s="593">
        <f t="shared" si="281"/>
        <v>-25.341910428042727</v>
      </c>
      <c r="AG560" s="592">
        <f t="shared" si="282"/>
        <v>-9.0579065361759383</v>
      </c>
      <c r="AH560" s="593">
        <f t="shared" si="283"/>
        <v>-37.152737169031518</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5">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1.0067513733350395</v>
      </c>
      <c r="N561" s="585">
        <f t="shared" si="270"/>
        <v>-0.11587585329524495</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-13.276278692834374</v>
      </c>
      <c r="X561" s="590">
        <f t="shared" si="276"/>
        <v>-174.87847385619389</v>
      </c>
      <c r="Y561" s="593">
        <f t="shared" si="277"/>
        <v>5.1215261438061077</v>
      </c>
      <c r="AA561" s="150">
        <f t="shared" si="278"/>
        <v>91201</v>
      </c>
      <c r="AB561" s="150">
        <f t="shared" si="279"/>
        <v>8317622401</v>
      </c>
      <c r="AD561" s="592">
        <f t="shared" si="280"/>
        <v>26.776734625932505</v>
      </c>
      <c r="AE561" s="593">
        <f t="shared" si="281"/>
        <v>-25.460781428036761</v>
      </c>
      <c r="AG561" s="592">
        <f t="shared" si="282"/>
        <v>-9.0823187318949152</v>
      </c>
      <c r="AH561" s="593">
        <f t="shared" si="283"/>
        <v>-36.930309926936424</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5">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1.0068299518641919</v>
      </c>
      <c r="N562" s="585">
        <f t="shared" si="270"/>
        <v>-0.11654444262637766</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-13.359670665573164</v>
      </c>
      <c r="X562" s="590">
        <f t="shared" si="276"/>
        <v>-175.2780293290183</v>
      </c>
      <c r="Y562" s="593">
        <f t="shared" si="277"/>
        <v>4.7219706709817046</v>
      </c>
      <c r="AA562" s="150">
        <f t="shared" si="278"/>
        <v>91732</v>
      </c>
      <c r="AB562" s="150">
        <f t="shared" si="279"/>
        <v>8414759824</v>
      </c>
      <c r="AD562" s="592">
        <f t="shared" si="280"/>
        <v>26.767925098558717</v>
      </c>
      <c r="AE562" s="593">
        <f t="shared" si="281"/>
        <v>-25.582204030153409</v>
      </c>
      <c r="AG562" s="592">
        <f t="shared" si="282"/>
        <v>-9.1069725125123231</v>
      </c>
      <c r="AH562" s="593">
        <f t="shared" si="283"/>
        <v>-36.703446241378458</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5">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1.0069089803877436</v>
      </c>
      <c r="N563" s="585">
        <f t="shared" si="270"/>
        <v>-0.117212927306135</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-13.442827069336046</v>
      </c>
      <c r="X563" s="590">
        <f t="shared" si="276"/>
        <v>-175.67657732398558</v>
      </c>
      <c r="Y563" s="593">
        <f t="shared" si="277"/>
        <v>4.3234226760144168</v>
      </c>
      <c r="AA563" s="150">
        <f t="shared" si="278"/>
        <v>92263</v>
      </c>
      <c r="AB563" s="150">
        <f t="shared" si="279"/>
        <v>8512461169</v>
      </c>
      <c r="AD563" s="592">
        <f t="shared" si="280"/>
        <v>26.759082618243497</v>
      </c>
      <c r="AE563" s="593">
        <f t="shared" si="281"/>
        <v>-25.703426110266367</v>
      </c>
      <c r="AG563" s="592">
        <f t="shared" si="282"/>
        <v>-9.1313038538611675</v>
      </c>
      <c r="AH563" s="593">
        <f t="shared" si="283"/>
        <v>-36.477292662284114</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5">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1.0069884587997477</v>
      </c>
      <c r="N564" s="585">
        <f t="shared" si="270"/>
        <v>-0.11788130676177294</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-13.525750280639436</v>
      </c>
      <c r="X564" s="590">
        <f t="shared" si="276"/>
        <v>-176.07412228176386</v>
      </c>
      <c r="Y564" s="593">
        <f t="shared" si="277"/>
        <v>3.9258777182361371</v>
      </c>
      <c r="AA564" s="150">
        <f t="shared" si="278"/>
        <v>92794</v>
      </c>
      <c r="AB564" s="150">
        <f t="shared" si="279"/>
        <v>8610726436</v>
      </c>
      <c r="AD564" s="592">
        <f t="shared" si="280"/>
        <v>26.750207418780757</v>
      </c>
      <c r="AE564" s="593">
        <f t="shared" si="281"/>
        <v>-25.824446279610026</v>
      </c>
      <c r="AG564" s="592">
        <f t="shared" si="282"/>
        <v>-9.1553168255709227</v>
      </c>
      <c r="AH564" s="593">
        <f t="shared" si="283"/>
        <v>-36.25184477240628</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5">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1.0070683869936881</v>
      </c>
      <c r="N565" s="585">
        <f t="shared" si="270"/>
        <v>-0.11854958042110376</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-13.608442631992981</v>
      </c>
      <c r="X565" s="590">
        <f t="shared" si="276"/>
        <v>-176.47066867639722</v>
      </c>
      <c r="Y565" s="593">
        <f t="shared" si="277"/>
        <v>3.5293313236027757</v>
      </c>
      <c r="AA565" s="150">
        <f t="shared" si="278"/>
        <v>93325</v>
      </c>
      <c r="AB565" s="150">
        <f t="shared" si="279"/>
        <v>8709555625</v>
      </c>
      <c r="AD565" s="592">
        <f t="shared" si="280"/>
        <v>26.7412997337862</v>
      </c>
      <c r="AE565" s="593">
        <f t="shared" si="281"/>
        <v>-25.945263182733125</v>
      </c>
      <c r="AG565" s="592">
        <f t="shared" si="282"/>
        <v>-9.1790154272470996</v>
      </c>
      <c r="AH565" s="593">
        <f t="shared" si="283"/>
        <v>-36.027098120993315</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5">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1.0071506624133706</v>
      </c>
      <c r="N566" s="585">
        <f t="shared" si="270"/>
        <v>-0.11923347541161074</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-13.692844915592477</v>
      </c>
      <c r="X566" s="590">
        <f t="shared" si="276"/>
        <v>-176.87552057090682</v>
      </c>
      <c r="Y566" s="593">
        <f t="shared" si="277"/>
        <v>3.124479429093185</v>
      </c>
      <c r="AA566" s="150">
        <f t="shared" si="278"/>
        <v>93868.5</v>
      </c>
      <c r="AB566" s="150">
        <f t="shared" si="279"/>
        <v>8811295292.25</v>
      </c>
      <c r="AD566" s="592">
        <f t="shared" si="280"/>
        <v>26.732148959526153</v>
      </c>
      <c r="AE566" s="593">
        <f t="shared" si="281"/>
        <v>-26.068712294449778</v>
      </c>
      <c r="AG566" s="592">
        <f t="shared" si="282"/>
        <v>-9.2029504502321231</v>
      </c>
      <c r="AH566" s="593">
        <f t="shared" si="283"/>
        <v>-35.797782338425925</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5">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1.0072334088127801</v>
      </c>
      <c r="N567" s="585">
        <f t="shared" si="270"/>
        <v>-0.11991725835498741</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-13.777010150946094</v>
      </c>
      <c r="X567" s="590">
        <f t="shared" si="276"/>
        <v>-177.27933592224056</v>
      </c>
      <c r="Y567" s="593">
        <f t="shared" si="277"/>
        <v>2.7206640777594373</v>
      </c>
      <c r="AA567" s="150">
        <f t="shared" si="278"/>
        <v>94412</v>
      </c>
      <c r="AB567" s="150">
        <f t="shared" si="279"/>
        <v>8913625744</v>
      </c>
      <c r="AD567" s="592">
        <f t="shared" si="280"/>
        <v>26.722964646881067</v>
      </c>
      <c r="AE567" s="593">
        <f t="shared" si="281"/>
        <v>-26.191945687875471</v>
      </c>
      <c r="AG567" s="592">
        <f t="shared" si="282"/>
        <v>-9.2265643882705977</v>
      </c>
      <c r="AH567" s="593">
        <f t="shared" si="283"/>
        <v>-35.569191661371761</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5">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1.0073166260758497</v>
      </c>
      <c r="N568" s="585">
        <f t="shared" si="270"/>
        <v>-0.12060092863950751</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-13.860940703798384</v>
      </c>
      <c r="X568" s="590">
        <f t="shared" si="276"/>
        <v>-177.68211962880832</v>
      </c>
      <c r="Y568" s="593">
        <f t="shared" si="277"/>
        <v>2.3178803711916771</v>
      </c>
      <c r="AA568" s="150">
        <f t="shared" si="278"/>
        <v>94955.5</v>
      </c>
      <c r="AB568" s="150">
        <f t="shared" si="279"/>
        <v>9016546980.25</v>
      </c>
      <c r="AD568" s="592">
        <f t="shared" si="280"/>
        <v>26.713747045658103</v>
      </c>
      <c r="AE568" s="593">
        <f t="shared" si="281"/>
        <v>-26.314962013629163</v>
      </c>
      <c r="AG568" s="592">
        <f t="shared" si="282"/>
        <v>-9.2498613112086012</v>
      </c>
      <c r="AH568" s="593">
        <f t="shared" si="283"/>
        <v>-35.341321217703445</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5">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1.0074003140858909</v>
      </c>
      <c r="N569" s="585">
        <f t="shared" si="270"/>
        <v>-0.12128448565406756</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-13.944638896751606</v>
      </c>
      <c r="X569" s="590">
        <f t="shared" si="276"/>
        <v>-178.08387662053391</v>
      </c>
      <c r="Y569" s="593">
        <f t="shared" si="277"/>
        <v>1.9161233794660859</v>
      </c>
      <c r="AA569" s="150">
        <f t="shared" si="278"/>
        <v>95499</v>
      </c>
      <c r="AB569" s="150">
        <f t="shared" si="279"/>
        <v>9120059001</v>
      </c>
      <c r="AD569" s="592">
        <f t="shared" si="280"/>
        <v>26.704496405390159</v>
      </c>
      <c r="AE569" s="593">
        <f t="shared" si="281"/>
        <v>-26.43775995601623</v>
      </c>
      <c r="AG569" s="592">
        <f t="shared" si="282"/>
        <v>-9.2728452179843508</v>
      </c>
      <c r="AH569" s="593">
        <f t="shared" si="283"/>
        <v>-35.114166104760571</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5">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1.0075730840716401</v>
      </c>
      <c r="N570" s="585">
        <f t="shared" si="270"/>
        <v>-0.12268331510751464</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-14.115247203659544</v>
      </c>
      <c r="X570" s="590">
        <f t="shared" si="276"/>
        <v>-178.90305948247891</v>
      </c>
      <c r="Y570" s="593">
        <f t="shared" si="277"/>
        <v>1.0969405175210909</v>
      </c>
      <c r="AA570" s="150">
        <f t="shared" si="278"/>
        <v>96611.5</v>
      </c>
      <c r="AB570" s="150">
        <f t="shared" si="279"/>
        <v>9333781932.25</v>
      </c>
      <c r="AD570" s="592">
        <f t="shared" si="280"/>
        <v>26.685459121465051</v>
      </c>
      <c r="AE570" s="593">
        <f t="shared" si="281"/>
        <v>-26.688430923819713</v>
      </c>
      <c r="AG570" s="592">
        <f t="shared" si="282"/>
        <v>-9.3189317396760529</v>
      </c>
      <c r="AH570" s="593">
        <f t="shared" si="283"/>
        <v>-34.651408095380354</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5">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1.0077478249214047</v>
      </c>
      <c r="N571" s="585">
        <f t="shared" si="270"/>
        <v>-0.12408166218958172</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-14.284910496932426</v>
      </c>
      <c r="X571" s="590">
        <f t="shared" si="276"/>
        <v>-179.71800426680429</v>
      </c>
      <c r="Y571" s="593">
        <f t="shared" si="277"/>
        <v>0.28199573319571414</v>
      </c>
      <c r="AA571" s="150">
        <f t="shared" si="278"/>
        <v>97724</v>
      </c>
      <c r="AB571" s="150">
        <f t="shared" si="279"/>
        <v>9549980176</v>
      </c>
      <c r="AD571" s="592">
        <f t="shared" si="280"/>
        <v>26.666286585408393</v>
      </c>
      <c r="AE571" s="593">
        <f t="shared" si="281"/>
        <v>-26.938170972321526</v>
      </c>
      <c r="AG571" s="592">
        <f t="shared" si="282"/>
        <v>-9.3637559702599695</v>
      </c>
      <c r="AH571" s="593">
        <f t="shared" si="283"/>
        <v>-34.191583889705491</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5">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1.0079286091423627</v>
      </c>
      <c r="N572" s="585">
        <f t="shared" si="270"/>
        <v>-0.12551155675102965</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-14.457504084276238</v>
      </c>
      <c r="X572" s="590">
        <f t="shared" si="276"/>
        <v>-180.54728901136508</v>
      </c>
      <c r="Y572" s="593">
        <f t="shared" si="277"/>
        <v>-0.54728901136508057</v>
      </c>
      <c r="AA572" s="150">
        <f t="shared" si="278"/>
        <v>98862</v>
      </c>
      <c r="AB572" s="150">
        <f t="shared" si="279"/>
        <v>9773695044</v>
      </c>
      <c r="AD572" s="592">
        <f t="shared" si="280"/>
        <v>26.646536868786399</v>
      </c>
      <c r="AE572" s="593">
        <f t="shared" si="281"/>
        <v>-27.192661768120008</v>
      </c>
      <c r="AG572" s="592">
        <f t="shared" si="282"/>
        <v>-9.4083346210140029</v>
      </c>
      <c r="AH572" s="593">
        <f t="shared" si="283"/>
        <v>-33.724210418117281</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5">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1.008111453431014</v>
      </c>
      <c r="N573" s="585">
        <f t="shared" si="270"/>
        <v>-0.12694093554531646</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-14.629147006348974</v>
      </c>
      <c r="X573" s="590">
        <f t="shared" si="276"/>
        <v>-181.37223146451853</v>
      </c>
      <c r="Y573" s="593">
        <f t="shared" si="277"/>
        <v>-1.3722314645185349</v>
      </c>
      <c r="AA573" s="150">
        <f t="shared" si="278"/>
        <v>100000</v>
      </c>
      <c r="AB573" s="150">
        <f t="shared" si="279"/>
        <v>10000000000</v>
      </c>
      <c r="AD573" s="592">
        <f t="shared" si="280"/>
        <v>26.62665012408587</v>
      </c>
      <c r="AE573" s="593">
        <f t="shared" si="281"/>
        <v>-27.446157804279956</v>
      </c>
      <c r="AG573" s="592">
        <f t="shared" si="282"/>
        <v>-9.4516582887875025</v>
      </c>
      <c r="AH573" s="593">
        <f t="shared" si="283"/>
        <v>-33.259815164944882</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5">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1.0083007686456338</v>
      </c>
      <c r="N574" s="585">
        <f t="shared" si="270"/>
        <v>-0.1284036874734493</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-14.803896636475038</v>
      </c>
      <c r="X574" s="590">
        <f t="shared" si="276"/>
        <v>-182.2122977357462</v>
      </c>
      <c r="Y574" s="593">
        <f t="shared" si="277"/>
        <v>-2.2122977357462048</v>
      </c>
      <c r="AA574" s="150">
        <f t="shared" si="278"/>
        <v>101165</v>
      </c>
      <c r="AB574" s="150">
        <f t="shared" si="279"/>
        <v>10234357225</v>
      </c>
      <c r="AD574" s="592">
        <f t="shared" si="280"/>
        <v>26.606151967583639</v>
      </c>
      <c r="AE574" s="593">
        <f t="shared" si="281"/>
        <v>-27.704627759026884</v>
      </c>
      <c r="AG574" s="592">
        <f t="shared" si="282"/>
        <v>-9.4947427732962275</v>
      </c>
      <c r="AH574" s="593">
        <f t="shared" si="283"/>
        <v>-32.787437810020258</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5">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1.0084922404514676</v>
      </c>
      <c r="N575" s="585">
        <f t="shared" si="270"/>
        <v>-0.12986588709456073</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-14.97768808947006</v>
      </c>
      <c r="X575" s="590">
        <f t="shared" si="276"/>
        <v>-183.04791403441951</v>
      </c>
      <c r="Y575" s="593">
        <f t="shared" si="277"/>
        <v>-3.0479140344195059</v>
      </c>
      <c r="AA575" s="150">
        <f t="shared" si="278"/>
        <v>102330</v>
      </c>
      <c r="AB575" s="150">
        <f t="shared" si="279"/>
        <v>10471428900</v>
      </c>
      <c r="AD575" s="592">
        <f t="shared" si="280"/>
        <v>26.585514990620922</v>
      </c>
      <c r="AE575" s="593">
        <f t="shared" si="281"/>
        <v>-27.962035357591656</v>
      </c>
      <c r="AG575" s="592">
        <f t="shared" si="282"/>
        <v>-9.5365777020961087</v>
      </c>
      <c r="AH575" s="593">
        <f t="shared" si="283"/>
        <v>-32.318081807638258</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5">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1.0086900463232082</v>
      </c>
      <c r="N576" s="585">
        <f t="shared" si="270"/>
        <v>-0.13135888800530005</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-15.154238771158317</v>
      </c>
      <c r="X576" s="590">
        <f t="shared" si="276"/>
        <v>-183.89692142646135</v>
      </c>
      <c r="Y576" s="593">
        <f t="shared" si="277"/>
        <v>-3.896921426461347</v>
      </c>
      <c r="AA576" s="150">
        <f t="shared" si="278"/>
        <v>103520</v>
      </c>
      <c r="AB576" s="150">
        <f t="shared" si="279"/>
        <v>10716390400</v>
      </c>
      <c r="AD576" s="592">
        <f t="shared" si="280"/>
        <v>26.564294341545338</v>
      </c>
      <c r="AE576" s="593">
        <f t="shared" si="281"/>
        <v>-28.223860374764811</v>
      </c>
      <c r="AG576" s="592">
        <f t="shared" si="282"/>
        <v>-9.5780530119934841</v>
      </c>
      <c r="AH576" s="593">
        <f t="shared" si="283"/>
        <v>-31.841720046464758</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5">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1.0088900997326442</v>
      </c>
      <c r="N577" s="585">
        <f t="shared" si="270"/>
        <v>-0.1328513001455574</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-15.32982767922049</v>
      </c>
      <c r="X577" s="590">
        <f t="shared" si="276"/>
        <v>-184.74139500711672</v>
      </c>
      <c r="Y577" s="593">
        <f t="shared" si="277"/>
        <v>-4.7413950071167221</v>
      </c>
      <c r="AA577" s="150">
        <f t="shared" si="278"/>
        <v>104710</v>
      </c>
      <c r="AB577" s="150">
        <f t="shared" si="279"/>
        <v>10964184100</v>
      </c>
      <c r="AD577" s="592">
        <f t="shared" si="280"/>
        <v>26.542933914244195</v>
      </c>
      <c r="AE577" s="593">
        <f t="shared" si="281"/>
        <v>-28.484558150512125</v>
      </c>
      <c r="AG577" s="592">
        <f t="shared" si="282"/>
        <v>-9.6182896842473298</v>
      </c>
      <c r="AH577" s="593">
        <f t="shared" si="283"/>
        <v>-31.368402816740019</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5">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1.0090975283487136</v>
      </c>
      <c r="N578" s="585">
        <f t="shared" si="270"/>
        <v>-0.1343807183084588</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-15.508863839160444</v>
      </c>
      <c r="X578" s="590">
        <f t="shared" si="276"/>
        <v>-185.60250945239068</v>
      </c>
      <c r="Y578" s="593">
        <f t="shared" si="277"/>
        <v>-5.6025094523906773</v>
      </c>
      <c r="AA578" s="150">
        <f t="shared" si="278"/>
        <v>105930</v>
      </c>
      <c r="AB578" s="150">
        <f t="shared" si="279"/>
        <v>11221164900</v>
      </c>
      <c r="AD578" s="592">
        <f t="shared" si="280"/>
        <v>26.520892539884656</v>
      </c>
      <c r="AE578" s="593">
        <f t="shared" si="281"/>
        <v>-28.750648859838716</v>
      </c>
      <c r="AG578" s="592">
        <f t="shared" si="282"/>
        <v>-9.6582874316809058</v>
      </c>
      <c r="AH578" s="593">
        <f t="shared" si="283"/>
        <v>-30.88625636632052</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5">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1.0093073163914907</v>
      </c>
      <c r="N579" s="585">
        <f t="shared" si="270"/>
        <v>-0.13590950425635209</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-15.686927300962237</v>
      </c>
      <c r="X579" s="590">
        <f t="shared" si="276"/>
        <v>-186.45897750396327</v>
      </c>
      <c r="Y579" s="593">
        <f t="shared" si="277"/>
        <v>-6.4589775039632684</v>
      </c>
      <c r="AA579" s="150">
        <f t="shared" si="278"/>
        <v>107150</v>
      </c>
      <c r="AB579" s="150">
        <f t="shared" si="279"/>
        <v>11481122500</v>
      </c>
      <c r="AD579" s="592">
        <f t="shared" si="280"/>
        <v>26.498709644049327</v>
      </c>
      <c r="AE579" s="593">
        <f t="shared" si="281"/>
        <v>-29.015536954658625</v>
      </c>
      <c r="AG579" s="592">
        <f t="shared" si="282"/>
        <v>-9.6970483108760792</v>
      </c>
      <c r="AH579" s="593">
        <f t="shared" si="283"/>
        <v>-30.407192787123272</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5">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1.0095247087864774</v>
      </c>
      <c r="N580" s="585">
        <f t="shared" si="270"/>
        <v>-0.13747522051776501</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-15.868379739250273</v>
      </c>
      <c r="X580" s="590">
        <f t="shared" si="276"/>
        <v>-187.33175047391794</v>
      </c>
      <c r="Y580" s="593">
        <f t="shared" si="277"/>
        <v>-7.3317504739179356</v>
      </c>
      <c r="AA580" s="150">
        <f t="shared" si="278"/>
        <v>108400</v>
      </c>
      <c r="AB580" s="150">
        <f t="shared" si="279"/>
        <v>11750560000</v>
      </c>
      <c r="AD580" s="592">
        <f t="shared" si="280"/>
        <v>26.4758373140921</v>
      </c>
      <c r="AE580" s="593">
        <f t="shared" si="281"/>
        <v>-29.285682830833686</v>
      </c>
      <c r="AG580" s="592">
        <f t="shared" si="282"/>
        <v>-9.735511970064028</v>
      </c>
      <c r="AH580" s="593">
        <f t="shared" si="283"/>
        <v>-29.919484179589013</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5">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1.009744574929222</v>
      </c>
      <c r="N581" s="585">
        <f t="shared" si="270"/>
        <v>-0.13904025876279727</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-16.048849531836819</v>
      </c>
      <c r="X581" s="590">
        <f t="shared" si="276"/>
        <v>-188.1997748838167</v>
      </c>
      <c r="Y581" s="593">
        <f t="shared" si="277"/>
        <v>-8.1997748838167013</v>
      </c>
      <c r="AA581" s="150">
        <f t="shared" si="278"/>
        <v>109650</v>
      </c>
      <c r="AB581" s="150">
        <f t="shared" si="279"/>
        <v>12023122500</v>
      </c>
      <c r="AD581" s="592">
        <f t="shared" si="280"/>
        <v>26.452822154146599</v>
      </c>
      <c r="AE581" s="593">
        <f t="shared" si="281"/>
        <v>-29.554549494591388</v>
      </c>
      <c r="AG581" s="592">
        <f t="shared" si="282"/>
        <v>-9.7727420065654531</v>
      </c>
      <c r="AH581" s="593">
        <f t="shared" si="283"/>
        <v>-29.434885165939331</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5">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1.0099713851742103</v>
      </c>
      <c r="N582" s="585">
        <f t="shared" si="270"/>
        <v>-0.14063589179137242</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-16.231935651115556</v>
      </c>
      <c r="X582" s="590">
        <f t="shared" si="276"/>
        <v>-189.08033598603166</v>
      </c>
      <c r="Y582" s="593">
        <f t="shared" si="277"/>
        <v>-9.0803359860316561</v>
      </c>
      <c r="AA582" s="150">
        <f t="shared" si="278"/>
        <v>110925</v>
      </c>
      <c r="AB582" s="150">
        <f t="shared" si="279"/>
        <v>12304355625</v>
      </c>
      <c r="AD582" s="592">
        <f t="shared" si="280"/>
        <v>26.429202530318634</v>
      </c>
      <c r="AE582" s="593">
        <f t="shared" si="281"/>
        <v>-29.82746778885916</v>
      </c>
      <c r="AG582" s="592">
        <f t="shared" si="282"/>
        <v>-9.8094778666024141</v>
      </c>
      <c r="AH582" s="593">
        <f t="shared" si="283"/>
        <v>-28.943730961384553</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5">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1.0102007656930596</v>
      </c>
      <c r="N583" s="585">
        <f t="shared" si="270"/>
        <v>-0.14223080425657822</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-16.414037842782335</v>
      </c>
      <c r="X583" s="590">
        <f t="shared" si="276"/>
        <v>-189.95609504513004</v>
      </c>
      <c r="Y583" s="593">
        <f t="shared" si="277"/>
        <v>-9.9560950451300414</v>
      </c>
      <c r="AA583" s="150">
        <f t="shared" si="278"/>
        <v>112200</v>
      </c>
      <c r="AB583" s="150">
        <f t="shared" si="279"/>
        <v>12588840000</v>
      </c>
      <c r="AD583" s="592">
        <f t="shared" si="280"/>
        <v>26.405440330230981</v>
      </c>
      <c r="AE583" s="593">
        <f t="shared" si="281"/>
        <v>-30.099039867859521</v>
      </c>
      <c r="AG583" s="592">
        <f t="shared" si="282"/>
        <v>-9.8449940641359532</v>
      </c>
      <c r="AH583" s="593">
        <f t="shared" si="283"/>
        <v>-28.455676713015553</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5">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1.0104391181691246</v>
      </c>
      <c r="N584" s="585">
        <f t="shared" si="270"/>
        <v>-0.14386874011775727</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-16.600133577834029</v>
      </c>
      <c r="X584" s="590">
        <f t="shared" si="276"/>
        <v>-190.85096669595285</v>
      </c>
      <c r="Y584" s="593">
        <f t="shared" si="277"/>
        <v>-10.850966695952849</v>
      </c>
      <c r="AA584" s="150">
        <f t="shared" si="278"/>
        <v>113510</v>
      </c>
      <c r="AB584" s="150">
        <f t="shared" si="279"/>
        <v>12884520100</v>
      </c>
      <c r="AD584" s="592">
        <f t="shared" si="280"/>
        <v>26.380880497390716</v>
      </c>
      <c r="AE584" s="593">
        <f t="shared" si="281"/>
        <v>-30.376657516397032</v>
      </c>
      <c r="AG584" s="592">
        <f t="shared" si="282"/>
        <v>-9.8802467831127601</v>
      </c>
      <c r="AH584" s="593">
        <f t="shared" si="283"/>
        <v>-27.957381807952679</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5">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1.0106801802026382</v>
      </c>
      <c r="N585" s="585">
        <f t="shared" si="270"/>
        <v>-0.14550589902601421</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-16.785229690949638</v>
      </c>
      <c r="X585" s="590">
        <f t="shared" si="276"/>
        <v>-191.74091933162796</v>
      </c>
      <c r="Y585" s="593">
        <f t="shared" si="277"/>
        <v>-11.740919331627964</v>
      </c>
      <c r="AA585" s="150">
        <f t="shared" si="278"/>
        <v>114820</v>
      </c>
      <c r="AB585" s="150">
        <f t="shared" si="279"/>
        <v>13183632400</v>
      </c>
      <c r="AD585" s="592">
        <f t="shared" si="280"/>
        <v>26.356176570978391</v>
      </c>
      <c r="AE585" s="593">
        <f t="shared" si="281"/>
        <v>-30.652839990567301</v>
      </c>
      <c r="AG585" s="592">
        <f t="shared" si="282"/>
        <v>-9.9142756549949684</v>
      </c>
      <c r="AH585" s="593">
        <f t="shared" si="283"/>
        <v>-27.462213075996157</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5">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1.0109286282641992</v>
      </c>
      <c r="N586" s="585">
        <f t="shared" si="270"/>
        <v>-0.14717349358194567</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-16.972849366667454</v>
      </c>
      <c r="X586" s="590">
        <f t="shared" si="276"/>
        <v>-192.64287412991064</v>
      </c>
      <c r="Y586" s="593">
        <f t="shared" si="277"/>
        <v>-12.642874129910638</v>
      </c>
      <c r="AA586" s="150">
        <f t="shared" si="278"/>
        <v>116155</v>
      </c>
      <c r="AB586" s="150">
        <f t="shared" si="279"/>
        <v>13491984025</v>
      </c>
      <c r="AD586" s="592">
        <f t="shared" si="280"/>
        <v>26.330856279188275</v>
      </c>
      <c r="AE586" s="593">
        <f t="shared" si="281"/>
        <v>-30.932810187832494</v>
      </c>
      <c r="AG586" s="592">
        <f t="shared" si="282"/>
        <v>-9.9477262814616836</v>
      </c>
      <c r="AH586" s="593">
        <f t="shared" si="283"/>
        <v>-26.960734080804873</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5">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1.0111798862024548</v>
      </c>
      <c r="N587" s="585">
        <f t="shared" si="270"/>
        <v>-0.14884026404338305</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-17.159470065403536</v>
      </c>
      <c r="X587" s="590">
        <f t="shared" si="276"/>
        <v>-193.53988057272508</v>
      </c>
      <c r="Y587" s="593">
        <f t="shared" si="277"/>
        <v>-13.539880572725082</v>
      </c>
      <c r="AA587" s="150">
        <f t="shared" si="278"/>
        <v>117490</v>
      </c>
      <c r="AB587" s="150">
        <f t="shared" si="279"/>
        <v>13803900100</v>
      </c>
      <c r="AD587" s="592">
        <f t="shared" si="280"/>
        <v>26.305393054210072</v>
      </c>
      <c r="AE587" s="593">
        <f t="shared" si="281"/>
        <v>-31.211277536343722</v>
      </c>
      <c r="AG587" s="592">
        <f t="shared" si="282"/>
        <v>-9.9799683182090959</v>
      </c>
      <c r="AH587" s="593">
        <f t="shared" si="283"/>
        <v>-26.462346449142014</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5">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1.0114406505743085</v>
      </c>
      <c r="N588" s="585">
        <f t="shared" si="270"/>
        <v>-0.1505498667563113</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-17.349964711392044</v>
      </c>
      <c r="X588" s="590">
        <f t="shared" si="276"/>
        <v>-194.4553442878599</v>
      </c>
      <c r="Y588" s="593">
        <f t="shared" si="277"/>
        <v>-14.455344287859901</v>
      </c>
      <c r="AA588" s="150">
        <f t="shared" si="278"/>
        <v>118860</v>
      </c>
      <c r="AB588" s="150">
        <f t="shared" si="279"/>
        <v>14127699600</v>
      </c>
      <c r="AD588" s="592">
        <f t="shared" si="280"/>
        <v>26.279117158594254</v>
      </c>
      <c r="AE588" s="593">
        <f t="shared" si="281"/>
        <v>-31.495477473263026</v>
      </c>
      <c r="AG588" s="592">
        <f t="shared" si="282"/>
        <v>-10.011830162062623</v>
      </c>
      <c r="AH588" s="593">
        <f t="shared" si="283"/>
        <v>-25.954024468474394</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5">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1.0117043695967267</v>
      </c>
      <c r="N589" s="585">
        <f t="shared" ref="N589:N613" si="302">-ATAN(G589/z_RHP)</f>
        <v>-0.15225858318354824</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-17.539447210953099</v>
      </c>
      <c r="X589" s="590">
        <f t="shared" ref="X589:X613" si="308">((L589+R589+N589+V589)-(J589+P589+T589))*radconv</f>
        <v>-195.36576955647908</v>
      </c>
      <c r="Y589" s="593">
        <f t="shared" ref="Y589:Y613" si="309">IF(X589&gt;0,X589,X589+180)</f>
        <v>-15.36576955647908</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-10.042481068956553</v>
      </c>
      <c r="AH589" s="593">
        <f t="shared" ref="AH589:AH613" si="315">(L589+N589-(J589+V589))*radconv</f>
        <v>-25.448791399307243</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5">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1.0128535234058713</v>
      </c>
      <c r="N590" s="585">
        <f t="shared" si="302"/>
        <v>-0.15948253346192012</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-18.330861217630762</v>
      </c>
      <c r="X590" s="590">
        <f t="shared" si="308"/>
        <v>-199.16632040847651</v>
      </c>
      <c r="Y590" s="593">
        <f t="shared" si="309"/>
        <v>-19.166320408476508</v>
      </c>
      <c r="AA590" s="150">
        <f t="shared" si="310"/>
        <v>126030</v>
      </c>
      <c r="AB590" s="150">
        <f t="shared" si="311"/>
        <v>15883560900</v>
      </c>
      <c r="AD590" s="592">
        <f t="shared" si="312"/>
        <v>26.1393417947017</v>
      </c>
      <c r="AE590" s="593">
        <f t="shared" si="313"/>
        <v>-32.95677510173924</v>
      </c>
      <c r="AG590" s="592">
        <f t="shared" si="314"/>
        <v>-10.159482817998677</v>
      </c>
      <c r="AH590" s="593">
        <f t="shared" si="315"/>
        <v>-23.342137107602191</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5">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1.0140554120367125</v>
      </c>
      <c r="N591" s="585">
        <f t="shared" si="302"/>
        <v>-0.16668973504204265</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-19.105856946467668</v>
      </c>
      <c r="X591" s="590">
        <f t="shared" si="308"/>
        <v>-202.88475868565527</v>
      </c>
      <c r="Y591" s="593">
        <f t="shared" si="309"/>
        <v>-22.884758685655271</v>
      </c>
      <c r="AA591" s="150">
        <f t="shared" si="310"/>
        <v>131830</v>
      </c>
      <c r="AB591" s="150">
        <f t="shared" si="311"/>
        <v>17379148900</v>
      </c>
      <c r="AD591" s="592">
        <f t="shared" si="312"/>
        <v>26.023740080693585</v>
      </c>
      <c r="AE591" s="593">
        <f t="shared" si="313"/>
        <v>-34.106611219246382</v>
      </c>
      <c r="AG591" s="592">
        <f t="shared" si="314"/>
        <v>-10.257275568497921</v>
      </c>
      <c r="AH591" s="593">
        <f t="shared" si="315"/>
        <v>-21.283017622684856</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5">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1.0168726815412474</v>
      </c>
      <c r="N592" s="585">
        <f t="shared" si="302"/>
        <v>-0.18242153601684929</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-20.752828490426602</v>
      </c>
      <c r="X592" s="590">
        <f t="shared" si="308"/>
        <v>-210.77822064940545</v>
      </c>
      <c r="Y592" s="593">
        <f t="shared" si="309"/>
        <v>-30.778220649405455</v>
      </c>
      <c r="AA592" s="150">
        <f t="shared" si="310"/>
        <v>144540</v>
      </c>
      <c r="AB592" s="150">
        <f t="shared" si="311"/>
        <v>20891811600</v>
      </c>
      <c r="AD592" s="592">
        <f t="shared" si="312"/>
        <v>25.763765043160276</v>
      </c>
      <c r="AE592" s="593">
        <f t="shared" si="313"/>
        <v>-36.525312484200356</v>
      </c>
      <c r="AG592" s="592">
        <f t="shared" si="314"/>
        <v>-10.412087942539934</v>
      </c>
      <c r="AH592" s="593">
        <f t="shared" si="315"/>
        <v>-16.906691712465264</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5">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1.0202527737672158</v>
      </c>
      <c r="N593" s="585">
        <f t="shared" si="302"/>
        <v>-0.19958339813732776</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-22.490971345565349</v>
      </c>
      <c r="X593" s="590">
        <f t="shared" si="308"/>
        <v>-219.10526381647583</v>
      </c>
      <c r="Y593" s="593">
        <f t="shared" si="309"/>
        <v>-39.105263816475826</v>
      </c>
      <c r="AA593" s="150">
        <f t="shared" si="310"/>
        <v>158490</v>
      </c>
      <c r="AB593" s="150">
        <f t="shared" si="311"/>
        <v>25119080100</v>
      </c>
      <c r="AD593" s="592">
        <f t="shared" si="312"/>
        <v>25.470245616071296</v>
      </c>
      <c r="AE593" s="593">
        <f t="shared" si="313"/>
        <v>-39.022104297143159</v>
      </c>
      <c r="AG593" s="592">
        <f t="shared" si="314"/>
        <v>-10.499646095059617</v>
      </c>
      <c r="AH593" s="593">
        <f t="shared" si="315"/>
        <v>-12.256536244183176</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5">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1.0243002725456674</v>
      </c>
      <c r="N594" s="585">
        <f t="shared" si="302"/>
        <v>-0.21825755063042618</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-24.329593352614154</v>
      </c>
      <c r="X594" s="590">
        <f t="shared" si="308"/>
        <v>-227.92937982966595</v>
      </c>
      <c r="Y594" s="593">
        <f t="shared" si="309"/>
        <v>-47.929379829665947</v>
      </c>
      <c r="AA594" s="150">
        <f t="shared" si="310"/>
        <v>173780</v>
      </c>
      <c r="AB594" s="150">
        <f t="shared" si="311"/>
        <v>30199488400</v>
      </c>
      <c r="AD594" s="592">
        <f t="shared" si="312"/>
        <v>25.141890801048167</v>
      </c>
      <c r="AE594" s="593">
        <f t="shared" si="313"/>
        <v>-41.574744849106672</v>
      </c>
      <c r="AG594" s="592">
        <f t="shared" si="314"/>
        <v>-10.50767338855338</v>
      </c>
      <c r="AH594" s="593">
        <f t="shared" si="315"/>
        <v>-7.2509790012524205</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5">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1.0291468033188218</v>
      </c>
      <c r="N595" s="585">
        <f t="shared" si="302"/>
        <v>-0.23856248238200436</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-26.289087346155782</v>
      </c>
      <c r="X595" s="590">
        <f t="shared" si="308"/>
        <v>-237.37624618724519</v>
      </c>
      <c r="Y595" s="593">
        <f t="shared" si="309"/>
        <v>-57.376246187245187</v>
      </c>
      <c r="AA595" s="150">
        <f t="shared" si="310"/>
        <v>190550</v>
      </c>
      <c r="AB595" s="150">
        <f t="shared" si="311"/>
        <v>36309302500</v>
      </c>
      <c r="AD595" s="592">
        <f t="shared" si="312"/>
        <v>24.777313356132204</v>
      </c>
      <c r="AE595" s="593">
        <f t="shared" si="313"/>
        <v>-44.16407882802968</v>
      </c>
      <c r="AG595" s="592">
        <f t="shared" si="314"/>
        <v>-10.415724501373496</v>
      </c>
      <c r="AH595" s="593">
        <f t="shared" si="315"/>
        <v>-1.7512737907321685</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5">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1.0349410750364152</v>
      </c>
      <c r="N596" s="585">
        <f t="shared" si="302"/>
        <v>-0.26058824305108624</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-28.401976235778616</v>
      </c>
      <c r="X596" s="590">
        <f t="shared" si="308"/>
        <v>-247.62887096748736</v>
      </c>
      <c r="Y596" s="593">
        <f t="shared" si="309"/>
        <v>-67.628870967487359</v>
      </c>
      <c r="AA596" s="150">
        <f t="shared" si="310"/>
        <v>208930</v>
      </c>
      <c r="AB596" s="150">
        <f t="shared" si="311"/>
        <v>43651744900</v>
      </c>
      <c r="AD596" s="592">
        <f t="shared" si="312"/>
        <v>24.376186454266442</v>
      </c>
      <c r="AE596" s="593">
        <f t="shared" si="313"/>
        <v>-46.766099675312738</v>
      </c>
      <c r="AG596" s="592">
        <f t="shared" si="314"/>
        <v>-10.187656016145954</v>
      </c>
      <c r="AH596" s="593">
        <f t="shared" si="315"/>
        <v>4.4461163563492363</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5">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1.0418669493795216</v>
      </c>
      <c r="N597" s="585">
        <f t="shared" si="302"/>
        <v>-0.28445245576925043</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-30.734378735767706</v>
      </c>
      <c r="X597" s="590">
        <f t="shared" si="308"/>
        <v>-258.99563995779141</v>
      </c>
      <c r="Y597" s="593">
        <f t="shared" si="309"/>
        <v>-78.995639957791411</v>
      </c>
      <c r="AA597" s="150">
        <f t="shared" si="310"/>
        <v>229090</v>
      </c>
      <c r="AB597" s="150">
        <f t="shared" si="311"/>
        <v>52482228100</v>
      </c>
      <c r="AD597" s="592">
        <f t="shared" si="312"/>
        <v>23.938225118154275</v>
      </c>
      <c r="AE597" s="593">
        <f t="shared" si="313"/>
        <v>-49.360242832493199</v>
      </c>
      <c r="AG597" s="592">
        <f t="shared" si="314"/>
        <v>-9.7554420170335447</v>
      </c>
      <c r="AH597" s="593">
        <f t="shared" si="315"/>
        <v>11.665690071122347</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5">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1.0501313609790308</v>
      </c>
      <c r="N598" s="585">
        <f t="shared" si="302"/>
        <v>-0.31023511728672454</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-33.417174234869108</v>
      </c>
      <c r="X598" s="590">
        <f t="shared" si="308"/>
        <v>-271.94330124733091</v>
      </c>
      <c r="Y598" s="593">
        <f t="shared" si="309"/>
        <v>-91.943301247330908</v>
      </c>
      <c r="AA598" s="150">
        <f t="shared" si="310"/>
        <v>251190</v>
      </c>
      <c r="AB598" s="150">
        <f t="shared" si="311"/>
        <v>63096416100</v>
      </c>
      <c r="AD598" s="592">
        <f t="shared" si="312"/>
        <v>23.464301545813719</v>
      </c>
      <c r="AE598" s="593">
        <f t="shared" si="313"/>
        <v>-51.923002738973317</v>
      </c>
      <c r="AG598" s="592">
        <f t="shared" si="314"/>
        <v>-8.9826624409864877</v>
      </c>
      <c r="AH598" s="593">
        <f t="shared" si="315"/>
        <v>20.396767009951713</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5">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1.0599810702606767</v>
      </c>
      <c r="N599" s="585">
        <f t="shared" si="302"/>
        <v>-0.33802014304233391</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-36.749177293466062</v>
      </c>
      <c r="X599" s="590">
        <f t="shared" si="308"/>
        <v>-287.19403126953262</v>
      </c>
      <c r="Y599" s="593">
        <f t="shared" si="309"/>
        <v>-107.19403126953262</v>
      </c>
      <c r="AA599" s="150">
        <f t="shared" si="310"/>
        <v>275420</v>
      </c>
      <c r="AB599" s="150">
        <f t="shared" si="311"/>
        <v>75856176400</v>
      </c>
      <c r="AD599" s="592">
        <f t="shared" si="312"/>
        <v>22.955562257354515</v>
      </c>
      <c r="AE599" s="593">
        <f t="shared" si="313"/>
        <v>-54.434142428718481</v>
      </c>
      <c r="AG599" s="592">
        <f t="shared" si="314"/>
        <v>-7.5652032243470533</v>
      </c>
      <c r="AH599" s="593">
        <f t="shared" si="315"/>
        <v>31.381827069301661</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5">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1.071708674330293</v>
      </c>
      <c r="N600" s="585">
        <f t="shared" si="302"/>
        <v>-0.36788689094002214</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-41.522746445858331</v>
      </c>
      <c r="X600" s="590">
        <f t="shared" si="308"/>
        <v>-305.73066088156384</v>
      </c>
      <c r="Y600" s="593">
        <f t="shared" si="309"/>
        <v>-125.73066088156384</v>
      </c>
      <c r="AA600" s="150">
        <f t="shared" si="310"/>
        <v>302000</v>
      </c>
      <c r="AB600" s="150">
        <f t="shared" si="311"/>
        <v>91204000000</v>
      </c>
      <c r="AD600" s="592">
        <f t="shared" si="312"/>
        <v>22.413412245024659</v>
      </c>
      <c r="AE600" s="593">
        <f t="shared" si="313"/>
        <v>-56.876468905518337</v>
      </c>
      <c r="AG600" s="592">
        <f t="shared" si="314"/>
        <v>-4.7050797871887813</v>
      </c>
      <c r="AH600" s="593">
        <f t="shared" si="315"/>
        <v>45.622825267033178</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5">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1.0856338526350446</v>
      </c>
      <c r="N601" s="585">
        <f t="shared" si="302"/>
        <v>-0.39984621177105723</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-50.885558740230636</v>
      </c>
      <c r="X601" s="590">
        <f t="shared" si="308"/>
        <v>-328.3551793699225</v>
      </c>
      <c r="Y601" s="593">
        <f t="shared" si="309"/>
        <v>-148.3551793699225</v>
      </c>
      <c r="AA601" s="150">
        <f t="shared" si="310"/>
        <v>331130</v>
      </c>
      <c r="AB601" s="150">
        <f t="shared" si="311"/>
        <v>109647076900</v>
      </c>
      <c r="AD601" s="592">
        <f t="shared" si="312"/>
        <v>21.840462199252933</v>
      </c>
      <c r="AE601" s="593">
        <f t="shared" si="313"/>
        <v>-59.231846228384406</v>
      </c>
      <c r="AG601" s="592">
        <f t="shared" si="314"/>
        <v>2.7548427214042053</v>
      </c>
      <c r="AH601" s="593">
        <f t="shared" si="315"/>
        <v>63.947905557633739</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5">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1.1021475489663428</v>
      </c>
      <c r="N602" s="585">
        <f t="shared" si="302"/>
        <v>-0.43393213747952752</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-56.030863351210471</v>
      </c>
      <c r="X602" s="590">
        <f t="shared" si="308"/>
        <v>-174.46665919202908</v>
      </c>
      <c r="Y602" s="593">
        <f t="shared" si="309"/>
        <v>5.5333408079709159</v>
      </c>
      <c r="AA602" s="150">
        <f t="shared" si="310"/>
        <v>363080</v>
      </c>
      <c r="AB602" s="150">
        <f t="shared" si="311"/>
        <v>131827086400</v>
      </c>
      <c r="AD602" s="592">
        <f t="shared" si="312"/>
        <v>21.238633749384725</v>
      </c>
      <c r="AE602" s="593">
        <f t="shared" si="313"/>
        <v>-61.489398060057276</v>
      </c>
      <c r="AG602" s="592">
        <f t="shared" si="314"/>
        <v>6.0147714432529744</v>
      </c>
      <c r="AH602" s="593">
        <f t="shared" si="315"/>
        <v>-94.224264302124126</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5">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1.1216782993729675</v>
      </c>
      <c r="N603" s="585">
        <f t="shared" si="302"/>
        <v>-0.47010393038116616</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-47.631183868854947</v>
      </c>
      <c r="X603" s="590">
        <f t="shared" si="308"/>
        <v>-201.11486686959242</v>
      </c>
      <c r="Y603" s="593">
        <f t="shared" si="309"/>
        <v>-21.114866869592419</v>
      </c>
      <c r="AA603" s="150">
        <f t="shared" si="310"/>
        <v>398110</v>
      </c>
      <c r="AB603" s="150">
        <f t="shared" si="311"/>
        <v>158491572100</v>
      </c>
      <c r="AD603" s="592">
        <f t="shared" si="312"/>
        <v>20.610685423701931</v>
      </c>
      <c r="AE603" s="593">
        <f t="shared" si="313"/>
        <v>-63.638566210118348</v>
      </c>
      <c r="AG603" s="592">
        <f t="shared" si="314"/>
        <v>-4.2428568048957578</v>
      </c>
      <c r="AH603" s="593">
        <f t="shared" si="315"/>
        <v>-71.817679571662367</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5">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1.1447186358035091</v>
      </c>
      <c r="N604" s="585">
        <f t="shared" si="302"/>
        <v>-0.5082918538964315</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-46.192236762662937</v>
      </c>
      <c r="X604" s="590">
        <f t="shared" si="308"/>
        <v>-225.37349460883925</v>
      </c>
      <c r="Y604" s="593">
        <f t="shared" si="309"/>
        <v>-45.373494608839252</v>
      </c>
      <c r="AA604" s="150">
        <f t="shared" si="310"/>
        <v>436520</v>
      </c>
      <c r="AB604" s="150">
        <f t="shared" si="311"/>
        <v>190549710400</v>
      </c>
      <c r="AD604" s="592">
        <f t="shared" si="312"/>
        <v>19.959167576517196</v>
      </c>
      <c r="AE604" s="593">
        <f t="shared" si="313"/>
        <v>-65.672917710223075</v>
      </c>
      <c r="AG604" s="592">
        <f t="shared" si="314"/>
        <v>-7.502775147001306</v>
      </c>
      <c r="AH604" s="593">
        <f t="shared" si="315"/>
        <v>-51.732176966299548</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5">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1.171815887229062</v>
      </c>
      <c r="N605" s="585">
        <f t="shared" si="302"/>
        <v>-0.54836806102234403</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-46.785357848342827</v>
      </c>
      <c r="X605" s="590">
        <f t="shared" si="308"/>
        <v>-246.86100292913048</v>
      </c>
      <c r="Y605" s="593">
        <f t="shared" si="309"/>
        <v>-66.861002929130478</v>
      </c>
      <c r="AA605" s="150">
        <f t="shared" si="310"/>
        <v>478630</v>
      </c>
      <c r="AB605" s="150">
        <f t="shared" si="311"/>
        <v>229086676900</v>
      </c>
      <c r="AD605" s="592">
        <f t="shared" si="312"/>
        <v>19.286745881814337</v>
      </c>
      <c r="AE605" s="593">
        <f t="shared" si="313"/>
        <v>-67.588373437493217</v>
      </c>
      <c r="AG605" s="592">
        <f t="shared" si="314"/>
        <v>-8.683379745980611</v>
      </c>
      <c r="AH605" s="593">
        <f t="shared" si="315"/>
        <v>-34.319037356833675</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5">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1.2035914850612761</v>
      </c>
      <c r="N606" s="585">
        <f t="shared" si="302"/>
        <v>-0.59016891634751933</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-48.376656529163199</v>
      </c>
      <c r="X606" s="590">
        <f t="shared" si="308"/>
        <v>-267.18419321676527</v>
      </c>
      <c r="Y606" s="593">
        <f t="shared" si="309"/>
        <v>-87.184193216765266</v>
      </c>
      <c r="AA606" s="150">
        <f t="shared" si="310"/>
        <v>524810</v>
      </c>
      <c r="AB606" s="150">
        <f t="shared" si="311"/>
        <v>275425536100</v>
      </c>
      <c r="AD606" s="592">
        <f t="shared" si="312"/>
        <v>18.595693084520853</v>
      </c>
      <c r="AE606" s="593">
        <f t="shared" si="313"/>
        <v>-69.384144047341096</v>
      </c>
      <c r="AG606" s="592">
        <f t="shared" si="314"/>
        <v>-8.8089650568528359</v>
      </c>
      <c r="AH606" s="593">
        <f t="shared" si="315"/>
        <v>-17.939641307508918</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5">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1.2407134042100689</v>
      </c>
      <c r="N607" s="585">
        <f t="shared" si="302"/>
        <v>-0.63345379611535968</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-50.850021402275587</v>
      </c>
      <c r="X607" s="590">
        <f t="shared" si="308"/>
        <v>-289.1405186121508</v>
      </c>
      <c r="Y607" s="593">
        <f t="shared" si="309"/>
        <v>-109.1405186121508</v>
      </c>
      <c r="AA607" s="150">
        <f t="shared" si="310"/>
        <v>575440</v>
      </c>
      <c r="AB607" s="150">
        <f t="shared" si="311"/>
        <v>331131193600</v>
      </c>
      <c r="AD607" s="592">
        <f t="shared" si="312"/>
        <v>17.888510358934901</v>
      </c>
      <c r="AE607" s="593">
        <f t="shared" si="313"/>
        <v>-71.060482689137473</v>
      </c>
      <c r="AG607" s="592">
        <f t="shared" si="314"/>
        <v>-7.9852140583821383</v>
      </c>
      <c r="AH607" s="593">
        <f t="shared" si="315"/>
        <v>0.24093791030275166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5">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1.2839277185225626</v>
      </c>
      <c r="N608" s="585">
        <f t="shared" si="302"/>
        <v>-0.67795010389096266</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-55.317585923064421</v>
      </c>
      <c r="X608" s="590">
        <f t="shared" si="308"/>
        <v>-317.57757134953721</v>
      </c>
      <c r="Y608" s="593">
        <f t="shared" si="309"/>
        <v>-137.57757134953721</v>
      </c>
      <c r="AA608" s="150">
        <f t="shared" si="310"/>
        <v>630960</v>
      </c>
      <c r="AB608" s="150">
        <f t="shared" si="311"/>
        <v>398110521600</v>
      </c>
      <c r="AD608" s="592">
        <f t="shared" si="312"/>
        <v>17.167189523716445</v>
      </c>
      <c r="AE608" s="593">
        <f t="shared" si="313"/>
        <v>-72.62015908377316</v>
      </c>
      <c r="AG608" s="592">
        <f t="shared" si="314"/>
        <v>-5.0907454247024901</v>
      </c>
      <c r="AH608" s="593">
        <f t="shared" si="315"/>
        <v>25.108971549474557</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5">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1.3340255363877422</v>
      </c>
      <c r="N609" s="585">
        <f t="shared" si="302"/>
        <v>-0.72332240963965744</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-74.01401331444643</v>
      </c>
      <c r="X609" s="590">
        <f t="shared" si="308"/>
        <v>-359.05530742091446</v>
      </c>
      <c r="Y609" s="593">
        <f t="shared" si="309"/>
        <v>-179.05530742091446</v>
      </c>
      <c r="AA609" s="150">
        <f t="shared" si="310"/>
        <v>691830</v>
      </c>
      <c r="AB609" s="150">
        <f t="shared" si="311"/>
        <v>478628748900</v>
      </c>
      <c r="AD609" s="592">
        <f t="shared" si="312"/>
        <v>16.433808127488739</v>
      </c>
      <c r="AE609" s="593">
        <f t="shared" si="313"/>
        <v>-74.066596163650985</v>
      </c>
      <c r="AG609" s="592">
        <f t="shared" si="314"/>
        <v>12.11838410135857</v>
      </c>
      <c r="AH609" s="593">
        <f t="shared" si="315"/>
        <v>63.266650060676568</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5">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1.3918775052204144</v>
      </c>
      <c r="N610" s="585">
        <f t="shared" si="302"/>
        <v>-0.76921914995668761</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-60.086840022431538</v>
      </c>
      <c r="X610" s="590">
        <f t="shared" si="308"/>
        <v>-226.20298424358282</v>
      </c>
      <c r="Y610" s="593">
        <f t="shared" si="309"/>
        <v>-46.202984243582819</v>
      </c>
      <c r="AA610" s="150">
        <f t="shared" si="310"/>
        <v>758580</v>
      </c>
      <c r="AB610" s="150">
        <f t="shared" si="311"/>
        <v>575443616400</v>
      </c>
      <c r="AD610" s="592">
        <f t="shared" si="312"/>
        <v>15.689933061058882</v>
      </c>
      <c r="AE610" s="593">
        <f t="shared" si="313"/>
        <v>-75.404801654260027</v>
      </c>
      <c r="AG610" s="592">
        <f t="shared" si="314"/>
        <v>-3.2024658138801003</v>
      </c>
      <c r="AH610" s="593">
        <f t="shared" si="315"/>
        <v>-72.615393348131605</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5">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1.4583870099598319</v>
      </c>
      <c r="N611" s="585">
        <f t="shared" si="302"/>
        <v>-0.81524641837650269</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-58.25935887402543</v>
      </c>
      <c r="X611" s="590">
        <f t="shared" si="308"/>
        <v>-262.79800790619174</v>
      </c>
      <c r="Y611" s="593">
        <f t="shared" si="309"/>
        <v>-82.798007906191742</v>
      </c>
      <c r="AA611" s="150">
        <f t="shared" si="310"/>
        <v>831760</v>
      </c>
      <c r="AB611" s="150">
        <f t="shared" si="311"/>
        <v>691824697600</v>
      </c>
      <c r="AD611" s="592">
        <f t="shared" si="312"/>
        <v>14.937269713483872</v>
      </c>
      <c r="AE611" s="593">
        <f t="shared" si="313"/>
        <v>-76.639805737207752</v>
      </c>
      <c r="AG611" s="592">
        <f t="shared" si="314"/>
        <v>-6.322509751793465</v>
      </c>
      <c r="AH611" s="593">
        <f t="shared" si="315"/>
        <v>-38.718375055117761</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5">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1.5345464382672744</v>
      </c>
      <c r="N612" s="585">
        <f t="shared" si="302"/>
        <v>-0.86102761948905082</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-59.932975223029679</v>
      </c>
      <c r="X612" s="590">
        <f t="shared" si="308"/>
        <v>-294.65503927821862</v>
      </c>
      <c r="Y612" s="593">
        <f t="shared" si="309"/>
        <v>-114.65503927821862</v>
      </c>
      <c r="AA612" s="150">
        <f t="shared" si="310"/>
        <v>912010</v>
      </c>
      <c r="AB612" s="150">
        <f t="shared" si="311"/>
        <v>831762240100</v>
      </c>
      <c r="AD612" s="592">
        <f t="shared" si="312"/>
        <v>14.176956283645154</v>
      </c>
      <c r="AE612" s="593">
        <f t="shared" si="313"/>
        <v>-77.777689946560542</v>
      </c>
      <c r="AG612" s="592">
        <f t="shared" si="314"/>
        <v>-5.8346276593113</v>
      </c>
      <c r="AH612" s="593">
        <f t="shared" si="315"/>
        <v>-9.1914523813328408</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5">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1.6213791209581894</v>
      </c>
      <c r="N613" s="585">
        <f t="shared" si="302"/>
        <v>-0.90617780266387282</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-66.448692288296471</v>
      </c>
      <c r="X613" s="590">
        <f t="shared" si="308"/>
        <v>-338.31290071982346</v>
      </c>
      <c r="Y613" s="593">
        <f t="shared" si="309"/>
        <v>-158.31290071982346</v>
      </c>
      <c r="AA613" s="150">
        <f t="shared" si="310"/>
        <v>1000000</v>
      </c>
      <c r="AB613" s="150">
        <f t="shared" si="311"/>
        <v>1000000000000</v>
      </c>
      <c r="AD613" s="592">
        <f t="shared" si="312"/>
        <v>13.410262120479651</v>
      </c>
      <c r="AE613" s="593">
        <f t="shared" si="313"/>
        <v>-78.82423353298563</v>
      </c>
      <c r="AG613" s="592">
        <f t="shared" si="314"/>
        <v>-0.39274911162607751</v>
      </c>
      <c r="AH613" s="593">
        <f t="shared" si="315"/>
        <v>32.535281890602256</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5">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5">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5">
      <c r="G616" s="150" t="s">
        <v>739</v>
      </c>
      <c r="M616" s="584"/>
      <c r="N616" s="585"/>
      <c r="W616" s="589"/>
      <c r="X616" s="590"/>
      <c r="Y616" s="601"/>
      <c r="AG616" s="592"/>
      <c r="AH616" s="593"/>
    </row>
    <row r="617" spans="7:44" x14ac:dyDescent="0.25">
      <c r="G617" s="602">
        <f>W4*1000</f>
        <v>28184</v>
      </c>
      <c r="H617" s="602"/>
      <c r="I617" s="603">
        <f t="shared" ref="I617:I626" si="329">SQRT(1+(G617/pole1)^2)</f>
        <v>27.515588528168493</v>
      </c>
      <c r="J617" s="595">
        <f t="shared" ref="J617:J626" si="330">ATAN(G617/pole1)</f>
        <v>1.534445286512615</v>
      </c>
      <c r="K617" s="595">
        <f t="shared" ref="K617:K626" si="331">SQRT(1+(G617/Zero1)^2)</f>
        <v>1.00011595960393</v>
      </c>
      <c r="L617" s="596">
        <f t="shared" ref="L617:L626" si="332">ATAN(G617/Zero1)</f>
        <v>1.5228158097016173E-2</v>
      </c>
      <c r="M617" s="584">
        <v>1</v>
      </c>
      <c r="N617" s="585">
        <v>0</v>
      </c>
      <c r="O617" s="603">
        <f t="shared" ref="O617:O626" si="333">SQRT(1+(G617/Pole2)^2)</f>
        <v>51000.564824421417</v>
      </c>
      <c r="P617" s="604">
        <f t="shared" ref="P617:P626" si="334">ATAN(G617/Pole2)</f>
        <v>1.5707767191689124</v>
      </c>
      <c r="Q617" s="595">
        <f t="shared" ref="Q617:Q626" si="335">SQRT(1+(G617/Zero2)^2)</f>
        <v>21.273751478780248</v>
      </c>
      <c r="R617" s="596">
        <f t="shared" ref="R617:R626" si="336">ATAN(G617/Zero2)</f>
        <v>1.5237727149617037</v>
      </c>
      <c r="S617" s="603">
        <f t="shared" ref="S617:S626" si="337">SQRT(1+(G617/pole4)^2)</f>
        <v>1.0099850934429324</v>
      </c>
      <c r="T617" s="604">
        <f t="shared" ref="T617:T626" si="338">ATAN(G617/pole4)</f>
        <v>0.14073173205134462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27.527532300585804</v>
      </c>
      <c r="AE617" s="593">
        <f>(R617-(P617+T617))*radconv</f>
        <v>-10.756465363687292</v>
      </c>
      <c r="AG617" s="592" t="e">
        <f>20*LOG10((K617*M617/(I617*U617))*Acs*Am)</f>
        <v>#DIV/0!</v>
      </c>
      <c r="AH617" s="593" t="e">
        <f>(L617+N617-(J617+V617))*radconv</f>
        <v>#DIV/0!</v>
      </c>
    </row>
    <row r="618" spans="7:44" x14ac:dyDescent="0.25">
      <c r="G618" s="602">
        <f>G617</f>
        <v>28184</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5">
      <c r="G619" s="150">
        <f>G618</f>
        <v>28184</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5">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5">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5">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5">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5">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5">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5">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8" thickBot="1" x14ac:dyDescent="0.3">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5">
      <c r="G628" s="175">
        <f>z_RHP</f>
        <v>783532.02842464671</v>
      </c>
      <c r="I628" s="603">
        <f>SQRT(1+(G628/pole1)^2)</f>
        <v>764.44509851393173</v>
      </c>
      <c r="J628" s="595">
        <f>ATAN(G628/pole1)</f>
        <v>1.5694881880061875</v>
      </c>
      <c r="K628" s="595">
        <f>SQRT(1+(G628/Zero1)^2)</f>
        <v>1.0859348657006913</v>
      </c>
      <c r="L628" s="596">
        <f>ATAN(G628/Zero1)</f>
        <v>0.4005016068855321</v>
      </c>
      <c r="M628" s="584">
        <v>1</v>
      </c>
      <c r="N628" s="585">
        <v>0</v>
      </c>
      <c r="O628" s="603">
        <f>SQRT(1+(G628/Pole2)^2)</f>
        <v>1417846.1538465065</v>
      </c>
      <c r="P628" s="604">
        <f>ATAN(G628/Pole2)</f>
        <v>1.5707956214997578</v>
      </c>
      <c r="Q628" s="595">
        <f>SQRT(1+(G628/Zero2)^2)</f>
        <v>590.77007712279112</v>
      </c>
      <c r="R628" s="596">
        <f>ATAN(G628/Zero2)</f>
        <v>1.5691036200782444</v>
      </c>
      <c r="S628" s="583">
        <f>SQRT(1+(G628/pole4)^2)</f>
        <v>4.0634319595559649</v>
      </c>
      <c r="T628" s="586">
        <f>ATAN(G628/pole4)</f>
        <v>1.3221445856043834</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5">
      <c r="G629" s="175">
        <v>195034.73926858415</v>
      </c>
      <c r="W629" s="589">
        <v>-25</v>
      </c>
    </row>
    <row r="631" spans="7:34" x14ac:dyDescent="0.25">
      <c r="J631" s="150" t="s">
        <v>743</v>
      </c>
      <c r="K631" s="150" t="s">
        <v>744</v>
      </c>
    </row>
    <row r="632" spans="7:34" x14ac:dyDescent="0.25">
      <c r="G632" s="150" t="s">
        <v>728</v>
      </c>
      <c r="H632" s="150" t="s">
        <v>745</v>
      </c>
      <c r="I632" s="152">
        <f>pole1</f>
        <v>1024.9692232299162</v>
      </c>
      <c r="J632" s="152" t="e">
        <f>W622</f>
        <v>#DIV/0!</v>
      </c>
      <c r="K632" s="152" t="e">
        <f>AG622</f>
        <v>#DIV/0!</v>
      </c>
    </row>
    <row r="633" spans="7:34" x14ac:dyDescent="0.25">
      <c r="G633" s="150" t="s">
        <v>729</v>
      </c>
      <c r="H633" s="150" t="s">
        <v>746</v>
      </c>
      <c r="I633" s="152">
        <f>Zero1</f>
        <v>1850638.8752762375</v>
      </c>
      <c r="J633" s="152" t="e">
        <f>W623</f>
        <v>#DIV/0!</v>
      </c>
      <c r="K633" s="152" t="e">
        <f>AG623</f>
        <v>#DIV/0!</v>
      </c>
    </row>
    <row r="634" spans="7:34" x14ac:dyDescent="0.25">
      <c r="G634" s="150" t="s">
        <v>730</v>
      </c>
      <c r="H634" s="150" t="s">
        <v>747</v>
      </c>
      <c r="I634" s="152">
        <f>Pole2</f>
        <v>0.5526213308116541</v>
      </c>
      <c r="J634" s="152" t="e">
        <f>W624</f>
        <v>#DIV/0!</v>
      </c>
      <c r="K634" s="152" t="e">
        <f>AG624</f>
        <v>#DIV/0!</v>
      </c>
    </row>
    <row r="635" spans="7:34" x14ac:dyDescent="0.25">
      <c r="G635" s="150" t="s">
        <v>741</v>
      </c>
      <c r="H635" s="150" t="s">
        <v>748</v>
      </c>
      <c r="I635" s="152">
        <f>Zero2</f>
        <v>1326.2911939479698</v>
      </c>
      <c r="J635" s="152" t="e">
        <f>W625</f>
        <v>#DIV/0!</v>
      </c>
      <c r="K635" s="152" t="e">
        <f>AG625</f>
        <v>#DIV/0!</v>
      </c>
    </row>
    <row r="636" spans="7:34" x14ac:dyDescent="0.25">
      <c r="G636" s="150" t="s">
        <v>706</v>
      </c>
      <c r="H636" s="150" t="s">
        <v>749</v>
      </c>
      <c r="I636" s="150">
        <f>pole3</f>
        <v>0</v>
      </c>
      <c r="J636" s="152" t="e">
        <f>W626</f>
        <v>#DIV/0!</v>
      </c>
      <c r="K636" s="152" t="e">
        <f>AG626</f>
        <v>#DIV/0!</v>
      </c>
    </row>
    <row r="637" spans="7:34" x14ac:dyDescent="0.25">
      <c r="I637" s="175"/>
      <c r="J637" s="152"/>
      <c r="K637" s="152"/>
    </row>
    <row r="639" spans="7:34" x14ac:dyDescent="0.25">
      <c r="G639" s="152">
        <f>W4*1000</f>
        <v>28184</v>
      </c>
    </row>
    <row r="640" spans="7:34" x14ac:dyDescent="0.25">
      <c r="G640" s="152">
        <f>W4*1000</f>
        <v>28184</v>
      </c>
    </row>
    <row r="687" spans="36:37" x14ac:dyDescent="0.25">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W10:Y10"/>
    <mergeCell ref="AD10:AE10"/>
    <mergeCell ref="AG10:AH10"/>
    <mergeCell ref="I11:J11"/>
    <mergeCell ref="K11:L11"/>
    <mergeCell ref="M11:N11"/>
    <mergeCell ref="O11:P11"/>
    <mergeCell ref="Q11:R11"/>
    <mergeCell ref="S11:T11"/>
    <mergeCell ref="U11:V11"/>
    <mergeCell ref="G2:J2"/>
    <mergeCell ref="K2:M2"/>
    <mergeCell ref="P2:R2"/>
    <mergeCell ref="S2:U2"/>
    <mergeCell ref="V2:X2"/>
    <mergeCell ref="G10:G12"/>
    <mergeCell ref="H10:H11"/>
    <mergeCell ref="I10:N10"/>
    <mergeCell ref="O10:T10"/>
    <mergeCell ref="U10:V10"/>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129540</xdr:rowOff>
                  </from>
                  <to>
                    <xdr:col>1</xdr:col>
                    <xdr:colOff>396240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3.2" x14ac:dyDescent="0.25"/>
  <cols>
    <col min="1" max="1" width="2.77734375" customWidth="1"/>
    <col min="2" max="2" width="3.5546875" customWidth="1"/>
    <col min="3" max="3" width="2.77734375" customWidth="1"/>
    <col min="4" max="4" width="3.77734375" customWidth="1"/>
    <col min="5" max="5" width="6.21875" customWidth="1"/>
    <col min="6" max="6" width="8.5546875" customWidth="1"/>
    <col min="7" max="8" width="7.77734375" customWidth="1"/>
    <col min="9" max="9" width="6.21875" customWidth="1"/>
    <col min="10" max="10" width="9.5546875" customWidth="1"/>
    <col min="11" max="11" width="9.21875" customWidth="1"/>
    <col min="12" max="12" width="1.77734375" customWidth="1"/>
    <col min="13" max="13" width="8.44140625" customWidth="1"/>
    <col min="14" max="15" width="9.5546875" customWidth="1"/>
    <col min="16" max="16" width="8.77734375" customWidth="1"/>
    <col min="17" max="18" width="8.5546875" customWidth="1"/>
    <col min="19" max="19" width="15.44140625" customWidth="1"/>
    <col min="20" max="20" width="10.44140625" customWidth="1"/>
    <col min="21" max="21" width="7.5546875" customWidth="1"/>
    <col min="22" max="22" width="9" customWidth="1"/>
    <col min="23" max="23" width="8.77734375" customWidth="1"/>
    <col min="24" max="24" width="10" customWidth="1"/>
    <col min="25" max="25" width="9.5546875" customWidth="1"/>
    <col min="26" max="26" width="1.77734375" customWidth="1"/>
    <col min="27" max="27" width="9.77734375" customWidth="1"/>
    <col min="28" max="28" width="10.44140625" customWidth="1"/>
    <col min="29" max="29" width="10.21875" customWidth="1"/>
    <col min="30" max="30" width="2" customWidth="1"/>
    <col min="31" max="31" width="9.21875" customWidth="1"/>
    <col min="32" max="32" width="9.44140625" customWidth="1"/>
    <col min="33" max="33" width="10.44140625" customWidth="1"/>
    <col min="34" max="34" width="2.21875" customWidth="1"/>
    <col min="36" max="36" width="8" customWidth="1"/>
    <col min="38" max="38" width="2.21875" customWidth="1"/>
    <col min="39" max="39" width="6.5546875" customWidth="1"/>
    <col min="40" max="40" width="7.5546875" customWidth="1"/>
    <col min="41" max="41" width="2" customWidth="1"/>
    <col min="42" max="42" width="6.44140625" customWidth="1"/>
    <col min="43" max="43" width="7.5546875" customWidth="1"/>
    <col min="44" max="44" width="2.21875" customWidth="1"/>
    <col min="45" max="48" width="7" customWidth="1"/>
    <col min="49" max="50" width="8.44140625" customWidth="1"/>
    <col min="51" max="52" width="11" customWidth="1"/>
    <col min="53" max="53" width="9.44140625" customWidth="1"/>
    <col min="54" max="54" width="10.77734375" customWidth="1"/>
    <col min="55" max="55" width="9.77734375" customWidth="1"/>
    <col min="56" max="56" width="11.77734375" customWidth="1"/>
    <col min="57" max="57" width="2" customWidth="1"/>
    <col min="60" max="60" width="2.21875" customWidth="1"/>
    <col min="61" max="61" width="9" customWidth="1"/>
    <col min="62" max="63" width="8.21875" customWidth="1"/>
    <col min="64" max="64" width="8.77734375" customWidth="1"/>
    <col min="65" max="66" width="7.5546875" customWidth="1"/>
    <col min="67" max="67" width="10.5546875" customWidth="1"/>
    <col min="68" max="68" width="8.77734375" customWidth="1"/>
    <col min="69" max="70" width="10.21875" customWidth="1"/>
    <col min="71" max="72" width="10.5546875" customWidth="1"/>
    <col min="73" max="73" width="8.77734375" customWidth="1"/>
    <col min="75" max="75" width="9.77734375" customWidth="1"/>
    <col min="76" max="76" width="11.5546875" customWidth="1"/>
    <col min="77" max="77" width="12.21875" customWidth="1"/>
    <col min="78" max="78" width="9.21875" customWidth="1"/>
    <col min="80" max="80" width="7.77734375" customWidth="1"/>
    <col min="81" max="81" width="10.44140625" customWidth="1"/>
    <col min="82" max="82" width="12.44140625" bestFit="1" customWidth="1"/>
    <col min="83" max="83" width="4.5546875" customWidth="1"/>
    <col min="84" max="84" width="5" customWidth="1"/>
    <col min="85" max="85" width="9.5546875" customWidth="1"/>
  </cols>
  <sheetData>
    <row r="1" spans="2:86" x14ac:dyDescent="0.25">
      <c r="B1" s="162" t="s">
        <v>526</v>
      </c>
      <c r="M1">
        <f>Vfwd2</f>
        <v>0.4</v>
      </c>
      <c r="BC1">
        <f>Ltc</f>
        <v>4.0000000000000001E-3</v>
      </c>
      <c r="BV1">
        <f>Ta</f>
        <v>55</v>
      </c>
    </row>
    <row r="2" spans="2:86" ht="13.8" thickBot="1" x14ac:dyDescent="0.3">
      <c r="M2">
        <f>Vfwd1</f>
        <v>0.32</v>
      </c>
      <c r="U2">
        <f>Isw_max</f>
        <v>4.0999999999999996</v>
      </c>
    </row>
    <row r="3" spans="2:86" x14ac:dyDescent="0.25">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3">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5">
      <c r="E5" s="150">
        <v>0.1</v>
      </c>
      <c r="F5" s="191">
        <v>1.0000000000000001E-9</v>
      </c>
      <c r="G5" s="191"/>
      <c r="H5" s="191">
        <f t="shared" ref="H5:H36" si="0">F5*Vout</f>
        <v>1.5000000000000002E-8</v>
      </c>
      <c r="I5" s="472">
        <f t="shared" ref="I5:I36" si="1">Vin</f>
        <v>11.1</v>
      </c>
      <c r="J5" s="152">
        <f t="shared" ref="J5:J36" si="2">(T5+Vfwd1)*Nps</f>
        <v>7.66</v>
      </c>
      <c r="K5" s="386">
        <f t="shared" ref="K5:K36" si="3">(Vout+Vfwd1)*Nps+I5</f>
        <v>18.759999999999998</v>
      </c>
      <c r="L5" s="386"/>
      <c r="M5" s="190">
        <f t="shared" ref="M5:M36" si="4">(Vout+Vfwd1)*Nps/((Vout+Vfwd1)*Nps+I5)</f>
        <v>0.40831556503198302</v>
      </c>
      <c r="N5" s="152">
        <f t="shared" ref="N5:N36" si="5">M5*I5*Isw_max*0.5*Efficiency</f>
        <v>8.3620986140724956</v>
      </c>
      <c r="O5" s="152">
        <f>T5*F5</f>
        <v>1.5000000000000002E-8</v>
      </c>
      <c r="P5" s="191">
        <f t="shared" ref="P5:P36" si="6">N5/Vout</f>
        <v>0.55747324093816641</v>
      </c>
      <c r="Q5" s="191">
        <f t="shared" ref="Q5:Q36" si="7">MIN(Vout,N5/F5)</f>
        <v>15</v>
      </c>
      <c r="R5" s="191">
        <f t="shared" ref="R5:R36" si="8">Isw_max/2*I5*Nps*(Q5+Vfwd1)/Q5/(I5+Nps*(Q5+Vfwd1))</f>
        <v>0.61941471215351818</v>
      </c>
      <c r="S5" s="152">
        <f t="shared" ref="S5:S36" si="9">(SQRT(Isw_max^2*Nps^2*I5^2+4*Isw_max*F5/Efficiency*(Nps^2*Vfwd1*I5-Nps*I5^2)+4*(F5/Efficiency)^2*Nps^2*Vfwd1^2+8*(F5/Efficiency)^2*Nps*Vfwd1*I5+4*(F5/Efficiency)^2*I5^2)-2*F5/Efficiency*I5-2*F5/Efficiency*Nps*Vfwd1+Isw_max*Nps*I5)/(4*F5/Efficiency*Nps)</f>
        <v>20479499977.800003</v>
      </c>
      <c r="T5" s="152">
        <f t="shared" ref="T5:T36" si="10">MIN(Vout, S5)</f>
        <v>15</v>
      </c>
      <c r="U5" s="191">
        <f t="shared" ref="U5:U36" si="11">MIN(2*Vout*F5/(Efficiency*I5*M5), Isw_max)</f>
        <v>7.3546130987384241E-9</v>
      </c>
      <c r="V5" s="191">
        <f t="shared" ref="V5:V36" si="12">L*U5/I5*1000000</f>
        <v>5.9631998097879117E-9</v>
      </c>
      <c r="W5" s="191">
        <f t="shared" ref="W5:W36" si="13">L*U5/J5*1000000</f>
        <v>8.6411903248884871E-9</v>
      </c>
      <c r="X5" s="175">
        <f t="shared" ref="X5:X36" si="14">IF(1/((350000*L)*(1/I5+1/J5))&gt;Isw_min, 350, 0.001/((Isw_min*L)*(1/I5+1/J5)))</f>
        <v>350</v>
      </c>
      <c r="Y5" s="386">
        <f>MIN(1/(V5+W5)*1000, 350)</f>
        <v>350</v>
      </c>
      <c r="AA5" s="191">
        <f t="shared" ref="AA5:AA36" si="15">1/((X5*1000*L)*(1/I5+1/J5))</f>
        <v>1.4388262767793685</v>
      </c>
      <c r="AB5" s="153">
        <f t="shared" ref="AB5:AB36" si="16">L*AA5/J5*1000000</f>
        <v>1.6905269570514774</v>
      </c>
      <c r="AC5" s="153">
        <f t="shared" ref="AC5:AC36" si="17">0.5*AB5*AA5*Nps*X5/1000</f>
        <v>0.21283277814833412</v>
      </c>
      <c r="AD5" s="153"/>
      <c r="AE5" s="153">
        <f t="shared" ref="AE5:AE36" si="18">L*Isw_min/J5*1000000</f>
        <v>0.96344647519582249</v>
      </c>
      <c r="AF5" s="317">
        <f t="shared" ref="AF5:AF36" si="19">MAX(12, F5/(0.5*AE5/1000000*Isw_min*Nps)/1000)</f>
        <v>12</v>
      </c>
      <c r="AG5" s="463">
        <f t="shared" ref="AG5:AG36" si="20">0.5*AE5/1000000*Isw_min*Nps*X5*1000</f>
        <v>6.9127284595300251E-2</v>
      </c>
      <c r="AI5" s="153">
        <f t="shared" ref="AI5:AI36" si="21">SQRT(F5/Efficiency/(0.5*L/J5*Fsw_DCM*Nps))</f>
        <v>1.0396037774601184E-4</v>
      </c>
      <c r="AJ5" s="153">
        <f t="shared" ref="AJ5:AJ36" si="22">MAX(IF(F5&gt;AC5,U5,AI5),Isw_min)</f>
        <v>0.82</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0.66486486486486485</v>
      </c>
      <c r="AU5" s="5">
        <f>AS5-AT5</f>
        <v>82.668468468468461</v>
      </c>
      <c r="AV5" s="5">
        <f t="shared" ref="AV5:AV36" si="29">L*AJ5/J5*1000000</f>
        <v>0.96344647519582249</v>
      </c>
      <c r="AW5" s="153">
        <f>AT5/AS5</f>
        <v>7.9783783783783785E-3</v>
      </c>
      <c r="AX5" s="153">
        <f t="shared" ref="AX5:AX36" si="30">0.5*L*AJ5^2*AN5*1000</f>
        <v>3.6309599999999997E-2</v>
      </c>
      <c r="AY5" s="153">
        <f t="shared" ref="AY5:AY36" si="31">AJ5*Nps/2*(1-AW5)</f>
        <v>0.20336443243243243</v>
      </c>
      <c r="AZ5" s="153">
        <f>AX5/AY5</f>
        <v>0.17854449554281726</v>
      </c>
      <c r="BA5" s="147">
        <f t="shared" ref="BA5:BA36" si="32">L*Isw_max^2/(2*Vout_ripple*Vout)*1000000000*((1+M5)/2)^2</f>
        <v>16.670079701628925</v>
      </c>
      <c r="BB5" s="147">
        <f t="shared" ref="BB5:BB36" si="33">L*F5^2/(2*Cout*Vout*Nps^2)*1000000000*((1+M5)/(1-M5))^2+F5*RCoutEsr</f>
        <v>3.0000000679830926E-9</v>
      </c>
      <c r="BC5" s="5">
        <f t="shared" ref="BC5:BC36" si="34">H5/Efficiency/I5*AU5/Vinripple1</f>
        <v>2.2365194510312601E-7</v>
      </c>
      <c r="BD5" s="147">
        <f t="shared" ref="BD5:BD36" si="35">((CB5/I5/Efficiency)*AU5/Cin+(CB5/I5/Efficiency)*RCinEsr)*1000</f>
        <v>5.6466331196060934E-6</v>
      </c>
      <c r="BE5" s="5"/>
      <c r="BF5" s="153">
        <f>AJ5*SQRT(AW5/3)</f>
        <v>4.2287356745728866E-2</v>
      </c>
      <c r="BG5" s="153">
        <f t="shared" ref="BG5:BG36" si="36">AJ5*Nps*SQRT((1-AW5)/3)</f>
        <v>0.23576742395462139</v>
      </c>
      <c r="BH5" s="153"/>
      <c r="BI5" s="463">
        <f t="shared" ref="BI5:BI36" si="37">Rdson*BF5^2</f>
        <v>1.9670425945945947E-4</v>
      </c>
      <c r="BJ5" s="463">
        <f t="shared" ref="BJ5:BJ36" si="38">0.5*K5*AJ5*AN5*1000*Trise</f>
        <v>9.2299199999999987E-4</v>
      </c>
      <c r="BK5" s="463">
        <f t="shared" ref="BK5:BK36" si="39">Qg*Vdd*AN5*1000</f>
        <v>5.9999999999999995E-4</v>
      </c>
      <c r="BL5" s="463">
        <f t="shared" ref="BL5:BL36" si="40">0.5*(Coss+Csw)*K5^2*AN5*1000</f>
        <v>9.5023151999999982E-4</v>
      </c>
      <c r="BM5">
        <f t="shared" ref="BM5:BM36" si="41">I5*IQ</f>
        <v>3.2190000000000001E-3</v>
      </c>
      <c r="BN5">
        <f t="shared" ref="BN5:BN36" si="42">(I5-Vdd)*Qg*AN5</f>
        <v>7.3200000000000004E-7</v>
      </c>
      <c r="BO5" s="463">
        <f t="shared" ref="BO5:BO36" si="43">(BJ5+BK5+BL5+BM5+BN5+BI5*(1+RdsonTC*(Ta-25)))/(1-BI5*RdsonTC*ThetaJA)</f>
        <v>5.9164295731691362E-3</v>
      </c>
      <c r="BP5" s="147">
        <f>BO5*1000</f>
        <v>5.9164295731691361</v>
      </c>
      <c r="BQ5" s="463">
        <f t="shared" ref="BQ5:BQ36" si="44">(Vfwd2*F5+BG5^2*Rdiode)*(1+Diode_TC/1000*(Ta-25))</f>
        <v>8.4935836906846821E-3</v>
      </c>
      <c r="BR5" s="463"/>
      <c r="BT5" s="147">
        <f>SUM(BQ5:BS5)*1000</f>
        <v>8.493583690684682</v>
      </c>
      <c r="BU5" s="463">
        <f t="shared" ref="BU5:BU36" si="45">Rdcr_pri*BF5^2</f>
        <v>1.5199874594594597E-4</v>
      </c>
      <c r="BV5" s="463">
        <f t="shared" ref="BV5:BV36" si="46">Rdcr_sec*BG5^2</f>
        <v>1.0561392857657654E-2</v>
      </c>
      <c r="BW5" s="463">
        <f t="shared" ref="BW5:BW36" si="47">AJ5^2.5*AN5^2.5*k_core</f>
        <v>0</v>
      </c>
      <c r="BX5" s="463">
        <f t="shared" ref="BX5:BX36" si="48">(BW5+(BU5+BV5)*(1+Ltc*(Ta-25)))/(1-(BU5+BV5)*Ltc*ThetaCa)</f>
        <v>1.2009291415381216E-2</v>
      </c>
      <c r="BY5" s="463">
        <f t="shared" ref="BY5:BY36" si="49">0.5*Lleak*0.000000001*AJ5^2*AN5*1000</f>
        <v>4.0343999999999996E-3</v>
      </c>
      <c r="BZ5" s="147">
        <f>1000*(BX5+BY5)</f>
        <v>16.043691415381215</v>
      </c>
      <c r="CA5" s="153">
        <f>SUM(BO5,BQ5:BS5,BX5, BY5)</f>
        <v>3.0453704679235034E-2</v>
      </c>
      <c r="CB5" s="5">
        <f>MIN(H5,O5)</f>
        <v>1.5000000000000002E-8</v>
      </c>
      <c r="CC5" s="153">
        <f>CB5/(CB5+CA5)</f>
        <v>4.9255066894924498E-7</v>
      </c>
      <c r="CD5" s="5">
        <f>CC5*100</f>
        <v>4.9255066894924497E-5</v>
      </c>
      <c r="CG5" s="59">
        <f t="shared" ref="CG5:CG36" si="50">IF(ABS(F5-Ioutmax_Vinnom)&lt;Iout/200, AN5, -50)</f>
        <v>-50</v>
      </c>
      <c r="CH5">
        <f t="shared" ref="CH5:CH36" si="51">IF(ABS(F5-Ioutmax_Vinnom)&lt;Iout/200, N5*CC5, -50)</f>
        <v>-50</v>
      </c>
    </row>
    <row r="6" spans="2:86" x14ac:dyDescent="0.25">
      <c r="E6" s="150">
        <v>1</v>
      </c>
      <c r="F6" s="191">
        <f t="shared" ref="F6:F37" si="52">IF(PLOT_TYPE=1, E6/100*Iout_max, min_I*EXP(N6*rr/100))</f>
        <v>5.0000000000000001E-3</v>
      </c>
      <c r="G6" s="191"/>
      <c r="H6" s="191">
        <f t="shared" si="0"/>
        <v>7.4999999999999997E-2</v>
      </c>
      <c r="I6" s="472">
        <f t="shared" si="1"/>
        <v>11.1</v>
      </c>
      <c r="J6" s="152">
        <f t="shared" si="2"/>
        <v>7.66</v>
      </c>
      <c r="K6" s="386">
        <f t="shared" si="3"/>
        <v>18.759999999999998</v>
      </c>
      <c r="L6" s="386"/>
      <c r="M6" s="191">
        <f t="shared" si="4"/>
        <v>0.40831556503198302</v>
      </c>
      <c r="N6" s="152">
        <f t="shared" si="5"/>
        <v>8.3620986140724956</v>
      </c>
      <c r="O6" s="152">
        <f t="shared" ref="O6:O69" si="53">T6*F6</f>
        <v>7.4999999999999997E-2</v>
      </c>
      <c r="P6" s="191">
        <f t="shared" si="6"/>
        <v>0.55747324093816641</v>
      </c>
      <c r="Q6" s="191">
        <f t="shared" si="7"/>
        <v>15</v>
      </c>
      <c r="R6" s="191">
        <f t="shared" si="8"/>
        <v>0.61941471215351818</v>
      </c>
      <c r="S6" s="152">
        <f t="shared" si="9"/>
        <v>4073.7017437314876</v>
      </c>
      <c r="T6" s="152">
        <f t="shared" si="10"/>
        <v>15</v>
      </c>
      <c r="U6" s="191">
        <f t="shared" si="11"/>
        <v>3.6773065493692116E-2</v>
      </c>
      <c r="V6" s="191">
        <f t="shared" si="12"/>
        <v>2.9815999048939557E-2</v>
      </c>
      <c r="W6" s="191">
        <f t="shared" si="13"/>
        <v>4.3205951624442435E-2</v>
      </c>
      <c r="X6" s="175">
        <f t="shared" si="14"/>
        <v>350</v>
      </c>
      <c r="Y6" s="386">
        <f t="shared" ref="Y6:Y69" si="54">MIN(1/(V6+W6)*1000, 350)</f>
        <v>350</v>
      </c>
      <c r="AA6" s="191">
        <f t="shared" si="15"/>
        <v>1.4388262767793685</v>
      </c>
      <c r="AB6" s="153">
        <f t="shared" si="16"/>
        <v>1.6905269570514774</v>
      </c>
      <c r="AC6" s="153">
        <f t="shared" si="17"/>
        <v>0.21283277814833412</v>
      </c>
      <c r="AD6" s="153"/>
      <c r="AE6" s="153">
        <f t="shared" si="18"/>
        <v>0.96344647519582249</v>
      </c>
      <c r="AF6" s="317">
        <f t="shared" si="19"/>
        <v>25.315619009848636</v>
      </c>
      <c r="AG6" s="463">
        <f t="shared" si="20"/>
        <v>6.9127284595300251E-2</v>
      </c>
      <c r="AI6" s="153">
        <f t="shared" si="21"/>
        <v>0.23246247160663885</v>
      </c>
      <c r="AJ6" s="153">
        <f t="shared" si="22"/>
        <v>0.82</v>
      </c>
      <c r="AK6" s="153">
        <f t="shared" si="23"/>
        <v>1.0144660680056279</v>
      </c>
      <c r="AM6" s="317">
        <f t="shared" si="24"/>
        <v>5</v>
      </c>
      <c r="AN6" s="147">
        <f t="shared" si="25"/>
        <v>25.315619009848636</v>
      </c>
      <c r="AP6">
        <f t="shared" si="26"/>
        <v>5</v>
      </c>
      <c r="AQ6" s="147">
        <f t="shared" si="27"/>
        <v>25.315619009848636</v>
      </c>
      <c r="AR6" s="147"/>
      <c r="AS6" s="5">
        <f t="shared" ref="AS6:AS69" si="55">1/AN6*1000</f>
        <v>39.501305483028723</v>
      </c>
      <c r="AT6" s="5">
        <f t="shared" si="28"/>
        <v>0.66486486486486485</v>
      </c>
      <c r="AU6" s="5">
        <f t="shared" ref="AU6:AU69" si="56">AS6-AT6</f>
        <v>38.836440618163856</v>
      </c>
      <c r="AV6" s="5">
        <f t="shared" si="29"/>
        <v>0.96344647519582249</v>
      </c>
      <c r="AW6" s="153">
        <f t="shared" ref="AW6:AW69" si="57">AT6/AS6</f>
        <v>1.6831465611953415E-2</v>
      </c>
      <c r="AX6" s="153">
        <f t="shared" si="30"/>
        <v>7.6599999999999988E-2</v>
      </c>
      <c r="AY6" s="153">
        <f t="shared" si="31"/>
        <v>0.20154954954954954</v>
      </c>
      <c r="AZ6" s="153">
        <f t="shared" ref="AZ6:AZ69" si="58">AX6/AY6</f>
        <v>0.38005542642588946</v>
      </c>
      <c r="BA6" s="147">
        <f t="shared" si="32"/>
        <v>16.670079701628925</v>
      </c>
      <c r="BB6" s="147">
        <f t="shared" si="33"/>
        <v>1.6699577307036768E-2</v>
      </c>
      <c r="BC6" s="5">
        <f t="shared" si="34"/>
        <v>0.52534210721753982</v>
      </c>
      <c r="BD6" s="147">
        <f t="shared" si="35"/>
        <v>13.275471136419551</v>
      </c>
      <c r="BE6" s="5"/>
      <c r="BF6" s="153">
        <f t="shared" ref="BF6:BF69" si="59">AJ6*SQRT(AW6/3)</f>
        <v>6.1420619440807428E-2</v>
      </c>
      <c r="BG6" s="153">
        <f t="shared" si="36"/>
        <v>0.23471303800643503</v>
      </c>
      <c r="BH6" s="153"/>
      <c r="BI6" s="463">
        <f t="shared" si="37"/>
        <v>4.1497417417417403E-4</v>
      </c>
      <c r="BJ6" s="463">
        <f t="shared" si="38"/>
        <v>1.9471761517615171E-3</v>
      </c>
      <c r="BK6" s="463">
        <f t="shared" si="39"/>
        <v>1.2657809504924317E-3</v>
      </c>
      <c r="BL6" s="463">
        <f t="shared" si="40"/>
        <v>2.0046415942891133E-3</v>
      </c>
      <c r="BM6">
        <f t="shared" si="41"/>
        <v>3.2190000000000001E-3</v>
      </c>
      <c r="BN6">
        <f t="shared" si="42"/>
        <v>1.5442527596007668E-6</v>
      </c>
      <c r="BO6" s="463">
        <f t="shared" si="43"/>
        <v>8.9098207972401512E-3</v>
      </c>
      <c r="BP6" s="147">
        <f t="shared" ref="BP6:BP69" si="60">BO6*1000</f>
        <v>8.9098207972401511</v>
      </c>
      <c r="BQ6" s="463">
        <f t="shared" si="44"/>
        <v>1.0327784120120123E-2</v>
      </c>
      <c r="BR6" s="463"/>
      <c r="BT6" s="147">
        <f t="shared" ref="BT6:BT69" si="61">SUM(BQ6:BS6)*1000</f>
        <v>10.327784120120123</v>
      </c>
      <c r="BU6" s="463">
        <f t="shared" si="45"/>
        <v>3.206618618618618E-4</v>
      </c>
      <c r="BV6" s="463">
        <f t="shared" si="46"/>
        <v>1.0467139939939942E-2</v>
      </c>
      <c r="BW6" s="463">
        <f t="shared" si="47"/>
        <v>0</v>
      </c>
      <c r="BX6" s="463">
        <f t="shared" si="48"/>
        <v>1.2092774374272707E-2</v>
      </c>
      <c r="BY6" s="463">
        <f t="shared" si="49"/>
        <v>8.5111111111111117E-3</v>
      </c>
      <c r="BZ6" s="147">
        <f t="shared" ref="BZ6:BZ69" si="62">1000*(BX6+BY6)</f>
        <v>20.60388548538382</v>
      </c>
      <c r="CA6" s="153">
        <f t="shared" ref="CA6:CA69" si="63">SUM(BO6,BQ6:BS6,BX6, BY6)</f>
        <v>3.9841490402744095E-2</v>
      </c>
      <c r="CB6" s="5">
        <f t="shared" ref="CB6:CB69" si="64">MIN(H6,O6)</f>
        <v>7.4999999999999997E-2</v>
      </c>
      <c r="CC6" s="153">
        <f t="shared" ref="CC6:CC69" si="65">CB6/(CB6+CA6)</f>
        <v>0.65307407398648587</v>
      </c>
      <c r="CD6" s="5">
        <f t="shared" ref="CD6:CD69" si="66">CC6*100</f>
        <v>65.307407398648593</v>
      </c>
      <c r="CG6" s="59">
        <f t="shared" si="50"/>
        <v>-50</v>
      </c>
      <c r="CH6">
        <f t="shared" si="51"/>
        <v>-50</v>
      </c>
    </row>
    <row r="7" spans="2:86" x14ac:dyDescent="0.25">
      <c r="E7" s="150">
        <v>2</v>
      </c>
      <c r="F7" s="191">
        <f t="shared" si="52"/>
        <v>0.01</v>
      </c>
      <c r="G7" s="191"/>
      <c r="H7" s="191">
        <f t="shared" si="0"/>
        <v>0.15</v>
      </c>
      <c r="I7" s="472">
        <f t="shared" si="1"/>
        <v>11.1</v>
      </c>
      <c r="J7" s="152">
        <f t="shared" si="2"/>
        <v>7.66</v>
      </c>
      <c r="K7" s="386">
        <f t="shared" si="3"/>
        <v>18.759999999999998</v>
      </c>
      <c r="L7" s="386"/>
      <c r="M7" s="191">
        <f t="shared" si="4"/>
        <v>0.40831556503198302</v>
      </c>
      <c r="N7" s="152">
        <f t="shared" si="5"/>
        <v>8.3620986140724956</v>
      </c>
      <c r="O7" s="152">
        <f t="shared" si="53"/>
        <v>0.15</v>
      </c>
      <c r="P7" s="191">
        <f t="shared" si="6"/>
        <v>0.55747324093816641</v>
      </c>
      <c r="Q7" s="191">
        <f t="shared" si="7"/>
        <v>15</v>
      </c>
      <c r="R7" s="191">
        <f t="shared" si="8"/>
        <v>0.61941471215351818</v>
      </c>
      <c r="S7" s="152">
        <f t="shared" si="9"/>
        <v>2025.7535062893708</v>
      </c>
      <c r="T7" s="152">
        <f t="shared" si="10"/>
        <v>15</v>
      </c>
      <c r="U7" s="191">
        <f t="shared" si="11"/>
        <v>7.3546130987384231E-2</v>
      </c>
      <c r="V7" s="191">
        <f t="shared" si="12"/>
        <v>5.9631998097879113E-2</v>
      </c>
      <c r="W7" s="191">
        <f t="shared" si="13"/>
        <v>8.6411903248884869E-2</v>
      </c>
      <c r="X7" s="175">
        <f t="shared" si="14"/>
        <v>350</v>
      </c>
      <c r="Y7" s="386">
        <f t="shared" si="54"/>
        <v>350</v>
      </c>
      <c r="AA7" s="191">
        <f t="shared" si="15"/>
        <v>1.4388262767793685</v>
      </c>
      <c r="AB7" s="153">
        <f t="shared" si="16"/>
        <v>1.6905269570514774</v>
      </c>
      <c r="AC7" s="153">
        <f t="shared" si="17"/>
        <v>0.21283277814833412</v>
      </c>
      <c r="AD7" s="153"/>
      <c r="AE7" s="153">
        <f t="shared" si="18"/>
        <v>0.96344647519582249</v>
      </c>
      <c r="AF7" s="317">
        <f t="shared" si="19"/>
        <v>50.631238019697271</v>
      </c>
      <c r="AG7" s="463">
        <f t="shared" si="20"/>
        <v>6.9127284595300251E-2</v>
      </c>
      <c r="AI7" s="153">
        <f t="shared" si="21"/>
        <v>0.32875158008887923</v>
      </c>
      <c r="AJ7" s="153">
        <f t="shared" si="22"/>
        <v>0.82</v>
      </c>
      <c r="AK7" s="153">
        <f t="shared" si="23"/>
        <v>1.0289321360112555</v>
      </c>
      <c r="AM7" s="317">
        <f t="shared" si="24"/>
        <v>10</v>
      </c>
      <c r="AN7" s="147">
        <f t="shared" si="25"/>
        <v>50.631238019697271</v>
      </c>
      <c r="AP7">
        <f t="shared" si="26"/>
        <v>10</v>
      </c>
      <c r="AQ7" s="147">
        <f t="shared" si="27"/>
        <v>50.631238019697271</v>
      </c>
      <c r="AR7" s="147"/>
      <c r="AS7" s="5">
        <f t="shared" si="55"/>
        <v>19.750652741514362</v>
      </c>
      <c r="AT7" s="5">
        <f t="shared" si="28"/>
        <v>0.66486486486486485</v>
      </c>
      <c r="AU7" s="5">
        <f t="shared" si="56"/>
        <v>19.085787876649498</v>
      </c>
      <c r="AV7" s="5">
        <f t="shared" si="29"/>
        <v>0.96344647519582249</v>
      </c>
      <c r="AW7" s="153">
        <f t="shared" si="57"/>
        <v>3.3662931223906831E-2</v>
      </c>
      <c r="AX7" s="153">
        <f t="shared" si="30"/>
        <v>0.15319999999999998</v>
      </c>
      <c r="AY7" s="153">
        <f t="shared" si="31"/>
        <v>0.19809909909909909</v>
      </c>
      <c r="AZ7" s="153">
        <f t="shared" si="58"/>
        <v>0.77335031151939593</v>
      </c>
      <c r="BA7" s="147">
        <f t="shared" si="32"/>
        <v>16.670079701628925</v>
      </c>
      <c r="BB7" s="147">
        <f t="shared" si="33"/>
        <v>3.6798309228147065E-2</v>
      </c>
      <c r="BC7" s="5">
        <f t="shared" si="34"/>
        <v>0.5163484532275382</v>
      </c>
      <c r="BD7" s="147">
        <f t="shared" si="35"/>
        <v>13.071108296921579</v>
      </c>
      <c r="BE7" s="5"/>
      <c r="BF7" s="153">
        <f t="shared" si="59"/>
        <v>8.6861873022546457E-2</v>
      </c>
      <c r="BG7" s="153">
        <f t="shared" si="36"/>
        <v>0.2326952665764542</v>
      </c>
      <c r="BH7" s="153"/>
      <c r="BI7" s="463">
        <f t="shared" si="37"/>
        <v>8.2994834834834816E-4</v>
      </c>
      <c r="BJ7" s="463">
        <f t="shared" si="38"/>
        <v>3.8943523035230342E-3</v>
      </c>
      <c r="BK7" s="463">
        <f t="shared" si="39"/>
        <v>2.5315619009848634E-3</v>
      </c>
      <c r="BL7" s="463">
        <f t="shared" si="40"/>
        <v>4.0092831885782266E-3</v>
      </c>
      <c r="BM7">
        <f t="shared" si="41"/>
        <v>3.2190000000000001E-3</v>
      </c>
      <c r="BN7">
        <f t="shared" si="42"/>
        <v>3.0885055192015337E-6</v>
      </c>
      <c r="BO7" s="463">
        <f t="shared" si="43"/>
        <v>1.4601513137546544E-2</v>
      </c>
      <c r="BP7" s="147">
        <f t="shared" si="60"/>
        <v>14.601513137546544</v>
      </c>
      <c r="BQ7" s="463">
        <f t="shared" si="44"/>
        <v>1.2093674906906908E-2</v>
      </c>
      <c r="BR7" s="463"/>
      <c r="BT7" s="147">
        <f t="shared" si="61"/>
        <v>12.093674906906907</v>
      </c>
      <c r="BU7" s="463">
        <f t="shared" si="45"/>
        <v>6.413237237237237E-4</v>
      </c>
      <c r="BV7" s="463">
        <f t="shared" si="46"/>
        <v>1.0287946546546547E-2</v>
      </c>
      <c r="BW7" s="463">
        <f t="shared" si="47"/>
        <v>0</v>
      </c>
      <c r="BX7" s="463">
        <f t="shared" si="48"/>
        <v>1.2251494694441131E-2</v>
      </c>
      <c r="BY7" s="463">
        <f t="shared" si="49"/>
        <v>1.7022222222222223E-2</v>
      </c>
      <c r="BZ7" s="147">
        <f t="shared" si="62"/>
        <v>29.273716916663354</v>
      </c>
      <c r="CA7" s="153">
        <f t="shared" si="63"/>
        <v>5.5968904961116804E-2</v>
      </c>
      <c r="CB7" s="5">
        <f t="shared" si="64"/>
        <v>0.15</v>
      </c>
      <c r="CC7" s="153">
        <f t="shared" si="65"/>
        <v>0.72826526911097222</v>
      </c>
      <c r="CD7" s="5">
        <f t="shared" si="66"/>
        <v>72.826526911097218</v>
      </c>
      <c r="CG7" s="59">
        <f t="shared" si="50"/>
        <v>-50</v>
      </c>
      <c r="CH7">
        <f t="shared" si="51"/>
        <v>-50</v>
      </c>
    </row>
    <row r="8" spans="2:86" x14ac:dyDescent="0.25">
      <c r="E8" s="150">
        <v>3</v>
      </c>
      <c r="F8" s="191">
        <f t="shared" si="52"/>
        <v>1.4999999999999999E-2</v>
      </c>
      <c r="G8" s="191"/>
      <c r="H8" s="191">
        <f t="shared" si="0"/>
        <v>0.22499999999999998</v>
      </c>
      <c r="I8" s="472">
        <f t="shared" si="1"/>
        <v>11.1</v>
      </c>
      <c r="J8" s="152">
        <f t="shared" si="2"/>
        <v>7.66</v>
      </c>
      <c r="K8" s="386">
        <f t="shared" si="3"/>
        <v>18.759999999999998</v>
      </c>
      <c r="L8" s="386"/>
      <c r="M8" s="191">
        <f t="shared" si="4"/>
        <v>0.40831556503198302</v>
      </c>
      <c r="N8" s="152">
        <f t="shared" si="5"/>
        <v>8.3620986140724956</v>
      </c>
      <c r="O8" s="152">
        <f t="shared" si="53"/>
        <v>0.22499999999999998</v>
      </c>
      <c r="P8" s="191">
        <f t="shared" si="6"/>
        <v>0.55747324093816641</v>
      </c>
      <c r="Q8" s="191">
        <f t="shared" si="7"/>
        <v>15</v>
      </c>
      <c r="R8" s="191">
        <f t="shared" si="8"/>
        <v>0.61941471215351818</v>
      </c>
      <c r="S8" s="152">
        <f t="shared" si="9"/>
        <v>1343.1052879754934</v>
      </c>
      <c r="T8" s="152">
        <f t="shared" si="10"/>
        <v>15</v>
      </c>
      <c r="U8" s="191">
        <f t="shared" si="11"/>
        <v>0.11031919648107634</v>
      </c>
      <c r="V8" s="191">
        <f t="shared" si="12"/>
        <v>8.9447997146818656E-2</v>
      </c>
      <c r="W8" s="191">
        <f t="shared" si="13"/>
        <v>0.12961785487332728</v>
      </c>
      <c r="X8" s="175">
        <f t="shared" si="14"/>
        <v>350</v>
      </c>
      <c r="Y8" s="386">
        <f t="shared" si="54"/>
        <v>350</v>
      </c>
      <c r="AA8" s="191">
        <f t="shared" si="15"/>
        <v>1.4388262767793685</v>
      </c>
      <c r="AB8" s="153">
        <f t="shared" si="16"/>
        <v>1.6905269570514774</v>
      </c>
      <c r="AC8" s="153">
        <f t="shared" si="17"/>
        <v>0.21283277814833412</v>
      </c>
      <c r="AD8" s="153"/>
      <c r="AE8" s="153">
        <f t="shared" si="18"/>
        <v>0.96344647519582249</v>
      </c>
      <c r="AF8" s="317">
        <f t="shared" si="19"/>
        <v>75.94685702954591</v>
      </c>
      <c r="AG8" s="463">
        <f t="shared" si="20"/>
        <v>6.9127284595300251E-2</v>
      </c>
      <c r="AI8" s="153">
        <f t="shared" si="21"/>
        <v>0.40263681167573601</v>
      </c>
      <c r="AJ8" s="153">
        <f t="shared" si="22"/>
        <v>0.82</v>
      </c>
      <c r="AK8" s="153">
        <f t="shared" si="23"/>
        <v>1.0433982040168834</v>
      </c>
      <c r="AM8" s="317">
        <f t="shared" si="24"/>
        <v>15</v>
      </c>
      <c r="AN8" s="147">
        <f t="shared" si="25"/>
        <v>75.94685702954591</v>
      </c>
      <c r="AP8">
        <f t="shared" si="26"/>
        <v>15</v>
      </c>
      <c r="AQ8" s="147">
        <f t="shared" si="27"/>
        <v>75.94685702954591</v>
      </c>
      <c r="AR8" s="147"/>
      <c r="AS8" s="5">
        <f t="shared" si="55"/>
        <v>13.167101827676239</v>
      </c>
      <c r="AT8" s="5">
        <f t="shared" si="28"/>
        <v>0.66486486486486485</v>
      </c>
      <c r="AU8" s="5">
        <f t="shared" si="56"/>
        <v>12.502236962811374</v>
      </c>
      <c r="AV8" s="5">
        <f t="shared" si="29"/>
        <v>0.96344647519582249</v>
      </c>
      <c r="AW8" s="153">
        <f t="shared" si="57"/>
        <v>5.0494396835860253E-2</v>
      </c>
      <c r="AX8" s="153">
        <f t="shared" si="30"/>
        <v>0.22979999999999998</v>
      </c>
      <c r="AY8" s="153">
        <f t="shared" si="31"/>
        <v>0.19464864864864864</v>
      </c>
      <c r="AZ8" s="153">
        <f t="shared" si="58"/>
        <v>1.1805887253540683</v>
      </c>
      <c r="BA8" s="147">
        <f t="shared" si="32"/>
        <v>16.670079701628925</v>
      </c>
      <c r="BB8" s="147">
        <f t="shared" si="33"/>
        <v>6.0296195763330895E-2</v>
      </c>
      <c r="BC8" s="5">
        <f t="shared" si="34"/>
        <v>0.50735479923753635</v>
      </c>
      <c r="BD8" s="147">
        <f t="shared" si="35"/>
        <v>12.866745457423599</v>
      </c>
      <c r="BE8" s="5"/>
      <c r="BF8" s="153">
        <f t="shared" si="59"/>
        <v>0.10638363350383122</v>
      </c>
      <c r="BG8" s="153">
        <f t="shared" si="36"/>
        <v>0.23065984471503478</v>
      </c>
      <c r="BH8" s="153"/>
      <c r="BI8" s="463">
        <f t="shared" si="37"/>
        <v>1.2449225225225229E-3</v>
      </c>
      <c r="BJ8" s="463">
        <f t="shared" si="38"/>
        <v>5.8415284552845526E-3</v>
      </c>
      <c r="BK8" s="463">
        <f t="shared" si="39"/>
        <v>3.7973428514772953E-3</v>
      </c>
      <c r="BL8" s="463">
        <f t="shared" si="40"/>
        <v>6.013924782867339E-3</v>
      </c>
      <c r="BM8">
        <f t="shared" si="41"/>
        <v>3.2190000000000001E-3</v>
      </c>
      <c r="BN8">
        <f t="shared" si="42"/>
        <v>4.6327582788023007E-6</v>
      </c>
      <c r="BO8" s="463">
        <f t="shared" si="43"/>
        <v>2.0294077221148336E-2</v>
      </c>
      <c r="BP8" s="147">
        <f t="shared" si="60"/>
        <v>20.294077221148335</v>
      </c>
      <c r="BQ8" s="463">
        <f t="shared" si="44"/>
        <v>1.3859565693693694E-2</v>
      </c>
      <c r="BR8" s="463"/>
      <c r="BT8" s="147">
        <f t="shared" si="61"/>
        <v>13.859565693693694</v>
      </c>
      <c r="BU8" s="463">
        <f t="shared" si="45"/>
        <v>9.6198558558558593E-4</v>
      </c>
      <c r="BV8" s="463">
        <f t="shared" si="46"/>
        <v>1.0108753153153151E-2</v>
      </c>
      <c r="BW8" s="463">
        <f t="shared" si="47"/>
        <v>0</v>
      </c>
      <c r="BX8" s="463">
        <f t="shared" si="48"/>
        <v>1.2410218610421516E-2</v>
      </c>
      <c r="BY8" s="463">
        <f t="shared" si="49"/>
        <v>2.5533333333333335E-2</v>
      </c>
      <c r="BZ8" s="147">
        <f t="shared" si="62"/>
        <v>37.943551943754848</v>
      </c>
      <c r="CA8" s="153">
        <f t="shared" si="63"/>
        <v>7.2097194858596891E-2</v>
      </c>
      <c r="CB8" s="5">
        <f t="shared" si="64"/>
        <v>0.22499999999999998</v>
      </c>
      <c r="CC8" s="153">
        <f t="shared" si="65"/>
        <v>0.75732791791281806</v>
      </c>
      <c r="CD8" s="5">
        <f t="shared" si="66"/>
        <v>75.732791791281812</v>
      </c>
      <c r="CG8" s="59">
        <f t="shared" si="50"/>
        <v>-50</v>
      </c>
      <c r="CH8">
        <f t="shared" si="51"/>
        <v>-50</v>
      </c>
    </row>
    <row r="9" spans="2:86" x14ac:dyDescent="0.25">
      <c r="E9" s="150">
        <v>4</v>
      </c>
      <c r="F9" s="191">
        <f t="shared" si="52"/>
        <v>0.02</v>
      </c>
      <c r="G9" s="191"/>
      <c r="H9" s="191">
        <f t="shared" si="0"/>
        <v>0.3</v>
      </c>
      <c r="I9" s="472">
        <f t="shared" si="1"/>
        <v>11.1</v>
      </c>
      <c r="J9" s="152">
        <f t="shared" si="2"/>
        <v>7.66</v>
      </c>
      <c r="K9" s="386">
        <f t="shared" si="3"/>
        <v>18.759999999999998</v>
      </c>
      <c r="L9" s="386"/>
      <c r="M9" s="191">
        <f t="shared" si="4"/>
        <v>0.40831556503198302</v>
      </c>
      <c r="N9" s="152">
        <f t="shared" si="5"/>
        <v>8.3620986140724956</v>
      </c>
      <c r="O9" s="152">
        <f t="shared" si="53"/>
        <v>0.3</v>
      </c>
      <c r="P9" s="191">
        <f t="shared" si="6"/>
        <v>0.55747324093816641</v>
      </c>
      <c r="Q9" s="191">
        <f t="shared" si="7"/>
        <v>15</v>
      </c>
      <c r="R9" s="191">
        <f t="shared" si="8"/>
        <v>0.61941471215351818</v>
      </c>
      <c r="S9" s="152">
        <f t="shared" si="9"/>
        <v>1001.782089098084</v>
      </c>
      <c r="T9" s="152">
        <f t="shared" si="10"/>
        <v>15</v>
      </c>
      <c r="U9" s="191">
        <f t="shared" si="11"/>
        <v>0.14709226197476846</v>
      </c>
      <c r="V9" s="191">
        <f t="shared" si="12"/>
        <v>0.11926399619575823</v>
      </c>
      <c r="W9" s="191">
        <f t="shared" si="13"/>
        <v>0.17282380649776974</v>
      </c>
      <c r="X9" s="175">
        <f t="shared" si="14"/>
        <v>350</v>
      </c>
      <c r="Y9" s="386">
        <f t="shared" si="54"/>
        <v>350</v>
      </c>
      <c r="AA9" s="191">
        <f t="shared" si="15"/>
        <v>1.4388262767793685</v>
      </c>
      <c r="AB9" s="153">
        <f t="shared" si="16"/>
        <v>1.6905269570514774</v>
      </c>
      <c r="AC9" s="153">
        <f t="shared" si="17"/>
        <v>0.21283277814833412</v>
      </c>
      <c r="AD9" s="153"/>
      <c r="AE9" s="153">
        <f t="shared" si="18"/>
        <v>0.96344647519582249</v>
      </c>
      <c r="AF9" s="317">
        <f t="shared" si="19"/>
        <v>101.26247603939454</v>
      </c>
      <c r="AG9" s="463">
        <f t="shared" si="20"/>
        <v>6.9127284595300251E-2</v>
      </c>
      <c r="AI9" s="153">
        <f t="shared" si="21"/>
        <v>0.46492494321327771</v>
      </c>
      <c r="AJ9" s="153">
        <f t="shared" si="22"/>
        <v>0.82</v>
      </c>
      <c r="AK9" s="153">
        <f t="shared" si="23"/>
        <v>1.0578642720225111</v>
      </c>
      <c r="AM9" s="317">
        <f t="shared" si="24"/>
        <v>20</v>
      </c>
      <c r="AN9" s="147">
        <f t="shared" si="25"/>
        <v>101.26247603939454</v>
      </c>
      <c r="AP9">
        <f t="shared" si="26"/>
        <v>20</v>
      </c>
      <c r="AQ9" s="147">
        <f t="shared" si="27"/>
        <v>101.26247603939454</v>
      </c>
      <c r="AR9" s="147"/>
      <c r="AS9" s="5">
        <f t="shared" si="55"/>
        <v>9.8753263707571808</v>
      </c>
      <c r="AT9" s="5">
        <f t="shared" si="28"/>
        <v>0.66486486486486485</v>
      </c>
      <c r="AU9" s="5">
        <f t="shared" si="56"/>
        <v>9.2104615058923152</v>
      </c>
      <c r="AV9" s="5">
        <f t="shared" si="29"/>
        <v>0.96344647519582249</v>
      </c>
      <c r="AW9" s="153">
        <f t="shared" si="57"/>
        <v>6.7325862447813661E-2</v>
      </c>
      <c r="AX9" s="153">
        <f t="shared" si="30"/>
        <v>0.30639999999999995</v>
      </c>
      <c r="AY9" s="153">
        <f t="shared" si="31"/>
        <v>0.19119819819819819</v>
      </c>
      <c r="AZ9" s="153">
        <f t="shared" si="58"/>
        <v>1.6025255618904017</v>
      </c>
      <c r="BA9" s="147">
        <f t="shared" si="32"/>
        <v>16.670079701628925</v>
      </c>
      <c r="BB9" s="147">
        <f t="shared" si="33"/>
        <v>8.7193236912588262E-2</v>
      </c>
      <c r="BC9" s="5">
        <f t="shared" si="34"/>
        <v>0.49836114524753478</v>
      </c>
      <c r="BD9" s="147">
        <f t="shared" si="35"/>
        <v>12.662382617925628</v>
      </c>
      <c r="BE9" s="5"/>
      <c r="BF9" s="153">
        <f t="shared" si="59"/>
        <v>0.12284123888161486</v>
      </c>
      <c r="BG9" s="153">
        <f t="shared" si="36"/>
        <v>0.22860630096487022</v>
      </c>
      <c r="BH9" s="153"/>
      <c r="BI9" s="463">
        <f t="shared" si="37"/>
        <v>1.6598966966966961E-3</v>
      </c>
      <c r="BJ9" s="463">
        <f t="shared" si="38"/>
        <v>7.7887046070460684E-3</v>
      </c>
      <c r="BK9" s="463">
        <f t="shared" si="39"/>
        <v>5.0631238019697268E-3</v>
      </c>
      <c r="BL9" s="463">
        <f t="shared" si="40"/>
        <v>8.0185663771564532E-3</v>
      </c>
      <c r="BM9">
        <f t="shared" si="41"/>
        <v>3.2190000000000001E-3</v>
      </c>
      <c r="BN9">
        <f t="shared" si="42"/>
        <v>6.1770110384030673E-6</v>
      </c>
      <c r="BO9" s="463">
        <f t="shared" si="43"/>
        <v>2.5987513248336012E-2</v>
      </c>
      <c r="BP9" s="147">
        <f t="shared" si="60"/>
        <v>25.987513248336011</v>
      </c>
      <c r="BQ9" s="463">
        <f t="shared" si="44"/>
        <v>1.5625456480480478E-2</v>
      </c>
      <c r="BR9" s="463"/>
      <c r="BT9" s="147">
        <f t="shared" si="61"/>
        <v>15.625456480480478</v>
      </c>
      <c r="BU9" s="463">
        <f t="shared" si="45"/>
        <v>1.2826474474474472E-3</v>
      </c>
      <c r="BV9" s="463">
        <f t="shared" si="46"/>
        <v>9.9295597597597561E-3</v>
      </c>
      <c r="BW9" s="463">
        <f t="shared" si="47"/>
        <v>0</v>
      </c>
      <c r="BX9" s="463">
        <f t="shared" si="48"/>
        <v>1.2568946122336057E-2</v>
      </c>
      <c r="BY9" s="463">
        <f t="shared" si="49"/>
        <v>3.4044444444444447E-2</v>
      </c>
      <c r="BZ9" s="147">
        <f t="shared" si="62"/>
        <v>46.613390566780502</v>
      </c>
      <c r="CA9" s="153">
        <f t="shared" si="63"/>
        <v>8.8226360295596995E-2</v>
      </c>
      <c r="CB9" s="5">
        <f t="shared" si="64"/>
        <v>0.3</v>
      </c>
      <c r="CC9" s="153">
        <f t="shared" si="65"/>
        <v>0.77274505464177878</v>
      </c>
      <c r="CD9" s="5">
        <f t="shared" si="66"/>
        <v>77.274505464177878</v>
      </c>
      <c r="CG9" s="59">
        <f t="shared" si="50"/>
        <v>-50</v>
      </c>
      <c r="CH9">
        <f t="shared" si="51"/>
        <v>-50</v>
      </c>
    </row>
    <row r="10" spans="2:86" x14ac:dyDescent="0.25">
      <c r="E10" s="150">
        <v>5</v>
      </c>
      <c r="F10" s="191">
        <f t="shared" si="52"/>
        <v>2.5000000000000001E-2</v>
      </c>
      <c r="G10" s="191"/>
      <c r="H10" s="191">
        <f t="shared" si="0"/>
        <v>0.375</v>
      </c>
      <c r="I10" s="472">
        <f t="shared" si="1"/>
        <v>11.1</v>
      </c>
      <c r="J10" s="152">
        <f t="shared" si="2"/>
        <v>7.66</v>
      </c>
      <c r="K10" s="386">
        <f t="shared" si="3"/>
        <v>18.759999999999998</v>
      </c>
      <c r="L10" s="386"/>
      <c r="M10" s="191">
        <f t="shared" si="4"/>
        <v>0.40831556503198302</v>
      </c>
      <c r="N10" s="152">
        <f t="shared" si="5"/>
        <v>8.3620986140724956</v>
      </c>
      <c r="O10" s="152">
        <f t="shared" si="53"/>
        <v>0.375</v>
      </c>
      <c r="P10" s="191">
        <f t="shared" si="6"/>
        <v>0.55747324093816641</v>
      </c>
      <c r="Q10" s="191">
        <f t="shared" si="7"/>
        <v>15</v>
      </c>
      <c r="R10" s="191">
        <f t="shared" si="8"/>
        <v>0.61941471215351818</v>
      </c>
      <c r="S10" s="152">
        <f t="shared" si="9"/>
        <v>796.98890997192063</v>
      </c>
      <c r="T10" s="152">
        <f t="shared" si="10"/>
        <v>15</v>
      </c>
      <c r="U10" s="191">
        <f t="shared" si="11"/>
        <v>0.18386532746846057</v>
      </c>
      <c r="V10" s="191">
        <f t="shared" si="12"/>
        <v>0.14907999524469778</v>
      </c>
      <c r="W10" s="191">
        <f t="shared" si="13"/>
        <v>0.21602975812221217</v>
      </c>
      <c r="X10" s="175">
        <f t="shared" si="14"/>
        <v>350</v>
      </c>
      <c r="Y10" s="386">
        <f t="shared" si="54"/>
        <v>350</v>
      </c>
      <c r="AA10" s="191">
        <f t="shared" si="15"/>
        <v>1.4388262767793685</v>
      </c>
      <c r="AB10" s="153">
        <f t="shared" si="16"/>
        <v>1.6905269570514774</v>
      </c>
      <c r="AC10" s="153">
        <f t="shared" si="17"/>
        <v>0.21283277814833412</v>
      </c>
      <c r="AD10" s="153"/>
      <c r="AE10" s="153">
        <f t="shared" si="18"/>
        <v>0.96344647519582249</v>
      </c>
      <c r="AF10" s="317">
        <f t="shared" si="19"/>
        <v>126.5780950492432</v>
      </c>
      <c r="AG10" s="463">
        <f t="shared" si="20"/>
        <v>6.9127284595300251E-2</v>
      </c>
      <c r="AI10" s="153">
        <f t="shared" si="21"/>
        <v>0.51980188873005917</v>
      </c>
      <c r="AJ10" s="153">
        <f t="shared" si="22"/>
        <v>0.82</v>
      </c>
      <c r="AK10" s="153">
        <f t="shared" si="23"/>
        <v>1.072330340028139</v>
      </c>
      <c r="AM10" s="317">
        <f t="shared" si="24"/>
        <v>25</v>
      </c>
      <c r="AN10" s="147">
        <f t="shared" si="25"/>
        <v>126.5780950492432</v>
      </c>
      <c r="AP10">
        <f t="shared" si="26"/>
        <v>25</v>
      </c>
      <c r="AQ10" s="147">
        <f t="shared" si="27"/>
        <v>126.5780950492432</v>
      </c>
      <c r="AR10" s="147"/>
      <c r="AS10" s="5">
        <f t="shared" si="55"/>
        <v>7.9002610966057425</v>
      </c>
      <c r="AT10" s="5">
        <f t="shared" si="28"/>
        <v>0.66486486486486485</v>
      </c>
      <c r="AU10" s="5">
        <f t="shared" si="56"/>
        <v>7.2353962317408778</v>
      </c>
      <c r="AV10" s="5">
        <f t="shared" si="29"/>
        <v>0.96344647519582249</v>
      </c>
      <c r="AW10" s="153">
        <f t="shared" si="57"/>
        <v>8.4157328059767098E-2</v>
      </c>
      <c r="AX10" s="153">
        <f t="shared" si="30"/>
        <v>0.38300000000000006</v>
      </c>
      <c r="AY10" s="153">
        <f t="shared" si="31"/>
        <v>0.18774774774774775</v>
      </c>
      <c r="AZ10" s="153">
        <f t="shared" si="58"/>
        <v>2.0399712092130522</v>
      </c>
      <c r="BA10" s="147">
        <f t="shared" si="32"/>
        <v>16.670079701628925</v>
      </c>
      <c r="BB10" s="147">
        <f t="shared" si="33"/>
        <v>0.11748943267591919</v>
      </c>
      <c r="BC10" s="5">
        <f t="shared" si="34"/>
        <v>0.48936749125753304</v>
      </c>
      <c r="BD10" s="147">
        <f t="shared" si="35"/>
        <v>12.458019778427651</v>
      </c>
      <c r="BE10" s="5"/>
      <c r="BF10" s="153">
        <f t="shared" si="59"/>
        <v>0.13734068028979055</v>
      </c>
      <c r="BG10" s="153">
        <f t="shared" si="36"/>
        <v>0.22653414249891274</v>
      </c>
      <c r="BH10" s="153"/>
      <c r="BI10" s="463">
        <f t="shared" si="37"/>
        <v>2.0748708708708706E-3</v>
      </c>
      <c r="BJ10" s="463">
        <f t="shared" si="38"/>
        <v>9.7358807588075885E-3</v>
      </c>
      <c r="BK10" s="463">
        <f t="shared" si="39"/>
        <v>6.3289047524621601E-3</v>
      </c>
      <c r="BL10" s="463">
        <f t="shared" si="40"/>
        <v>1.0023207971445569E-2</v>
      </c>
      <c r="BM10">
        <f t="shared" si="41"/>
        <v>3.2190000000000001E-3</v>
      </c>
      <c r="BN10">
        <f t="shared" si="42"/>
        <v>7.7212637980038365E-6</v>
      </c>
      <c r="BO10" s="463">
        <f t="shared" si="43"/>
        <v>3.1681821419461437E-2</v>
      </c>
      <c r="BP10" s="147">
        <f t="shared" si="60"/>
        <v>31.681821419461436</v>
      </c>
      <c r="BQ10" s="463">
        <f t="shared" si="44"/>
        <v>1.7391347267267265E-2</v>
      </c>
      <c r="BR10" s="463"/>
      <c r="BT10" s="147">
        <f t="shared" si="61"/>
        <v>17.391347267267264</v>
      </c>
      <c r="BU10" s="463">
        <f t="shared" si="45"/>
        <v>1.6033093093093093E-3</v>
      </c>
      <c r="BV10" s="463">
        <f t="shared" si="46"/>
        <v>9.7503663663663642E-3</v>
      </c>
      <c r="BW10" s="463">
        <f t="shared" si="47"/>
        <v>0</v>
      </c>
      <c r="BX10" s="463">
        <f t="shared" si="48"/>
        <v>1.2727677230306962E-2</v>
      </c>
      <c r="BY10" s="463">
        <f t="shared" si="49"/>
        <v>4.2555555555555569E-2</v>
      </c>
      <c r="BZ10" s="147">
        <f t="shared" si="62"/>
        <v>55.283232785862531</v>
      </c>
      <c r="CA10" s="153">
        <f t="shared" si="63"/>
        <v>0.10435640147259123</v>
      </c>
      <c r="CB10" s="5">
        <f t="shared" si="64"/>
        <v>0.375</v>
      </c>
      <c r="CC10" s="153">
        <f t="shared" si="65"/>
        <v>0.78229893008207141</v>
      </c>
      <c r="CD10" s="5">
        <f t="shared" si="66"/>
        <v>78.229893008207142</v>
      </c>
      <c r="CG10" s="59">
        <f t="shared" si="50"/>
        <v>-50</v>
      </c>
      <c r="CH10">
        <f t="shared" si="51"/>
        <v>-50</v>
      </c>
    </row>
    <row r="11" spans="2:86" x14ac:dyDescent="0.25">
      <c r="E11" s="150">
        <v>6</v>
      </c>
      <c r="F11" s="191">
        <f t="shared" si="52"/>
        <v>0.03</v>
      </c>
      <c r="G11" s="191"/>
      <c r="H11" s="191">
        <f t="shared" si="0"/>
        <v>0.44999999999999996</v>
      </c>
      <c r="I11" s="472">
        <f t="shared" si="1"/>
        <v>11.1</v>
      </c>
      <c r="J11" s="152">
        <f t="shared" si="2"/>
        <v>7.66</v>
      </c>
      <c r="K11" s="386">
        <f t="shared" si="3"/>
        <v>18.759999999999998</v>
      </c>
      <c r="L11" s="386"/>
      <c r="M11" s="191">
        <f t="shared" si="4"/>
        <v>0.40831556503198302</v>
      </c>
      <c r="N11" s="152">
        <f t="shared" si="5"/>
        <v>8.3620986140724956</v>
      </c>
      <c r="O11" s="152">
        <f t="shared" si="53"/>
        <v>0.44999999999999996</v>
      </c>
      <c r="P11" s="191">
        <f t="shared" si="6"/>
        <v>0.55747324093816641</v>
      </c>
      <c r="Q11" s="191">
        <f t="shared" si="7"/>
        <v>15</v>
      </c>
      <c r="R11" s="191">
        <f t="shared" si="8"/>
        <v>0.61941471215351818</v>
      </c>
      <c r="S11" s="152">
        <f t="shared" si="9"/>
        <v>660.46075091850071</v>
      </c>
      <c r="T11" s="152">
        <f t="shared" si="10"/>
        <v>15</v>
      </c>
      <c r="U11" s="191">
        <f t="shared" si="11"/>
        <v>0.22063839296215268</v>
      </c>
      <c r="V11" s="191">
        <f t="shared" si="12"/>
        <v>0.17889599429363731</v>
      </c>
      <c r="W11" s="191">
        <f t="shared" si="13"/>
        <v>0.25923570974665455</v>
      </c>
      <c r="X11" s="175">
        <f t="shared" si="14"/>
        <v>350</v>
      </c>
      <c r="Y11" s="386">
        <f t="shared" si="54"/>
        <v>350</v>
      </c>
      <c r="AA11" s="191">
        <f t="shared" si="15"/>
        <v>1.4388262767793685</v>
      </c>
      <c r="AB11" s="153">
        <f t="shared" si="16"/>
        <v>1.6905269570514774</v>
      </c>
      <c r="AC11" s="153">
        <f t="shared" si="17"/>
        <v>0.21283277814833412</v>
      </c>
      <c r="AD11" s="153"/>
      <c r="AE11" s="153">
        <f t="shared" si="18"/>
        <v>0.96344647519582249</v>
      </c>
      <c r="AF11" s="317">
        <f t="shared" si="19"/>
        <v>151.89371405909182</v>
      </c>
      <c r="AG11" s="463">
        <f t="shared" si="20"/>
        <v>6.9127284595300251E-2</v>
      </c>
      <c r="AI11" s="153">
        <f t="shared" si="21"/>
        <v>0.56941443978248762</v>
      </c>
      <c r="AJ11" s="153">
        <f t="shared" si="22"/>
        <v>0.82</v>
      </c>
      <c r="AK11" s="153">
        <f t="shared" si="23"/>
        <v>1.0867964080337669</v>
      </c>
      <c r="AM11" s="317">
        <f t="shared" si="24"/>
        <v>30</v>
      </c>
      <c r="AN11" s="147">
        <f t="shared" si="25"/>
        <v>151.89371405909182</v>
      </c>
      <c r="AP11">
        <f t="shared" si="26"/>
        <v>30</v>
      </c>
      <c r="AQ11" s="147">
        <f t="shared" si="27"/>
        <v>151.89371405909182</v>
      </c>
      <c r="AR11" s="147"/>
      <c r="AS11" s="5">
        <f t="shared" si="55"/>
        <v>6.5835509138381196</v>
      </c>
      <c r="AT11" s="5">
        <f t="shared" si="28"/>
        <v>0.66486486486486485</v>
      </c>
      <c r="AU11" s="5">
        <f t="shared" si="56"/>
        <v>5.9186860489732549</v>
      </c>
      <c r="AV11" s="5">
        <f t="shared" si="29"/>
        <v>0.96344647519582249</v>
      </c>
      <c r="AW11" s="153">
        <f t="shared" si="57"/>
        <v>0.10098879367172051</v>
      </c>
      <c r="AX11" s="153">
        <f t="shared" si="30"/>
        <v>0.45959999999999995</v>
      </c>
      <c r="AY11" s="153">
        <f t="shared" si="31"/>
        <v>0.18429729729729727</v>
      </c>
      <c r="AZ11" s="153">
        <f t="shared" si="58"/>
        <v>2.4937967443906732</v>
      </c>
      <c r="BA11" s="147">
        <f t="shared" si="32"/>
        <v>16.670079701628925</v>
      </c>
      <c r="BB11" s="147">
        <f t="shared" si="33"/>
        <v>0.15118478305332358</v>
      </c>
      <c r="BC11" s="5">
        <f t="shared" si="34"/>
        <v>0.48037383726753136</v>
      </c>
      <c r="BD11" s="147">
        <f t="shared" si="35"/>
        <v>12.253656938929677</v>
      </c>
      <c r="BE11" s="5"/>
      <c r="BF11" s="153">
        <f t="shared" si="59"/>
        <v>0.15044917731564686</v>
      </c>
      <c r="BG11" s="153">
        <f t="shared" si="36"/>
        <v>0.22444285373919701</v>
      </c>
      <c r="BH11" s="153"/>
      <c r="BI11" s="463">
        <f t="shared" si="37"/>
        <v>2.4898450450450446E-3</v>
      </c>
      <c r="BJ11" s="463">
        <f t="shared" si="38"/>
        <v>1.1683056910569105E-2</v>
      </c>
      <c r="BK11" s="463">
        <f t="shared" si="39"/>
        <v>7.5946857029545907E-3</v>
      </c>
      <c r="BL11" s="463">
        <f t="shared" si="40"/>
        <v>1.2027849565734678E-2</v>
      </c>
      <c r="BM11">
        <f t="shared" si="41"/>
        <v>3.2190000000000001E-3</v>
      </c>
      <c r="BN11">
        <f t="shared" si="42"/>
        <v>9.2655165576046014E-6</v>
      </c>
      <c r="BO11" s="463">
        <f t="shared" si="43"/>
        <v>3.7377001934937849E-2</v>
      </c>
      <c r="BP11" s="147">
        <f t="shared" si="60"/>
        <v>37.377001934937852</v>
      </c>
      <c r="BQ11" s="463">
        <f t="shared" si="44"/>
        <v>1.9157238054054053E-2</v>
      </c>
      <c r="BR11" s="463"/>
      <c r="BT11" s="147">
        <f t="shared" si="61"/>
        <v>19.157238054054051</v>
      </c>
      <c r="BU11" s="463">
        <f t="shared" si="45"/>
        <v>1.923971171171171E-3</v>
      </c>
      <c r="BV11" s="463">
        <f t="shared" si="46"/>
        <v>9.5711729729729689E-3</v>
      </c>
      <c r="BW11" s="463">
        <f t="shared" si="47"/>
        <v>0</v>
      </c>
      <c r="BX11" s="463">
        <f t="shared" si="48"/>
        <v>1.2886411934456431E-2</v>
      </c>
      <c r="BY11" s="463">
        <f t="shared" si="49"/>
        <v>5.106666666666667E-2</v>
      </c>
      <c r="BZ11" s="147">
        <f t="shared" si="62"/>
        <v>63.953078601123103</v>
      </c>
      <c r="CA11" s="153">
        <f t="shared" si="63"/>
        <v>0.12048731859011499</v>
      </c>
      <c r="CB11" s="5">
        <f t="shared" si="64"/>
        <v>0.44999999999999996</v>
      </c>
      <c r="CC11" s="153">
        <f t="shared" si="65"/>
        <v>0.78879930427220768</v>
      </c>
      <c r="CD11" s="5">
        <f t="shared" si="66"/>
        <v>78.879930427220771</v>
      </c>
      <c r="CG11" s="59">
        <f t="shared" si="50"/>
        <v>-50</v>
      </c>
      <c r="CH11">
        <f t="shared" si="51"/>
        <v>-50</v>
      </c>
    </row>
    <row r="12" spans="2:86" x14ac:dyDescent="0.25">
      <c r="E12" s="150">
        <v>7</v>
      </c>
      <c r="F12" s="191">
        <f t="shared" si="52"/>
        <v>3.5000000000000003E-2</v>
      </c>
      <c r="G12" s="191"/>
      <c r="H12" s="191">
        <f t="shared" si="0"/>
        <v>0.52500000000000002</v>
      </c>
      <c r="I12" s="472">
        <f t="shared" si="1"/>
        <v>11.1</v>
      </c>
      <c r="J12" s="152">
        <f t="shared" si="2"/>
        <v>7.66</v>
      </c>
      <c r="K12" s="386">
        <f t="shared" si="3"/>
        <v>18.759999999999998</v>
      </c>
      <c r="L12" s="386"/>
      <c r="M12" s="191">
        <f t="shared" si="4"/>
        <v>0.40831556503198302</v>
      </c>
      <c r="N12" s="152">
        <f t="shared" si="5"/>
        <v>8.3620986140724956</v>
      </c>
      <c r="O12" s="152">
        <f t="shared" si="53"/>
        <v>0.52500000000000002</v>
      </c>
      <c r="P12" s="191">
        <f t="shared" si="6"/>
        <v>0.55747324093816641</v>
      </c>
      <c r="Q12" s="191">
        <f t="shared" si="7"/>
        <v>15</v>
      </c>
      <c r="R12" s="191">
        <f t="shared" si="8"/>
        <v>0.61941471215351818</v>
      </c>
      <c r="S12" s="152">
        <f t="shared" si="9"/>
        <v>562.94118369479111</v>
      </c>
      <c r="T12" s="152">
        <f t="shared" si="10"/>
        <v>15</v>
      </c>
      <c r="U12" s="191">
        <f t="shared" si="11"/>
        <v>0.25741145845584484</v>
      </c>
      <c r="V12" s="191">
        <f t="shared" si="12"/>
        <v>0.20871199334257692</v>
      </c>
      <c r="W12" s="191">
        <f t="shared" si="13"/>
        <v>0.30244166137109701</v>
      </c>
      <c r="X12" s="175">
        <f t="shared" si="14"/>
        <v>350</v>
      </c>
      <c r="Y12" s="386">
        <f t="shared" si="54"/>
        <v>350</v>
      </c>
      <c r="AA12" s="191">
        <f t="shared" si="15"/>
        <v>1.4388262767793685</v>
      </c>
      <c r="AB12" s="153">
        <f t="shared" si="16"/>
        <v>1.6905269570514774</v>
      </c>
      <c r="AC12" s="153">
        <f t="shared" si="17"/>
        <v>0.21283277814833412</v>
      </c>
      <c r="AD12" s="153"/>
      <c r="AE12" s="153">
        <f t="shared" si="18"/>
        <v>0.96344647519582249</v>
      </c>
      <c r="AF12" s="317">
        <f t="shared" si="19"/>
        <v>177.20933306894048</v>
      </c>
      <c r="AG12" s="463">
        <f t="shared" si="20"/>
        <v>6.9127284595300251E-2</v>
      </c>
      <c r="AI12" s="153">
        <f t="shared" si="21"/>
        <v>0.61503788902657985</v>
      </c>
      <c r="AJ12" s="153">
        <f t="shared" si="22"/>
        <v>0.82</v>
      </c>
      <c r="AK12" s="153">
        <f t="shared" si="23"/>
        <v>1.1012624760393945</v>
      </c>
      <c r="AM12" s="317">
        <f t="shared" si="24"/>
        <v>35</v>
      </c>
      <c r="AN12" s="147">
        <f t="shared" si="25"/>
        <v>177.20933306894048</v>
      </c>
      <c r="AP12">
        <f t="shared" si="26"/>
        <v>35</v>
      </c>
      <c r="AQ12" s="147">
        <f t="shared" si="27"/>
        <v>177.20933306894048</v>
      </c>
      <c r="AR12" s="147"/>
      <c r="AS12" s="5">
        <f t="shared" si="55"/>
        <v>5.6430436404326736</v>
      </c>
      <c r="AT12" s="5">
        <f t="shared" si="28"/>
        <v>0.66486486486486485</v>
      </c>
      <c r="AU12" s="5">
        <f t="shared" si="56"/>
        <v>4.9781787755678089</v>
      </c>
      <c r="AV12" s="5">
        <f t="shared" si="29"/>
        <v>0.96344647519582249</v>
      </c>
      <c r="AW12" s="153">
        <f t="shared" si="57"/>
        <v>0.11782025928367393</v>
      </c>
      <c r="AX12" s="153">
        <f t="shared" si="30"/>
        <v>0.53620000000000001</v>
      </c>
      <c r="AY12" s="153">
        <f t="shared" si="31"/>
        <v>0.18084684684684685</v>
      </c>
      <c r="AZ12" s="153">
        <f t="shared" si="58"/>
        <v>2.9649397230248082</v>
      </c>
      <c r="BA12" s="147">
        <f t="shared" si="32"/>
        <v>16.670079701628925</v>
      </c>
      <c r="BB12" s="147">
        <f t="shared" si="33"/>
        <v>0.1882792880448016</v>
      </c>
      <c r="BC12" s="5">
        <f t="shared" si="34"/>
        <v>0.47138018327752967</v>
      </c>
      <c r="BD12" s="147">
        <f t="shared" si="35"/>
        <v>12.049294099431703</v>
      </c>
      <c r="BE12" s="5"/>
      <c r="BF12" s="153">
        <f t="shared" si="59"/>
        <v>0.16250368441191557</v>
      </c>
      <c r="BG12" s="153">
        <f t="shared" si="36"/>
        <v>0.2223318948587257</v>
      </c>
      <c r="BH12" s="153"/>
      <c r="BI12" s="463">
        <f t="shared" si="37"/>
        <v>2.9048192192192195E-3</v>
      </c>
      <c r="BJ12" s="463">
        <f t="shared" si="38"/>
        <v>1.3630233062330624E-2</v>
      </c>
      <c r="BK12" s="463">
        <f t="shared" si="39"/>
        <v>8.8604666534470248E-3</v>
      </c>
      <c r="BL12" s="463">
        <f t="shared" si="40"/>
        <v>1.4032491160023794E-2</v>
      </c>
      <c r="BM12">
        <f t="shared" si="41"/>
        <v>3.2190000000000001E-3</v>
      </c>
      <c r="BN12">
        <f t="shared" si="42"/>
        <v>1.080976931720537E-5</v>
      </c>
      <c r="BO12" s="463">
        <f t="shared" si="43"/>
        <v>4.3073054995239897E-2</v>
      </c>
      <c r="BP12" s="147">
        <f t="shared" si="60"/>
        <v>43.0730549952399</v>
      </c>
      <c r="BQ12" s="463">
        <f t="shared" si="44"/>
        <v>2.0923128840840844E-2</v>
      </c>
      <c r="BR12" s="463"/>
      <c r="BT12" s="147">
        <f t="shared" si="61"/>
        <v>20.923128840840842</v>
      </c>
      <c r="BU12" s="463">
        <f t="shared" si="45"/>
        <v>2.2446330330330336E-3</v>
      </c>
      <c r="BV12" s="463">
        <f t="shared" si="46"/>
        <v>9.3919795795795787E-3</v>
      </c>
      <c r="BW12" s="463">
        <f t="shared" si="47"/>
        <v>0</v>
      </c>
      <c r="BX12" s="463">
        <f t="shared" si="48"/>
        <v>1.3045150234906683E-2</v>
      </c>
      <c r="BY12" s="463">
        <f t="shared" si="49"/>
        <v>5.9577777777777792E-2</v>
      </c>
      <c r="BZ12" s="147">
        <f t="shared" si="62"/>
        <v>72.622928012684469</v>
      </c>
      <c r="CA12" s="153">
        <f t="shared" si="63"/>
        <v>0.13661911184876521</v>
      </c>
      <c r="CB12" s="5">
        <f t="shared" si="64"/>
        <v>0.52500000000000002</v>
      </c>
      <c r="CC12" s="153">
        <f t="shared" si="65"/>
        <v>0.7935079120265891</v>
      </c>
      <c r="CD12" s="5">
        <f t="shared" si="66"/>
        <v>79.350791202658911</v>
      </c>
      <c r="CG12" s="59">
        <f t="shared" si="50"/>
        <v>-50</v>
      </c>
      <c r="CH12">
        <f t="shared" si="51"/>
        <v>-50</v>
      </c>
    </row>
    <row r="13" spans="2:86" s="59" customFormat="1" x14ac:dyDescent="0.25">
      <c r="E13" s="150">
        <v>8</v>
      </c>
      <c r="F13" s="191">
        <f t="shared" si="52"/>
        <v>0.04</v>
      </c>
      <c r="G13" s="191"/>
      <c r="H13" s="191">
        <f t="shared" si="0"/>
        <v>0.6</v>
      </c>
      <c r="I13" s="472">
        <f t="shared" si="1"/>
        <v>11.1</v>
      </c>
      <c r="J13" s="152">
        <f t="shared" si="2"/>
        <v>7.66</v>
      </c>
      <c r="K13" s="386">
        <f t="shared" si="3"/>
        <v>18.759999999999998</v>
      </c>
      <c r="L13" s="386"/>
      <c r="M13" s="191">
        <f t="shared" si="4"/>
        <v>0.40831556503198302</v>
      </c>
      <c r="N13" s="152">
        <f t="shared" si="5"/>
        <v>8.3620986140724956</v>
      </c>
      <c r="O13" s="152">
        <f t="shared" si="53"/>
        <v>0.6</v>
      </c>
      <c r="P13" s="191">
        <f t="shared" si="6"/>
        <v>0.55747324093816641</v>
      </c>
      <c r="Q13" s="191">
        <f t="shared" si="7"/>
        <v>15</v>
      </c>
      <c r="R13" s="191">
        <f t="shared" si="8"/>
        <v>0.61941471215351818</v>
      </c>
      <c r="S13" s="152">
        <f t="shared" si="9"/>
        <v>489.80199435055323</v>
      </c>
      <c r="T13" s="152">
        <f t="shared" si="10"/>
        <v>15</v>
      </c>
      <c r="U13" s="191">
        <f t="shared" si="11"/>
        <v>0.29418452394953692</v>
      </c>
      <c r="V13" s="191">
        <f t="shared" si="12"/>
        <v>0.23852799239151645</v>
      </c>
      <c r="W13" s="191">
        <f t="shared" si="13"/>
        <v>0.34564761299553948</v>
      </c>
      <c r="X13" s="175">
        <f t="shared" si="14"/>
        <v>350</v>
      </c>
      <c r="Y13" s="386">
        <f t="shared" si="54"/>
        <v>350</v>
      </c>
      <c r="AA13" s="191">
        <f t="shared" si="15"/>
        <v>1.4388262767793685</v>
      </c>
      <c r="AB13" s="153">
        <f t="shared" si="16"/>
        <v>1.6905269570514774</v>
      </c>
      <c r="AC13" s="469">
        <f t="shared" si="17"/>
        <v>0.21283277814833412</v>
      </c>
      <c r="AD13" s="469"/>
      <c r="AE13" s="153">
        <f t="shared" si="18"/>
        <v>0.96344647519582249</v>
      </c>
      <c r="AF13" s="317">
        <f t="shared" si="19"/>
        <v>202.52495207878908</v>
      </c>
      <c r="AG13" s="463">
        <f t="shared" si="20"/>
        <v>6.9127284595300251E-2</v>
      </c>
      <c r="AH13"/>
      <c r="AI13" s="153">
        <f t="shared" si="21"/>
        <v>0.65750316017775845</v>
      </c>
      <c r="AJ13" s="153">
        <f t="shared" si="22"/>
        <v>0.82</v>
      </c>
      <c r="AK13" s="153">
        <f t="shared" si="23"/>
        <v>1.1157285440450224</v>
      </c>
      <c r="AM13" s="317">
        <f t="shared" si="24"/>
        <v>40</v>
      </c>
      <c r="AN13" s="147">
        <f t="shared" si="25"/>
        <v>202.52495207878908</v>
      </c>
      <c r="AP13">
        <f t="shared" si="26"/>
        <v>40</v>
      </c>
      <c r="AQ13" s="147">
        <f t="shared" si="27"/>
        <v>202.52495207878908</v>
      </c>
      <c r="AR13" s="147"/>
      <c r="AS13" s="5">
        <f t="shared" si="55"/>
        <v>4.9376631853785904</v>
      </c>
      <c r="AT13" s="5">
        <f t="shared" si="28"/>
        <v>0.66486486486486485</v>
      </c>
      <c r="AU13" s="5">
        <f t="shared" si="56"/>
        <v>4.2727983205137257</v>
      </c>
      <c r="AV13" s="5">
        <f t="shared" si="29"/>
        <v>0.96344647519582249</v>
      </c>
      <c r="AW13" s="153">
        <f t="shared" si="57"/>
        <v>0.13465172489562732</v>
      </c>
      <c r="AX13" s="153">
        <f t="shared" si="30"/>
        <v>0.6127999999999999</v>
      </c>
      <c r="AY13" s="153">
        <f t="shared" si="31"/>
        <v>0.17739639639639637</v>
      </c>
      <c r="AZ13" s="153">
        <f t="shared" si="58"/>
        <v>3.4544106444568583</v>
      </c>
      <c r="BA13" s="147">
        <f t="shared" si="32"/>
        <v>16.670079701628925</v>
      </c>
      <c r="BB13" s="147">
        <f t="shared" si="33"/>
        <v>0.22877294765035305</v>
      </c>
      <c r="BC13" s="5">
        <f t="shared" si="34"/>
        <v>0.4623865292875281</v>
      </c>
      <c r="BD13" s="147">
        <f t="shared" si="35"/>
        <v>11.84493125993373</v>
      </c>
      <c r="BE13" s="5"/>
      <c r="BF13" s="153">
        <f t="shared" si="59"/>
        <v>0.17372374604509291</v>
      </c>
      <c r="BG13" s="153">
        <f t="shared" si="36"/>
        <v>0.22020070015408294</v>
      </c>
      <c r="BH13" s="153"/>
      <c r="BI13" s="463">
        <f t="shared" si="37"/>
        <v>3.3197933933933927E-3</v>
      </c>
      <c r="BJ13" s="463">
        <f t="shared" si="38"/>
        <v>1.5577409214092137E-2</v>
      </c>
      <c r="BK13" s="463">
        <f t="shared" si="39"/>
        <v>1.0126247603939454E-2</v>
      </c>
      <c r="BL13" s="463">
        <f t="shared" si="40"/>
        <v>1.6037132754312906E-2</v>
      </c>
      <c r="BM13">
        <f t="shared" si="41"/>
        <v>3.2190000000000001E-3</v>
      </c>
      <c r="BN13">
        <f t="shared" si="42"/>
        <v>1.2354022076806135E-5</v>
      </c>
      <c r="BO13" s="463">
        <f t="shared" si="43"/>
        <v>4.8769980800903646E-2</v>
      </c>
      <c r="BP13" s="147">
        <f t="shared" si="60"/>
        <v>48.769980800903646</v>
      </c>
      <c r="BQ13" s="463">
        <f t="shared" si="44"/>
        <v>2.2689019627627628E-2</v>
      </c>
      <c r="BR13" s="463"/>
      <c r="BT13" s="147">
        <f t="shared" si="61"/>
        <v>22.68901962762763</v>
      </c>
      <c r="BU13" s="463">
        <f t="shared" si="45"/>
        <v>2.5652948948948948E-3</v>
      </c>
      <c r="BV13" s="463">
        <f t="shared" si="46"/>
        <v>9.2127861861861851E-3</v>
      </c>
      <c r="BW13" s="463">
        <f t="shared" si="47"/>
        <v>0</v>
      </c>
      <c r="BX13" s="463">
        <f t="shared" si="48"/>
        <v>1.3203892131779927E-2</v>
      </c>
      <c r="BY13" s="463">
        <f t="shared" si="49"/>
        <v>6.8088888888888893E-2</v>
      </c>
      <c r="BZ13" s="147">
        <f t="shared" si="62"/>
        <v>81.292781020668826</v>
      </c>
      <c r="CA13" s="153">
        <f t="shared" si="63"/>
        <v>0.1527517814492001</v>
      </c>
      <c r="CB13" s="5">
        <f t="shared" si="64"/>
        <v>0.6</v>
      </c>
      <c r="CC13" s="153">
        <f t="shared" si="65"/>
        <v>0.79707549657986609</v>
      </c>
      <c r="CD13" s="5">
        <f t="shared" si="66"/>
        <v>79.707549657986604</v>
      </c>
      <c r="CG13" s="59">
        <f t="shared" si="50"/>
        <v>-50</v>
      </c>
      <c r="CH13">
        <f t="shared" si="51"/>
        <v>-50</v>
      </c>
    </row>
    <row r="14" spans="2:86" x14ac:dyDescent="0.25">
      <c r="E14" s="150">
        <v>9</v>
      </c>
      <c r="F14" s="191">
        <f t="shared" si="52"/>
        <v>4.4999999999999998E-2</v>
      </c>
      <c r="G14" s="191"/>
      <c r="H14" s="191">
        <f t="shared" si="0"/>
        <v>0.67499999999999993</v>
      </c>
      <c r="I14" s="472">
        <f t="shared" si="1"/>
        <v>11.1</v>
      </c>
      <c r="J14" s="152">
        <f t="shared" si="2"/>
        <v>7.66</v>
      </c>
      <c r="K14" s="386">
        <f t="shared" si="3"/>
        <v>18.759999999999998</v>
      </c>
      <c r="L14" s="386"/>
      <c r="M14" s="191">
        <f t="shared" si="4"/>
        <v>0.40831556503198302</v>
      </c>
      <c r="N14" s="152">
        <f t="shared" si="5"/>
        <v>8.3620986140724956</v>
      </c>
      <c r="O14" s="152">
        <f t="shared" si="53"/>
        <v>0.67499999999999993</v>
      </c>
      <c r="P14" s="191">
        <f t="shared" si="6"/>
        <v>0.55747324093816641</v>
      </c>
      <c r="Q14" s="191">
        <f t="shared" si="7"/>
        <v>15</v>
      </c>
      <c r="R14" s="191">
        <f t="shared" si="8"/>
        <v>0.61941471215351818</v>
      </c>
      <c r="S14" s="152">
        <f t="shared" si="9"/>
        <v>432.91639751424572</v>
      </c>
      <c r="T14" s="152">
        <f t="shared" si="10"/>
        <v>15</v>
      </c>
      <c r="U14" s="191">
        <f t="shared" si="11"/>
        <v>0.33095758944322901</v>
      </c>
      <c r="V14" s="191">
        <f t="shared" si="12"/>
        <v>0.26834399144045595</v>
      </c>
      <c r="W14" s="191">
        <f t="shared" si="13"/>
        <v>0.38885356461998183</v>
      </c>
      <c r="X14" s="175">
        <f t="shared" si="14"/>
        <v>350</v>
      </c>
      <c r="Y14" s="386">
        <f t="shared" si="54"/>
        <v>350</v>
      </c>
      <c r="AA14" s="191">
        <f t="shared" si="15"/>
        <v>1.4388262767793685</v>
      </c>
      <c r="AB14" s="153">
        <f t="shared" si="16"/>
        <v>1.6905269570514774</v>
      </c>
      <c r="AC14" s="153">
        <f t="shared" si="17"/>
        <v>0.21283277814833412</v>
      </c>
      <c r="AD14" s="153"/>
      <c r="AE14" s="153">
        <f t="shared" si="18"/>
        <v>0.96344647519582249</v>
      </c>
      <c r="AF14" s="317">
        <f t="shared" si="19"/>
        <v>227.84057108863772</v>
      </c>
      <c r="AG14" s="463">
        <f t="shared" si="20"/>
        <v>6.9127284595300251E-2</v>
      </c>
      <c r="AI14" s="153">
        <f t="shared" si="21"/>
        <v>0.69738741481991651</v>
      </c>
      <c r="AJ14" s="153">
        <f t="shared" si="22"/>
        <v>0.82</v>
      </c>
      <c r="AK14" s="153">
        <f t="shared" si="23"/>
        <v>1.1301946120506501</v>
      </c>
      <c r="AM14" s="317">
        <f t="shared" si="24"/>
        <v>45</v>
      </c>
      <c r="AN14" s="147">
        <f t="shared" si="25"/>
        <v>227.84057108863772</v>
      </c>
      <c r="AP14">
        <f t="shared" si="26"/>
        <v>45</v>
      </c>
      <c r="AQ14" s="147">
        <f t="shared" si="27"/>
        <v>227.84057108863772</v>
      </c>
      <c r="AR14" s="147"/>
      <c r="AS14" s="5">
        <f t="shared" si="55"/>
        <v>4.389033942558747</v>
      </c>
      <c r="AT14" s="5">
        <f t="shared" si="28"/>
        <v>0.66486486486486485</v>
      </c>
      <c r="AU14" s="5">
        <f t="shared" si="56"/>
        <v>3.7241690776938823</v>
      </c>
      <c r="AV14" s="5">
        <f t="shared" si="29"/>
        <v>0.96344647519582249</v>
      </c>
      <c r="AW14" s="153">
        <f t="shared" si="57"/>
        <v>0.15148319050758074</v>
      </c>
      <c r="AX14" s="153">
        <f t="shared" si="30"/>
        <v>0.68939999999999979</v>
      </c>
      <c r="AY14" s="153">
        <f t="shared" si="31"/>
        <v>0.17394594594594592</v>
      </c>
      <c r="AZ14" s="153">
        <f t="shared" si="58"/>
        <v>3.9633001864512112</v>
      </c>
      <c r="BA14" s="147">
        <f t="shared" si="32"/>
        <v>16.670079701628925</v>
      </c>
      <c r="BB14" s="147">
        <f t="shared" si="33"/>
        <v>0.2726657618699781</v>
      </c>
      <c r="BC14" s="5">
        <f t="shared" si="34"/>
        <v>0.45339287529752631</v>
      </c>
      <c r="BD14" s="147">
        <f t="shared" si="35"/>
        <v>11.640568420435754</v>
      </c>
      <c r="BE14" s="5"/>
      <c r="BF14" s="153">
        <f t="shared" si="59"/>
        <v>0.18426185832242228</v>
      </c>
      <c r="BG14" s="153">
        <f t="shared" si="36"/>
        <v>0.21804867627487495</v>
      </c>
      <c r="BH14" s="153"/>
      <c r="BI14" s="463">
        <f t="shared" si="37"/>
        <v>3.7347675675675662E-3</v>
      </c>
      <c r="BJ14" s="463">
        <f t="shared" si="38"/>
        <v>1.7524585365853655E-2</v>
      </c>
      <c r="BK14" s="463">
        <f t="shared" si="39"/>
        <v>1.1392028554431886E-2</v>
      </c>
      <c r="BL14" s="463">
        <f t="shared" si="40"/>
        <v>1.8041774348602015E-2</v>
      </c>
      <c r="BM14">
        <f t="shared" si="41"/>
        <v>3.2190000000000001E-3</v>
      </c>
      <c r="BN14">
        <f t="shared" si="42"/>
        <v>1.3898274836406901E-5</v>
      </c>
      <c r="BO14" s="463">
        <f t="shared" si="43"/>
        <v>5.4467779552526657E-2</v>
      </c>
      <c r="BP14" s="147">
        <f t="shared" si="60"/>
        <v>54.467779552526657</v>
      </c>
      <c r="BQ14" s="463">
        <f t="shared" si="44"/>
        <v>2.4454910414414412E-2</v>
      </c>
      <c r="BR14" s="463"/>
      <c r="BT14" s="147">
        <f t="shared" si="61"/>
        <v>24.454910414414414</v>
      </c>
      <c r="BU14" s="463">
        <f t="shared" si="45"/>
        <v>2.8859567567567561E-3</v>
      </c>
      <c r="BV14" s="463">
        <f t="shared" si="46"/>
        <v>9.0335927927927915E-3</v>
      </c>
      <c r="BW14" s="463">
        <f t="shared" si="47"/>
        <v>0</v>
      </c>
      <c r="BX14" s="463">
        <f t="shared" si="48"/>
        <v>1.3362637625198393E-2</v>
      </c>
      <c r="BY14" s="463">
        <f t="shared" si="49"/>
        <v>7.6600000000000001E-2</v>
      </c>
      <c r="BZ14" s="147">
        <f t="shared" si="62"/>
        <v>89.962637625198397</v>
      </c>
      <c r="CA14" s="153">
        <f t="shared" si="63"/>
        <v>0.16888532759213948</v>
      </c>
      <c r="CB14" s="5">
        <f t="shared" si="64"/>
        <v>0.67499999999999993</v>
      </c>
      <c r="CC14" s="153">
        <f t="shared" si="65"/>
        <v>0.79987170997033386</v>
      </c>
      <c r="CD14" s="5">
        <f t="shared" si="66"/>
        <v>79.987170997033388</v>
      </c>
      <c r="CG14" s="59">
        <f t="shared" si="50"/>
        <v>-50</v>
      </c>
      <c r="CH14">
        <f t="shared" si="51"/>
        <v>-50</v>
      </c>
    </row>
    <row r="15" spans="2:86" x14ac:dyDescent="0.25">
      <c r="E15" s="150">
        <v>10</v>
      </c>
      <c r="F15" s="191">
        <f t="shared" si="52"/>
        <v>0.05</v>
      </c>
      <c r="G15" s="191"/>
      <c r="H15" s="191">
        <f t="shared" si="0"/>
        <v>0.75</v>
      </c>
      <c r="I15" s="472">
        <f t="shared" si="1"/>
        <v>11.1</v>
      </c>
      <c r="J15" s="152">
        <f t="shared" si="2"/>
        <v>7.66</v>
      </c>
      <c r="K15" s="386">
        <f t="shared" si="3"/>
        <v>18.759999999999998</v>
      </c>
      <c r="L15" s="386"/>
      <c r="M15" s="191">
        <f t="shared" si="4"/>
        <v>0.40831556503198302</v>
      </c>
      <c r="N15" s="152">
        <f t="shared" si="5"/>
        <v>8.3620986140724956</v>
      </c>
      <c r="O15" s="152">
        <f t="shared" si="53"/>
        <v>0.75</v>
      </c>
      <c r="P15" s="191">
        <f t="shared" si="6"/>
        <v>0.55747324093816641</v>
      </c>
      <c r="Q15" s="191">
        <f t="shared" si="7"/>
        <v>15</v>
      </c>
      <c r="R15" s="191">
        <f t="shared" si="8"/>
        <v>0.61941471215351818</v>
      </c>
      <c r="S15" s="152">
        <f t="shared" si="9"/>
        <v>387.40832210750398</v>
      </c>
      <c r="T15" s="152">
        <f t="shared" si="10"/>
        <v>15</v>
      </c>
      <c r="U15" s="191">
        <f t="shared" si="11"/>
        <v>0.36773065493692114</v>
      </c>
      <c r="V15" s="191">
        <f t="shared" si="12"/>
        <v>0.29815999048939557</v>
      </c>
      <c r="W15" s="191">
        <f t="shared" si="13"/>
        <v>0.43205951624442435</v>
      </c>
      <c r="X15" s="175">
        <f t="shared" si="14"/>
        <v>350</v>
      </c>
      <c r="Y15" s="386">
        <f t="shared" si="54"/>
        <v>350</v>
      </c>
      <c r="AA15" s="191">
        <f t="shared" si="15"/>
        <v>1.4388262767793685</v>
      </c>
      <c r="AB15" s="153">
        <f t="shared" si="16"/>
        <v>1.6905269570514774</v>
      </c>
      <c r="AC15" s="153">
        <f t="shared" si="17"/>
        <v>0.21283277814833412</v>
      </c>
      <c r="AD15" s="153"/>
      <c r="AE15" s="153">
        <f t="shared" si="18"/>
        <v>0.96344647519582249</v>
      </c>
      <c r="AF15" s="317">
        <f t="shared" si="19"/>
        <v>253.15619009848641</v>
      </c>
      <c r="AG15" s="463">
        <f t="shared" si="20"/>
        <v>6.9127284595300251E-2</v>
      </c>
      <c r="AI15" s="153">
        <f t="shared" si="21"/>
        <v>0.73511088078920017</v>
      </c>
      <c r="AJ15" s="153">
        <f t="shared" si="22"/>
        <v>0.82</v>
      </c>
      <c r="AK15" s="153">
        <f t="shared" si="23"/>
        <v>1.144660680056278</v>
      </c>
      <c r="AM15" s="317">
        <f t="shared" si="24"/>
        <v>50</v>
      </c>
      <c r="AN15" s="147">
        <f t="shared" si="25"/>
        <v>253.15619009848641</v>
      </c>
      <c r="AP15">
        <f t="shared" si="26"/>
        <v>50</v>
      </c>
      <c r="AQ15" s="147">
        <f t="shared" si="27"/>
        <v>253.15619009848641</v>
      </c>
      <c r="AR15" s="147"/>
      <c r="AS15" s="5">
        <f t="shared" si="55"/>
        <v>3.9501305483028712</v>
      </c>
      <c r="AT15" s="5">
        <f t="shared" si="28"/>
        <v>0.66486486486486485</v>
      </c>
      <c r="AU15" s="5">
        <f t="shared" si="56"/>
        <v>3.2852656834380065</v>
      </c>
      <c r="AV15" s="5">
        <f t="shared" si="29"/>
        <v>0.96344647519582249</v>
      </c>
      <c r="AW15" s="153">
        <f t="shared" si="57"/>
        <v>0.1683146561195342</v>
      </c>
      <c r="AX15" s="153">
        <f t="shared" si="30"/>
        <v>0.76600000000000013</v>
      </c>
      <c r="AY15" s="153">
        <f t="shared" si="31"/>
        <v>0.17049549549549547</v>
      </c>
      <c r="AZ15" s="153">
        <f t="shared" si="58"/>
        <v>4.4927873183619562</v>
      </c>
      <c r="BA15" s="147">
        <f t="shared" si="32"/>
        <v>16.670079701628925</v>
      </c>
      <c r="BB15" s="147">
        <f t="shared" si="33"/>
        <v>0.31995773070367672</v>
      </c>
      <c r="BC15" s="5">
        <f t="shared" si="34"/>
        <v>0.44439922130752457</v>
      </c>
      <c r="BD15" s="147">
        <f t="shared" si="35"/>
        <v>11.436205580937779</v>
      </c>
      <c r="BE15" s="5"/>
      <c r="BF15" s="153">
        <f t="shared" si="59"/>
        <v>0.19422905273136903</v>
      </c>
      <c r="BG15" s="153">
        <f t="shared" si="36"/>
        <v>0.21587520029429527</v>
      </c>
      <c r="BH15" s="153"/>
      <c r="BI15" s="463">
        <f t="shared" si="37"/>
        <v>4.1497417417417429E-3</v>
      </c>
      <c r="BJ15" s="463">
        <f t="shared" si="38"/>
        <v>1.9471761517615177E-2</v>
      </c>
      <c r="BK15" s="463">
        <f t="shared" si="39"/>
        <v>1.265780950492432E-2</v>
      </c>
      <c r="BL15" s="463">
        <f t="shared" si="40"/>
        <v>2.0046415942891138E-2</v>
      </c>
      <c r="BM15">
        <f t="shared" si="41"/>
        <v>3.2190000000000001E-3</v>
      </c>
      <c r="BN15">
        <f t="shared" si="42"/>
        <v>1.5442527596007673E-5</v>
      </c>
      <c r="BO15" s="463">
        <f t="shared" si="43"/>
        <v>6.0166451450767974E-2</v>
      </c>
      <c r="BP15" s="147">
        <f t="shared" si="60"/>
        <v>60.166451450767973</v>
      </c>
      <c r="BQ15" s="463">
        <f t="shared" si="44"/>
        <v>2.6220801201201207E-2</v>
      </c>
      <c r="BR15" s="463"/>
      <c r="BT15" s="147">
        <f t="shared" si="61"/>
        <v>26.220801201201208</v>
      </c>
      <c r="BU15" s="463">
        <f t="shared" si="45"/>
        <v>3.2066186186186199E-3</v>
      </c>
      <c r="BV15" s="463">
        <f t="shared" si="46"/>
        <v>8.8543993993993996E-3</v>
      </c>
      <c r="BW15" s="463">
        <f t="shared" si="47"/>
        <v>0</v>
      </c>
      <c r="BX15" s="463">
        <f t="shared" si="48"/>
        <v>1.3521386715284313E-2</v>
      </c>
      <c r="BY15" s="463">
        <f t="shared" si="49"/>
        <v>8.5111111111111137E-2</v>
      </c>
      <c r="BZ15" s="147">
        <f t="shared" si="62"/>
        <v>98.632497826395451</v>
      </c>
      <c r="CA15" s="153">
        <f t="shared" si="63"/>
        <v>0.18501975047836464</v>
      </c>
      <c r="CB15" s="5">
        <f t="shared" si="64"/>
        <v>0.75</v>
      </c>
      <c r="CC15" s="153">
        <f t="shared" si="65"/>
        <v>0.80212209380207544</v>
      </c>
      <c r="CD15" s="5">
        <f t="shared" si="66"/>
        <v>80.21220938020754</v>
      </c>
      <c r="CG15" s="59">
        <f t="shared" si="50"/>
        <v>-50</v>
      </c>
      <c r="CH15">
        <f t="shared" si="51"/>
        <v>-50</v>
      </c>
    </row>
    <row r="16" spans="2:86" x14ac:dyDescent="0.25">
      <c r="E16" s="150">
        <v>11</v>
      </c>
      <c r="F16" s="191">
        <f t="shared" si="52"/>
        <v>5.5E-2</v>
      </c>
      <c r="G16" s="191"/>
      <c r="H16" s="191">
        <f t="shared" si="0"/>
        <v>0.82499999999999996</v>
      </c>
      <c r="I16" s="472">
        <f t="shared" si="1"/>
        <v>11.1</v>
      </c>
      <c r="J16" s="152">
        <f t="shared" si="2"/>
        <v>7.66</v>
      </c>
      <c r="K16" s="386">
        <f t="shared" si="3"/>
        <v>18.759999999999998</v>
      </c>
      <c r="L16" s="386"/>
      <c r="M16" s="191">
        <f t="shared" si="4"/>
        <v>0.40831556503198302</v>
      </c>
      <c r="N16" s="152">
        <f t="shared" si="5"/>
        <v>8.3620986140724956</v>
      </c>
      <c r="O16" s="152">
        <f t="shared" si="53"/>
        <v>0.82499999999999996</v>
      </c>
      <c r="P16" s="191">
        <f t="shared" si="6"/>
        <v>0.55747324093816641</v>
      </c>
      <c r="Q16" s="191">
        <f t="shared" si="7"/>
        <v>15</v>
      </c>
      <c r="R16" s="191">
        <f t="shared" si="8"/>
        <v>0.61941471215351818</v>
      </c>
      <c r="S16" s="152">
        <f t="shared" si="9"/>
        <v>350.17481394274387</v>
      </c>
      <c r="T16" s="152">
        <f t="shared" si="10"/>
        <v>15</v>
      </c>
      <c r="U16" s="191">
        <f t="shared" si="11"/>
        <v>0.40450372043061322</v>
      </c>
      <c r="V16" s="191">
        <f t="shared" si="12"/>
        <v>0.32797598953833507</v>
      </c>
      <c r="W16" s="191">
        <f t="shared" si="13"/>
        <v>0.4752654678688667</v>
      </c>
      <c r="X16" s="175">
        <f t="shared" si="14"/>
        <v>350</v>
      </c>
      <c r="Y16" s="386">
        <f t="shared" si="54"/>
        <v>350</v>
      </c>
      <c r="AA16" s="191">
        <f t="shared" si="15"/>
        <v>1.4388262767793685</v>
      </c>
      <c r="AB16" s="153">
        <f t="shared" si="16"/>
        <v>1.6905269570514774</v>
      </c>
      <c r="AC16" s="153">
        <f t="shared" si="17"/>
        <v>0.21283277814833412</v>
      </c>
      <c r="AD16" s="153"/>
      <c r="AE16" s="153">
        <f t="shared" si="18"/>
        <v>0.96344647519582249</v>
      </c>
      <c r="AF16" s="317">
        <f t="shared" si="19"/>
        <v>278.47180910833498</v>
      </c>
      <c r="AG16" s="463">
        <f t="shared" si="20"/>
        <v>6.9127284595300251E-2</v>
      </c>
      <c r="AI16" s="153">
        <f t="shared" si="21"/>
        <v>0.7709907961578667</v>
      </c>
      <c r="AJ16" s="153">
        <f t="shared" si="22"/>
        <v>0.82</v>
      </c>
      <c r="AK16" s="153">
        <f t="shared" si="23"/>
        <v>1.1591267480619056</v>
      </c>
      <c r="AM16" s="317">
        <f t="shared" si="24"/>
        <v>55</v>
      </c>
      <c r="AN16" s="147">
        <f t="shared" si="25"/>
        <v>278.47180910833498</v>
      </c>
      <c r="AP16">
        <f t="shared" si="26"/>
        <v>55</v>
      </c>
      <c r="AQ16" s="147">
        <f t="shared" si="27"/>
        <v>278.47180910833498</v>
      </c>
      <c r="AR16" s="147"/>
      <c r="AS16" s="5">
        <f t="shared" si="55"/>
        <v>3.5910277711844292</v>
      </c>
      <c r="AT16" s="5">
        <f t="shared" si="28"/>
        <v>0.66486486486486485</v>
      </c>
      <c r="AU16" s="5">
        <f t="shared" si="56"/>
        <v>2.9261629063195644</v>
      </c>
      <c r="AV16" s="5">
        <f t="shared" si="29"/>
        <v>0.96344647519582249</v>
      </c>
      <c r="AW16" s="153">
        <f t="shared" si="57"/>
        <v>0.18514612173148759</v>
      </c>
      <c r="AX16" s="153">
        <f t="shared" si="30"/>
        <v>0.8425999999999999</v>
      </c>
      <c r="AY16" s="153">
        <f t="shared" si="31"/>
        <v>0.16704504504504503</v>
      </c>
      <c r="AZ16" s="153">
        <f t="shared" si="58"/>
        <v>5.0441484198036886</v>
      </c>
      <c r="BA16" s="147">
        <f t="shared" si="32"/>
        <v>16.670079701628925</v>
      </c>
      <c r="BB16" s="147">
        <f t="shared" si="33"/>
        <v>0.37064885415144877</v>
      </c>
      <c r="BC16" s="5">
        <f t="shared" si="34"/>
        <v>0.435405567317523</v>
      </c>
      <c r="BD16" s="147">
        <f t="shared" si="35"/>
        <v>11.231842741439806</v>
      </c>
      <c r="BE16" s="5"/>
      <c r="BF16" s="153">
        <f t="shared" si="59"/>
        <v>0.20370914907636675</v>
      </c>
      <c r="BG16" s="153">
        <f t="shared" si="36"/>
        <v>0.21367961760303433</v>
      </c>
      <c r="BH16" s="153"/>
      <c r="BI16" s="463">
        <f t="shared" si="37"/>
        <v>4.5647159159159156E-3</v>
      </c>
      <c r="BJ16" s="463">
        <f t="shared" si="38"/>
        <v>2.1418937669376688E-2</v>
      </c>
      <c r="BK16" s="463">
        <f t="shared" si="39"/>
        <v>1.3923590455416749E-2</v>
      </c>
      <c r="BL16" s="463">
        <f t="shared" si="40"/>
        <v>2.2051057537180244E-2</v>
      </c>
      <c r="BM16">
        <f t="shared" si="41"/>
        <v>3.2190000000000001E-3</v>
      </c>
      <c r="BN16">
        <f t="shared" si="42"/>
        <v>1.6986780355608436E-5</v>
      </c>
      <c r="BO16" s="463">
        <f t="shared" si="43"/>
        <v>6.5865996696348073E-2</v>
      </c>
      <c r="BP16" s="147">
        <f t="shared" si="60"/>
        <v>65.865996696348077</v>
      </c>
      <c r="BQ16" s="463">
        <f t="shared" si="44"/>
        <v>2.7986691987987991E-2</v>
      </c>
      <c r="BR16" s="463"/>
      <c r="BT16" s="147">
        <f t="shared" si="61"/>
        <v>27.986691987987992</v>
      </c>
      <c r="BU16" s="463">
        <f t="shared" si="45"/>
        <v>3.5272804804804803E-3</v>
      </c>
      <c r="BV16" s="463">
        <f t="shared" si="46"/>
        <v>8.675206006006006E-3</v>
      </c>
      <c r="BW16" s="463">
        <f t="shared" si="47"/>
        <v>0</v>
      </c>
      <c r="BX16" s="463">
        <f t="shared" si="48"/>
        <v>1.3680139402159914E-2</v>
      </c>
      <c r="BY16" s="463">
        <f t="shared" si="49"/>
        <v>9.3622222222222218E-2</v>
      </c>
      <c r="BZ16" s="147">
        <f t="shared" si="62"/>
        <v>107.30236162438213</v>
      </c>
      <c r="CA16" s="153">
        <f t="shared" si="63"/>
        <v>0.20115505030871819</v>
      </c>
      <c r="CB16" s="5">
        <f t="shared" si="64"/>
        <v>0.82499999999999996</v>
      </c>
      <c r="CC16" s="153">
        <f t="shared" si="65"/>
        <v>0.80397207006075655</v>
      </c>
      <c r="CD16" s="5">
        <f t="shared" si="66"/>
        <v>80.397207006075661</v>
      </c>
      <c r="CG16" s="59">
        <f t="shared" si="50"/>
        <v>-50</v>
      </c>
      <c r="CH16">
        <f t="shared" si="51"/>
        <v>-50</v>
      </c>
    </row>
    <row r="17" spans="5:86" x14ac:dyDescent="0.25">
      <c r="E17" s="150">
        <v>12</v>
      </c>
      <c r="F17" s="191">
        <f t="shared" si="52"/>
        <v>0.06</v>
      </c>
      <c r="G17" s="191"/>
      <c r="H17" s="191">
        <f t="shared" si="0"/>
        <v>0.89999999999999991</v>
      </c>
      <c r="I17" s="472">
        <f t="shared" si="1"/>
        <v>11.1</v>
      </c>
      <c r="J17" s="152">
        <f t="shared" si="2"/>
        <v>7.66</v>
      </c>
      <c r="K17" s="386">
        <f t="shared" si="3"/>
        <v>18.759999999999998</v>
      </c>
      <c r="L17" s="386"/>
      <c r="M17" s="191">
        <f t="shared" si="4"/>
        <v>0.40831556503198302</v>
      </c>
      <c r="N17" s="152">
        <f t="shared" si="5"/>
        <v>8.3620986140724956</v>
      </c>
      <c r="O17" s="152">
        <f t="shared" si="53"/>
        <v>0.89999999999999991</v>
      </c>
      <c r="P17" s="191">
        <f t="shared" si="6"/>
        <v>0.55747324093816641</v>
      </c>
      <c r="Q17" s="191">
        <f t="shared" si="7"/>
        <v>15</v>
      </c>
      <c r="R17" s="191">
        <f t="shared" si="8"/>
        <v>0.61941471215351818</v>
      </c>
      <c r="S17" s="152">
        <f t="shared" si="9"/>
        <v>319.14723702206902</v>
      </c>
      <c r="T17" s="152">
        <f t="shared" si="10"/>
        <v>15</v>
      </c>
      <c r="U17" s="191">
        <f t="shared" si="11"/>
        <v>0.44127678592430536</v>
      </c>
      <c r="V17" s="191">
        <f t="shared" si="12"/>
        <v>0.35779198858727462</v>
      </c>
      <c r="W17" s="191">
        <f t="shared" si="13"/>
        <v>0.5184714194933091</v>
      </c>
      <c r="X17" s="175">
        <f t="shared" si="14"/>
        <v>350</v>
      </c>
      <c r="Y17" s="386">
        <f t="shared" si="54"/>
        <v>350</v>
      </c>
      <c r="AA17" s="191">
        <f t="shared" si="15"/>
        <v>1.4388262767793685</v>
      </c>
      <c r="AB17" s="153">
        <f t="shared" si="16"/>
        <v>1.6905269570514774</v>
      </c>
      <c r="AC17" s="153">
        <f t="shared" si="17"/>
        <v>0.21283277814833412</v>
      </c>
      <c r="AD17" s="153"/>
      <c r="AE17" s="153">
        <f t="shared" si="18"/>
        <v>0.96344647519582249</v>
      </c>
      <c r="AF17" s="317">
        <f t="shared" si="19"/>
        <v>303.78742811818364</v>
      </c>
      <c r="AG17" s="463">
        <f t="shared" si="20"/>
        <v>6.9127284595300251E-2</v>
      </c>
      <c r="AI17" s="153">
        <f t="shared" si="21"/>
        <v>0.80527362335147201</v>
      </c>
      <c r="AJ17" s="153">
        <f t="shared" si="22"/>
        <v>0.82</v>
      </c>
      <c r="AK17" s="153">
        <f t="shared" si="23"/>
        <v>1.1735928160675335</v>
      </c>
      <c r="AM17" s="317">
        <f t="shared" si="24"/>
        <v>60</v>
      </c>
      <c r="AN17" s="147">
        <f t="shared" si="25"/>
        <v>303.78742811818364</v>
      </c>
      <c r="AP17">
        <f t="shared" si="26"/>
        <v>60</v>
      </c>
      <c r="AQ17" s="147">
        <f t="shared" si="27"/>
        <v>303.78742811818364</v>
      </c>
      <c r="AR17" s="147"/>
      <c r="AS17" s="5">
        <f t="shared" si="55"/>
        <v>3.2917754569190598</v>
      </c>
      <c r="AT17" s="5">
        <f t="shared" si="28"/>
        <v>0.66486486486486485</v>
      </c>
      <c r="AU17" s="5">
        <f t="shared" si="56"/>
        <v>2.6269105920541951</v>
      </c>
      <c r="AV17" s="5">
        <f t="shared" si="29"/>
        <v>0.96344647519582249</v>
      </c>
      <c r="AW17" s="153">
        <f t="shared" si="57"/>
        <v>0.20197758734344101</v>
      </c>
      <c r="AX17" s="153">
        <f t="shared" si="30"/>
        <v>0.91919999999999991</v>
      </c>
      <c r="AY17" s="153">
        <f t="shared" si="31"/>
        <v>0.16359459459459458</v>
      </c>
      <c r="AZ17" s="153">
        <f t="shared" si="58"/>
        <v>5.6187675532793655</v>
      </c>
      <c r="BA17" s="147">
        <f t="shared" si="32"/>
        <v>16.670079701628925</v>
      </c>
      <c r="BB17" s="147">
        <f t="shared" si="33"/>
        <v>0.42473913221329435</v>
      </c>
      <c r="BC17" s="5">
        <f t="shared" si="34"/>
        <v>0.42641191332752126</v>
      </c>
      <c r="BD17" s="147">
        <f t="shared" si="35"/>
        <v>11.027479901941829</v>
      </c>
      <c r="BE17" s="5"/>
      <c r="BF17" s="153">
        <f t="shared" si="59"/>
        <v>0.21276726700766244</v>
      </c>
      <c r="BG17" s="153">
        <f t="shared" si="36"/>
        <v>0.21146123960635399</v>
      </c>
      <c r="BH17" s="153"/>
      <c r="BI17" s="463">
        <f t="shared" si="37"/>
        <v>4.9796900900900918E-3</v>
      </c>
      <c r="BJ17" s="463">
        <f t="shared" si="38"/>
        <v>2.336611382113821E-2</v>
      </c>
      <c r="BK17" s="463">
        <f t="shared" si="39"/>
        <v>1.5189371405909181E-2</v>
      </c>
      <c r="BL17" s="463">
        <f t="shared" si="40"/>
        <v>2.4055699131469356E-2</v>
      </c>
      <c r="BM17">
        <f t="shared" si="41"/>
        <v>3.2190000000000001E-3</v>
      </c>
      <c r="BN17">
        <f t="shared" si="42"/>
        <v>1.8531033115209203E-5</v>
      </c>
      <c r="BO17" s="463">
        <f t="shared" si="43"/>
        <v>7.1566415490049037E-2</v>
      </c>
      <c r="BP17" s="147">
        <f t="shared" si="60"/>
        <v>71.566415490049039</v>
      </c>
      <c r="BQ17" s="463">
        <f t="shared" si="44"/>
        <v>2.9752582774774775E-2</v>
      </c>
      <c r="BR17" s="463"/>
      <c r="BT17" s="147">
        <f t="shared" si="61"/>
        <v>29.752582774774776</v>
      </c>
      <c r="BU17" s="463">
        <f t="shared" si="45"/>
        <v>3.8479423423423437E-3</v>
      </c>
      <c r="BV17" s="463">
        <f t="shared" si="46"/>
        <v>8.4960126126126124E-3</v>
      </c>
      <c r="BW17" s="463">
        <f t="shared" si="47"/>
        <v>0</v>
      </c>
      <c r="BX17" s="463">
        <f t="shared" si="48"/>
        <v>1.3838895685947443E-2</v>
      </c>
      <c r="BY17" s="463">
        <f t="shared" si="49"/>
        <v>0.10213333333333334</v>
      </c>
      <c r="BZ17" s="147">
        <f t="shared" si="62"/>
        <v>115.97222901928077</v>
      </c>
      <c r="CA17" s="153">
        <f t="shared" si="63"/>
        <v>0.2172912272841046</v>
      </c>
      <c r="CB17" s="5">
        <f t="shared" si="64"/>
        <v>0.89999999999999991</v>
      </c>
      <c r="CC17" s="153">
        <f t="shared" si="65"/>
        <v>0.80551961567594788</v>
      </c>
      <c r="CD17" s="5">
        <f t="shared" si="66"/>
        <v>80.551961567594788</v>
      </c>
      <c r="CG17" s="59">
        <f t="shared" si="50"/>
        <v>-50</v>
      </c>
      <c r="CH17">
        <f t="shared" si="51"/>
        <v>-50</v>
      </c>
    </row>
    <row r="18" spans="5:86" x14ac:dyDescent="0.25">
      <c r="E18" s="150">
        <v>13</v>
      </c>
      <c r="F18" s="191">
        <f t="shared" si="52"/>
        <v>6.5000000000000002E-2</v>
      </c>
      <c r="G18" s="191"/>
      <c r="H18" s="191">
        <f t="shared" si="0"/>
        <v>0.97500000000000009</v>
      </c>
      <c r="I18" s="472">
        <f t="shared" si="1"/>
        <v>11.1</v>
      </c>
      <c r="J18" s="152">
        <f t="shared" si="2"/>
        <v>7.66</v>
      </c>
      <c r="K18" s="386">
        <f t="shared" si="3"/>
        <v>18.759999999999998</v>
      </c>
      <c r="L18" s="386"/>
      <c r="M18" s="191">
        <f t="shared" si="4"/>
        <v>0.40831556503198302</v>
      </c>
      <c r="N18" s="152">
        <f t="shared" si="5"/>
        <v>8.3620986140724956</v>
      </c>
      <c r="O18" s="152">
        <f t="shared" si="53"/>
        <v>0.97500000000000009</v>
      </c>
      <c r="P18" s="191">
        <f t="shared" si="6"/>
        <v>0.55747324093816641</v>
      </c>
      <c r="Q18" s="191">
        <f t="shared" si="7"/>
        <v>15</v>
      </c>
      <c r="R18" s="191">
        <f t="shared" si="8"/>
        <v>0.61941471215351818</v>
      </c>
      <c r="S18" s="152">
        <f t="shared" si="9"/>
        <v>292.89345885217006</v>
      </c>
      <c r="T18" s="152">
        <f t="shared" si="10"/>
        <v>15</v>
      </c>
      <c r="U18" s="191">
        <f t="shared" si="11"/>
        <v>0.47804985141799755</v>
      </c>
      <c r="V18" s="191">
        <f t="shared" si="12"/>
        <v>0.38760798763621429</v>
      </c>
      <c r="W18" s="191">
        <f t="shared" si="13"/>
        <v>0.56167737111775173</v>
      </c>
      <c r="X18" s="175">
        <f t="shared" si="14"/>
        <v>350</v>
      </c>
      <c r="Y18" s="386">
        <f t="shared" si="54"/>
        <v>350</v>
      </c>
      <c r="AA18" s="191">
        <f t="shared" si="15"/>
        <v>1.4388262767793685</v>
      </c>
      <c r="AB18" s="153">
        <f t="shared" si="16"/>
        <v>1.6905269570514774</v>
      </c>
      <c r="AC18" s="153">
        <f t="shared" si="17"/>
        <v>0.21283277814833412</v>
      </c>
      <c r="AD18" s="153"/>
      <c r="AE18" s="153">
        <f t="shared" si="18"/>
        <v>0.96344647519582249</v>
      </c>
      <c r="AF18" s="317">
        <f t="shared" si="19"/>
        <v>329.1030471280323</v>
      </c>
      <c r="AG18" s="463">
        <f t="shared" si="20"/>
        <v>6.9127284595300251E-2</v>
      </c>
      <c r="AI18" s="153">
        <f t="shared" si="21"/>
        <v>0.83815536099882815</v>
      </c>
      <c r="AJ18" s="153">
        <f t="shared" si="22"/>
        <v>0.83815536099882815</v>
      </c>
      <c r="AK18" s="153">
        <f t="shared" si="23"/>
        <v>1.1880588840731614</v>
      </c>
      <c r="AM18" s="317">
        <f t="shared" si="24"/>
        <v>65</v>
      </c>
      <c r="AN18" s="147">
        <f t="shared" si="25"/>
        <v>329.1030471280323</v>
      </c>
      <c r="AP18">
        <f t="shared" si="26"/>
        <v>65</v>
      </c>
      <c r="AQ18" s="147">
        <f t="shared" si="27"/>
        <v>329.1030471280323</v>
      </c>
      <c r="AR18" s="147"/>
      <c r="AS18" s="5">
        <f t="shared" si="55"/>
        <v>3.0385619602329781</v>
      </c>
      <c r="AT18" s="5">
        <f t="shared" si="28"/>
        <v>0.67958542783688769</v>
      </c>
      <c r="AU18" s="5">
        <f t="shared" si="56"/>
        <v>2.3589765323960905</v>
      </c>
      <c r="AV18" s="5">
        <f t="shared" si="29"/>
        <v>0.98477783929366236</v>
      </c>
      <c r="AW18" s="153">
        <f t="shared" si="57"/>
        <v>0.22365363508492725</v>
      </c>
      <c r="AX18" s="153">
        <f t="shared" si="30"/>
        <v>1.0403835375558559</v>
      </c>
      <c r="AY18" s="153">
        <f t="shared" si="31"/>
        <v>0.16267471693638019</v>
      </c>
      <c r="AZ18" s="153">
        <f t="shared" si="58"/>
        <v>6.3954839273685984</v>
      </c>
      <c r="BA18" s="147">
        <f t="shared" si="32"/>
        <v>16.670079701628925</v>
      </c>
      <c r="BB18" s="147">
        <f t="shared" si="33"/>
        <v>0.48222856488921356</v>
      </c>
      <c r="BC18" s="5">
        <f t="shared" si="34"/>
        <v>0.4148296258576033</v>
      </c>
      <c r="BD18" s="147">
        <f t="shared" si="35"/>
        <v>10.757812899655057</v>
      </c>
      <c r="BE18" s="5"/>
      <c r="BF18" s="153">
        <f t="shared" si="59"/>
        <v>0.22885050780972008</v>
      </c>
      <c r="BG18" s="153">
        <f t="shared" si="36"/>
        <v>0.21318746531256941</v>
      </c>
      <c r="BH18" s="153"/>
      <c r="BI18" s="463">
        <f t="shared" si="37"/>
        <v>5.7609810417243428E-3</v>
      </c>
      <c r="BJ18" s="463">
        <f t="shared" si="38"/>
        <v>2.5873743530858286E-2</v>
      </c>
      <c r="BK18" s="463">
        <f t="shared" si="39"/>
        <v>1.6455152356401614E-2</v>
      </c>
      <c r="BL18" s="463">
        <f t="shared" si="40"/>
        <v>2.6060340725758475E-2</v>
      </c>
      <c r="BM18">
        <f t="shared" si="41"/>
        <v>3.2190000000000001E-3</v>
      </c>
      <c r="BN18">
        <f t="shared" si="42"/>
        <v>2.0075285874809973E-5</v>
      </c>
      <c r="BO18" s="463">
        <f t="shared" si="43"/>
        <v>7.8250197594695925E-2</v>
      </c>
      <c r="BP18" s="147">
        <f t="shared" si="60"/>
        <v>78.250197594695919</v>
      </c>
      <c r="BQ18" s="463">
        <f t="shared" si="44"/>
        <v>3.1774591211985614E-2</v>
      </c>
      <c r="BR18" s="463"/>
      <c r="BT18" s="147">
        <f t="shared" si="61"/>
        <v>31.774591211985616</v>
      </c>
      <c r="BU18" s="463">
        <f t="shared" si="45"/>
        <v>4.4516671686051744E-3</v>
      </c>
      <c r="BV18" s="463">
        <f t="shared" si="46"/>
        <v>8.6352901196156163E-3</v>
      </c>
      <c r="BW18" s="463">
        <f t="shared" si="47"/>
        <v>0</v>
      </c>
      <c r="BX18" s="463">
        <f t="shared" si="48"/>
        <v>1.4672753899093527E-2</v>
      </c>
      <c r="BY18" s="463">
        <f t="shared" si="49"/>
        <v>0.11559817083953956</v>
      </c>
      <c r="BZ18" s="147">
        <f t="shared" si="62"/>
        <v>130.27092473863308</v>
      </c>
      <c r="CA18" s="153">
        <f t="shared" si="63"/>
        <v>0.24029571354531465</v>
      </c>
      <c r="CB18" s="5">
        <f t="shared" si="64"/>
        <v>0.97500000000000009</v>
      </c>
      <c r="CC18" s="153">
        <f t="shared" si="65"/>
        <v>0.80227387386703342</v>
      </c>
      <c r="CD18" s="5">
        <f t="shared" si="66"/>
        <v>80.227387386703342</v>
      </c>
      <c r="CG18" s="59">
        <f t="shared" si="50"/>
        <v>-50</v>
      </c>
      <c r="CH18">
        <f t="shared" si="51"/>
        <v>-50</v>
      </c>
    </row>
    <row r="19" spans="5:86" x14ac:dyDescent="0.25">
      <c r="E19" s="150">
        <v>14</v>
      </c>
      <c r="F19" s="191">
        <f t="shared" si="52"/>
        <v>7.0000000000000007E-2</v>
      </c>
      <c r="G19" s="191"/>
      <c r="H19" s="191">
        <f t="shared" si="0"/>
        <v>1.05</v>
      </c>
      <c r="I19" s="472">
        <f t="shared" si="1"/>
        <v>11.1</v>
      </c>
      <c r="J19" s="152">
        <f t="shared" si="2"/>
        <v>7.66</v>
      </c>
      <c r="K19" s="386">
        <f t="shared" si="3"/>
        <v>18.759999999999998</v>
      </c>
      <c r="L19" s="386"/>
      <c r="M19" s="191">
        <f t="shared" si="4"/>
        <v>0.40831556503198302</v>
      </c>
      <c r="N19" s="152">
        <f t="shared" si="5"/>
        <v>8.3620986140724956</v>
      </c>
      <c r="O19" s="152">
        <f t="shared" si="53"/>
        <v>1.05</v>
      </c>
      <c r="P19" s="191">
        <f t="shared" si="6"/>
        <v>0.55747324093816641</v>
      </c>
      <c r="Q19" s="191">
        <f t="shared" si="7"/>
        <v>15</v>
      </c>
      <c r="R19" s="191">
        <f t="shared" si="8"/>
        <v>0.61941471215351818</v>
      </c>
      <c r="S19" s="152">
        <f t="shared" si="9"/>
        <v>270.39052776722173</v>
      </c>
      <c r="T19" s="152">
        <f t="shared" si="10"/>
        <v>15</v>
      </c>
      <c r="U19" s="191">
        <f t="shared" si="11"/>
        <v>0.51482291691168969</v>
      </c>
      <c r="V19" s="191">
        <f t="shared" si="12"/>
        <v>0.41742398668515385</v>
      </c>
      <c r="W19" s="191">
        <f t="shared" si="13"/>
        <v>0.60488332274219403</v>
      </c>
      <c r="X19" s="175">
        <f t="shared" si="14"/>
        <v>350</v>
      </c>
      <c r="Y19" s="386">
        <f t="shared" si="54"/>
        <v>350</v>
      </c>
      <c r="AA19" s="191">
        <f t="shared" si="15"/>
        <v>1.4388262767793685</v>
      </c>
      <c r="AB19" s="153">
        <f t="shared" si="16"/>
        <v>1.6905269570514774</v>
      </c>
      <c r="AC19" s="153">
        <f t="shared" si="17"/>
        <v>0.21283277814833412</v>
      </c>
      <c r="AD19" s="153"/>
      <c r="AE19" s="153">
        <f t="shared" si="18"/>
        <v>0.96344647519582249</v>
      </c>
      <c r="AF19" s="317">
        <f t="shared" si="19"/>
        <v>354.41866613788096</v>
      </c>
      <c r="AG19" s="463">
        <f t="shared" si="20"/>
        <v>6.9127284595300251E-2</v>
      </c>
      <c r="AI19" s="153">
        <f t="shared" si="21"/>
        <v>0.86979492403470782</v>
      </c>
      <c r="AJ19" s="153">
        <f t="shared" si="22"/>
        <v>0.86979492403470782</v>
      </c>
      <c r="AK19" s="153">
        <f t="shared" si="23"/>
        <v>1.2331966160231385</v>
      </c>
      <c r="AM19" s="317">
        <f t="shared" si="24"/>
        <v>70</v>
      </c>
      <c r="AN19" s="147">
        <f t="shared" si="25"/>
        <v>350</v>
      </c>
      <c r="AP19">
        <f t="shared" si="26"/>
        <v>70</v>
      </c>
      <c r="AQ19" s="147">
        <f t="shared" si="27"/>
        <v>350</v>
      </c>
      <c r="AR19" s="147"/>
      <c r="AS19" s="5">
        <f t="shared" si="55"/>
        <v>2.8571428571428572</v>
      </c>
      <c r="AT19" s="5">
        <f t="shared" si="28"/>
        <v>0.70523912759570906</v>
      </c>
      <c r="AU19" s="5">
        <f t="shared" si="56"/>
        <v>2.1519037295471479</v>
      </c>
      <c r="AV19" s="5">
        <f t="shared" si="29"/>
        <v>1.0219522606151918</v>
      </c>
      <c r="AW19" s="153">
        <f t="shared" si="57"/>
        <v>0.24683369465849817</v>
      </c>
      <c r="AX19" s="153">
        <f t="shared" si="30"/>
        <v>1.1915555555555553</v>
      </c>
      <c r="AY19" s="153">
        <f t="shared" si="31"/>
        <v>0.1637750573350033</v>
      </c>
      <c r="AZ19" s="153">
        <f t="shared" si="58"/>
        <v>7.2755618281861931</v>
      </c>
      <c r="BA19" s="147">
        <f t="shared" si="32"/>
        <v>16.670079701628925</v>
      </c>
      <c r="BB19" s="147">
        <f t="shared" si="33"/>
        <v>0.54311715217920631</v>
      </c>
      <c r="BC19" s="5">
        <f t="shared" si="34"/>
        <v>0.40752444625246964</v>
      </c>
      <c r="BD19" s="147">
        <f t="shared" si="35"/>
        <v>10.596045663957163</v>
      </c>
      <c r="BE19" s="5"/>
      <c r="BF19" s="153">
        <f t="shared" si="59"/>
        <v>0.2494930564582421</v>
      </c>
      <c r="BG19" s="153">
        <f t="shared" si="36"/>
        <v>0.21790725362982535</v>
      </c>
      <c r="BH19" s="153"/>
      <c r="BI19" s="463">
        <f t="shared" si="37"/>
        <v>6.8471463742963137E-3</v>
      </c>
      <c r="BJ19" s="463">
        <f t="shared" si="38"/>
        <v>2.8555367356059454E-2</v>
      </c>
      <c r="BK19" s="463">
        <f t="shared" si="39"/>
        <v>1.7499999999999998E-2</v>
      </c>
      <c r="BL19" s="463">
        <f t="shared" si="40"/>
        <v>2.7715085999999993E-2</v>
      </c>
      <c r="BM19">
        <f t="shared" si="41"/>
        <v>3.2190000000000001E-3</v>
      </c>
      <c r="BN19">
        <f t="shared" si="42"/>
        <v>2.1350000000000001E-5</v>
      </c>
      <c r="BO19" s="463">
        <f t="shared" si="43"/>
        <v>8.4889555339325837E-2</v>
      </c>
      <c r="BP19" s="147">
        <f t="shared" si="60"/>
        <v>84.889555339325838</v>
      </c>
      <c r="BQ19" s="463">
        <f t="shared" si="44"/>
        <v>3.3995489676990544E-2</v>
      </c>
      <c r="BR19" s="463"/>
      <c r="BT19" s="147">
        <f t="shared" si="61"/>
        <v>33.995489676990545</v>
      </c>
      <c r="BU19" s="463">
        <f t="shared" si="45"/>
        <v>5.290976743774425E-3</v>
      </c>
      <c r="BV19" s="463">
        <f t="shared" si="46"/>
        <v>9.0218785250536764E-3</v>
      </c>
      <c r="BW19" s="463">
        <f t="shared" si="47"/>
        <v>0</v>
      </c>
      <c r="BX19" s="463">
        <f t="shared" si="48"/>
        <v>1.6048774203681025E-2</v>
      </c>
      <c r="BY19" s="463">
        <f t="shared" si="49"/>
        <v>0.13239506172839507</v>
      </c>
      <c r="BZ19" s="147">
        <f t="shared" si="62"/>
        <v>148.4438359320761</v>
      </c>
      <c r="CA19" s="153">
        <f t="shared" si="63"/>
        <v>0.26732888094839247</v>
      </c>
      <c r="CB19" s="5">
        <f t="shared" si="64"/>
        <v>1.05</v>
      </c>
      <c r="CC19" s="153">
        <f t="shared" si="65"/>
        <v>0.79706747129393174</v>
      </c>
      <c r="CD19" s="5">
        <f t="shared" si="66"/>
        <v>79.706747129393179</v>
      </c>
      <c r="CG19" s="59">
        <f t="shared" si="50"/>
        <v>-50</v>
      </c>
      <c r="CH19">
        <f t="shared" si="51"/>
        <v>-50</v>
      </c>
    </row>
    <row r="20" spans="5:86" x14ac:dyDescent="0.25">
      <c r="E20" s="150">
        <v>15</v>
      </c>
      <c r="F20" s="191">
        <f t="shared" si="52"/>
        <v>7.4999999999999997E-2</v>
      </c>
      <c r="G20" s="191"/>
      <c r="H20" s="191">
        <f t="shared" si="0"/>
        <v>1.125</v>
      </c>
      <c r="I20" s="472">
        <f t="shared" si="1"/>
        <v>11.1</v>
      </c>
      <c r="J20" s="152">
        <f t="shared" si="2"/>
        <v>7.66</v>
      </c>
      <c r="K20" s="386">
        <f t="shared" si="3"/>
        <v>18.759999999999998</v>
      </c>
      <c r="L20" s="386"/>
      <c r="M20" s="191">
        <f t="shared" si="4"/>
        <v>0.40831556503198302</v>
      </c>
      <c r="N20" s="152">
        <f t="shared" si="5"/>
        <v>8.3620986140724956</v>
      </c>
      <c r="O20" s="152">
        <f t="shared" si="53"/>
        <v>1.125</v>
      </c>
      <c r="P20" s="191">
        <f t="shared" si="6"/>
        <v>0.55747324093816641</v>
      </c>
      <c r="Q20" s="191">
        <f t="shared" si="7"/>
        <v>15</v>
      </c>
      <c r="R20" s="191">
        <f t="shared" si="8"/>
        <v>0.61941471215351818</v>
      </c>
      <c r="S20" s="152">
        <f t="shared" si="9"/>
        <v>250.88827932271639</v>
      </c>
      <c r="T20" s="152">
        <f t="shared" si="10"/>
        <v>15</v>
      </c>
      <c r="U20" s="191">
        <f t="shared" si="11"/>
        <v>0.55159598240538177</v>
      </c>
      <c r="V20" s="191">
        <f t="shared" si="12"/>
        <v>0.44723998573409329</v>
      </c>
      <c r="W20" s="191">
        <f t="shared" si="13"/>
        <v>0.64808927436663655</v>
      </c>
      <c r="X20" s="175">
        <f t="shared" si="14"/>
        <v>350</v>
      </c>
      <c r="Y20" s="386">
        <f t="shared" si="54"/>
        <v>350</v>
      </c>
      <c r="AA20" s="191">
        <f t="shared" si="15"/>
        <v>1.4388262767793685</v>
      </c>
      <c r="AB20" s="153">
        <f t="shared" si="16"/>
        <v>1.6905269570514774</v>
      </c>
      <c r="AC20" s="153">
        <f t="shared" si="17"/>
        <v>0.21283277814833412</v>
      </c>
      <c r="AD20" s="153"/>
      <c r="AE20" s="153">
        <f t="shared" si="18"/>
        <v>0.96344647519582249</v>
      </c>
      <c r="AF20" s="317">
        <f t="shared" si="19"/>
        <v>379.73428514772957</v>
      </c>
      <c r="AG20" s="463">
        <f t="shared" si="20"/>
        <v>6.9127284595300251E-2</v>
      </c>
      <c r="AI20" s="153">
        <f t="shared" si="21"/>
        <v>0.90032328115072668</v>
      </c>
      <c r="AJ20" s="153">
        <f t="shared" si="22"/>
        <v>0.90032328115072668</v>
      </c>
      <c r="AK20" s="153">
        <f t="shared" si="23"/>
        <v>1.2535488541004844</v>
      </c>
      <c r="AM20" s="317">
        <f t="shared" si="24"/>
        <v>75</v>
      </c>
      <c r="AN20" s="147">
        <f t="shared" si="25"/>
        <v>350</v>
      </c>
      <c r="AP20">
        <f t="shared" si="26"/>
        <v>75</v>
      </c>
      <c r="AQ20" s="147">
        <f t="shared" si="27"/>
        <v>350</v>
      </c>
      <c r="AR20" s="147"/>
      <c r="AS20" s="5">
        <f t="shared" si="55"/>
        <v>2.8571428571428572</v>
      </c>
      <c r="AT20" s="5">
        <f t="shared" si="28"/>
        <v>0.72999184958167029</v>
      </c>
      <c r="AU20" s="5">
        <f t="shared" si="56"/>
        <v>2.1271510075611868</v>
      </c>
      <c r="AV20" s="5">
        <f t="shared" si="29"/>
        <v>1.0578210875139087</v>
      </c>
      <c r="AW20" s="153">
        <f t="shared" si="57"/>
        <v>0.25549714735358459</v>
      </c>
      <c r="AX20" s="153">
        <f t="shared" si="30"/>
        <v>1.2766666666666664</v>
      </c>
      <c r="AY20" s="153">
        <f t="shared" si="31"/>
        <v>0.16757331278017418</v>
      </c>
      <c r="AZ20" s="153">
        <f t="shared" si="58"/>
        <v>7.6185559949001052</v>
      </c>
      <c r="BA20" s="147">
        <f t="shared" si="32"/>
        <v>16.670079701628925</v>
      </c>
      <c r="BB20" s="147">
        <f t="shared" si="33"/>
        <v>0.60740489408327247</v>
      </c>
      <c r="BC20" s="5">
        <f t="shared" si="34"/>
        <v>0.43161086915858832</v>
      </c>
      <c r="BD20" s="147">
        <f t="shared" si="35"/>
        <v>11.22620294615677</v>
      </c>
      <c r="BE20" s="5"/>
      <c r="BF20" s="153">
        <f t="shared" si="59"/>
        <v>0.26274283459930725</v>
      </c>
      <c r="BG20" s="153">
        <f t="shared" si="36"/>
        <v>0.22425443495840716</v>
      </c>
      <c r="BH20" s="153"/>
      <c r="BI20" s="463">
        <f t="shared" si="37"/>
        <v>7.5937176846606813E-3</v>
      </c>
      <c r="BJ20" s="463">
        <f t="shared" si="38"/>
        <v>2.9557613320178353E-2</v>
      </c>
      <c r="BK20" s="463">
        <f t="shared" si="39"/>
        <v>1.7499999999999998E-2</v>
      </c>
      <c r="BL20" s="463">
        <f t="shared" si="40"/>
        <v>2.7715085999999993E-2</v>
      </c>
      <c r="BM20">
        <f t="shared" si="41"/>
        <v>3.2190000000000001E-3</v>
      </c>
      <c r="BN20">
        <f t="shared" si="42"/>
        <v>2.1350000000000001E-5</v>
      </c>
      <c r="BO20" s="463">
        <f t="shared" si="43"/>
        <v>8.6753464044723741E-2</v>
      </c>
      <c r="BP20" s="147">
        <f t="shared" si="60"/>
        <v>86.753464044723742</v>
      </c>
      <c r="BQ20" s="463">
        <f t="shared" si="44"/>
        <v>3.6334319884253015E-2</v>
      </c>
      <c r="BR20" s="463"/>
      <c r="BT20" s="147">
        <f t="shared" si="61"/>
        <v>36.334319884253013</v>
      </c>
      <c r="BU20" s="463">
        <f t="shared" si="45"/>
        <v>5.8678727563287085E-3</v>
      </c>
      <c r="BV20" s="463">
        <f t="shared" si="46"/>
        <v>9.5551098037177495E-3</v>
      </c>
      <c r="BW20" s="463">
        <f t="shared" si="47"/>
        <v>0</v>
      </c>
      <c r="BX20" s="463">
        <f t="shared" si="48"/>
        <v>1.7295079804387849E-2</v>
      </c>
      <c r="BY20" s="463">
        <f t="shared" si="49"/>
        <v>0.14185185185185184</v>
      </c>
      <c r="BZ20" s="147">
        <f t="shared" si="62"/>
        <v>159.1469316562397</v>
      </c>
      <c r="CA20" s="153">
        <f t="shared" si="63"/>
        <v>0.28223471558521646</v>
      </c>
      <c r="CB20" s="5">
        <f t="shared" si="64"/>
        <v>1.125</v>
      </c>
      <c r="CC20" s="153">
        <f t="shared" si="65"/>
        <v>0.79944019824166601</v>
      </c>
      <c r="CD20" s="5">
        <f t="shared" si="66"/>
        <v>79.944019824166602</v>
      </c>
      <c r="CG20" s="59">
        <f t="shared" si="50"/>
        <v>-50</v>
      </c>
      <c r="CH20">
        <f t="shared" si="51"/>
        <v>-50</v>
      </c>
    </row>
    <row r="21" spans="5:86" s="59" customFormat="1" x14ac:dyDescent="0.25">
      <c r="E21" s="150">
        <v>16</v>
      </c>
      <c r="F21" s="191">
        <f t="shared" si="52"/>
        <v>0.08</v>
      </c>
      <c r="G21" s="191"/>
      <c r="H21" s="191">
        <f t="shared" si="0"/>
        <v>1.2</v>
      </c>
      <c r="I21" s="472">
        <f t="shared" si="1"/>
        <v>11.1</v>
      </c>
      <c r="J21" s="152">
        <f t="shared" si="2"/>
        <v>7.66</v>
      </c>
      <c r="K21" s="386">
        <f t="shared" si="3"/>
        <v>18.759999999999998</v>
      </c>
      <c r="L21" s="386"/>
      <c r="M21" s="191">
        <f t="shared" si="4"/>
        <v>0.40831556503198302</v>
      </c>
      <c r="N21" s="152">
        <f t="shared" si="5"/>
        <v>8.3620986140724956</v>
      </c>
      <c r="O21" s="152">
        <f t="shared" si="53"/>
        <v>1.2</v>
      </c>
      <c r="P21" s="191">
        <f t="shared" si="6"/>
        <v>0.55747324093816641</v>
      </c>
      <c r="Q21" s="191">
        <f t="shared" si="7"/>
        <v>15</v>
      </c>
      <c r="R21" s="191">
        <f t="shared" si="8"/>
        <v>0.61941471215351818</v>
      </c>
      <c r="S21" s="152">
        <f t="shared" si="9"/>
        <v>233.82409029170304</v>
      </c>
      <c r="T21" s="152">
        <f t="shared" si="10"/>
        <v>15</v>
      </c>
      <c r="U21" s="191">
        <f t="shared" si="11"/>
        <v>0.58836904789907385</v>
      </c>
      <c r="V21" s="191">
        <f t="shared" si="12"/>
        <v>0.4770559847830329</v>
      </c>
      <c r="W21" s="191">
        <f t="shared" si="13"/>
        <v>0.69129522599107895</v>
      </c>
      <c r="X21" s="175">
        <f t="shared" si="14"/>
        <v>350</v>
      </c>
      <c r="Y21" s="386">
        <f t="shared" si="54"/>
        <v>350</v>
      </c>
      <c r="AA21" s="191">
        <f t="shared" si="15"/>
        <v>1.4388262767793685</v>
      </c>
      <c r="AB21" s="153">
        <f t="shared" si="16"/>
        <v>1.6905269570514774</v>
      </c>
      <c r="AC21" s="469">
        <f t="shared" si="17"/>
        <v>0.21283277814833412</v>
      </c>
      <c r="AD21" s="469"/>
      <c r="AE21" s="153">
        <f t="shared" si="18"/>
        <v>0.96344647519582249</v>
      </c>
      <c r="AF21" s="317">
        <f t="shared" si="19"/>
        <v>405.04990415757817</v>
      </c>
      <c r="AG21" s="463">
        <f t="shared" si="20"/>
        <v>6.9127284595300251E-2</v>
      </c>
      <c r="AH21"/>
      <c r="AI21" s="153">
        <f t="shared" si="21"/>
        <v>0.92984988642655542</v>
      </c>
      <c r="AJ21" s="153">
        <f t="shared" si="22"/>
        <v>0.92984988642655542</v>
      </c>
      <c r="AK21" s="153">
        <f t="shared" si="23"/>
        <v>1.2732332576177037</v>
      </c>
      <c r="AM21" s="317">
        <f t="shared" si="24"/>
        <v>80</v>
      </c>
      <c r="AN21" s="147">
        <f t="shared" si="25"/>
        <v>350</v>
      </c>
      <c r="AP21">
        <f t="shared" si="26"/>
        <v>80</v>
      </c>
      <c r="AQ21" s="147">
        <f t="shared" si="27"/>
        <v>350</v>
      </c>
      <c r="AR21" s="147"/>
      <c r="AS21" s="5">
        <f t="shared" si="55"/>
        <v>2.8571428571428572</v>
      </c>
      <c r="AT21" s="5">
        <f t="shared" si="28"/>
        <v>0.75393234034585588</v>
      </c>
      <c r="AU21" s="5">
        <f t="shared" si="56"/>
        <v>2.1032105167970014</v>
      </c>
      <c r="AV21" s="5">
        <f t="shared" si="29"/>
        <v>1.0925129213889033</v>
      </c>
      <c r="AW21" s="153">
        <f t="shared" si="57"/>
        <v>0.26387631912104953</v>
      </c>
      <c r="AX21" s="153">
        <f t="shared" si="30"/>
        <v>1.3617777777777778</v>
      </c>
      <c r="AY21" s="153">
        <f t="shared" si="31"/>
        <v>0.17112113026529749</v>
      </c>
      <c r="AZ21" s="153">
        <f t="shared" si="58"/>
        <v>7.9579755911297854</v>
      </c>
      <c r="BA21" s="147">
        <f t="shared" si="32"/>
        <v>16.670079701628925</v>
      </c>
      <c r="BB21" s="147">
        <f t="shared" si="33"/>
        <v>0.67509179060141222</v>
      </c>
      <c r="BC21" s="5">
        <f t="shared" si="34"/>
        <v>0.45520342327127156</v>
      </c>
      <c r="BD21" s="147">
        <f t="shared" si="35"/>
        <v>11.843901265612892</v>
      </c>
      <c r="BE21" s="5"/>
      <c r="BF21" s="153">
        <f t="shared" si="59"/>
        <v>0.27577343183490033</v>
      </c>
      <c r="BG21" s="153">
        <f t="shared" si="36"/>
        <v>0.23030194929148315</v>
      </c>
      <c r="BH21" s="153"/>
      <c r="BI21" s="463">
        <f t="shared" si="37"/>
        <v>8.365608427659826E-3</v>
      </c>
      <c r="BJ21" s="463">
        <f t="shared" si="38"/>
        <v>3.0526971771383811E-2</v>
      </c>
      <c r="BK21" s="463">
        <f t="shared" si="39"/>
        <v>1.7499999999999998E-2</v>
      </c>
      <c r="BL21" s="463">
        <f t="shared" si="40"/>
        <v>2.7715085999999993E-2</v>
      </c>
      <c r="BM21">
        <f t="shared" si="41"/>
        <v>3.2190000000000001E-3</v>
      </c>
      <c r="BN21">
        <f t="shared" si="42"/>
        <v>2.1350000000000001E-5</v>
      </c>
      <c r="BO21" s="463">
        <f t="shared" si="43"/>
        <v>8.861414526063191E-2</v>
      </c>
      <c r="BP21" s="147">
        <f t="shared" si="60"/>
        <v>88.614145260631915</v>
      </c>
      <c r="BQ21" s="463">
        <f t="shared" si="44"/>
        <v>3.8664357343091406E-2</v>
      </c>
      <c r="BR21" s="463"/>
      <c r="BT21" s="147">
        <f t="shared" si="61"/>
        <v>38.664357343091403</v>
      </c>
      <c r="BU21" s="463">
        <f t="shared" si="45"/>
        <v>6.4643337850098653E-3</v>
      </c>
      <c r="BV21" s="463">
        <f t="shared" si="46"/>
        <v>1.0077407691016806E-2</v>
      </c>
      <c r="BW21" s="463">
        <f t="shared" si="47"/>
        <v>0</v>
      </c>
      <c r="BX21" s="463">
        <f t="shared" si="48"/>
        <v>1.8551300117997563E-2</v>
      </c>
      <c r="BY21" s="463">
        <f t="shared" si="49"/>
        <v>0.15130864197530866</v>
      </c>
      <c r="BZ21" s="147">
        <f t="shared" si="62"/>
        <v>169.85994209330624</v>
      </c>
      <c r="CA21" s="153">
        <f t="shared" si="63"/>
        <v>0.29713844469702955</v>
      </c>
      <c r="CB21" s="5">
        <f t="shared" si="64"/>
        <v>1.2</v>
      </c>
      <c r="CC21" s="153">
        <f t="shared" si="65"/>
        <v>0.80152907985930433</v>
      </c>
      <c r="CD21" s="5">
        <f t="shared" si="66"/>
        <v>80.152907985930426</v>
      </c>
      <c r="CG21" s="59">
        <f t="shared" si="50"/>
        <v>-50</v>
      </c>
      <c r="CH21">
        <f t="shared" si="51"/>
        <v>-50</v>
      </c>
    </row>
    <row r="22" spans="5:86" x14ac:dyDescent="0.25">
      <c r="E22" s="150">
        <v>17</v>
      </c>
      <c r="F22" s="191">
        <f t="shared" si="52"/>
        <v>8.5000000000000006E-2</v>
      </c>
      <c r="G22" s="191"/>
      <c r="H22" s="191">
        <f t="shared" si="0"/>
        <v>1.2750000000000001</v>
      </c>
      <c r="I22" s="472">
        <f t="shared" si="1"/>
        <v>11.1</v>
      </c>
      <c r="J22" s="152">
        <f t="shared" si="2"/>
        <v>7.66</v>
      </c>
      <c r="K22" s="386">
        <f t="shared" si="3"/>
        <v>18.759999999999998</v>
      </c>
      <c r="L22" s="386"/>
      <c r="M22" s="191">
        <f t="shared" si="4"/>
        <v>0.40831556503198302</v>
      </c>
      <c r="N22" s="152">
        <f t="shared" si="5"/>
        <v>8.3620986140724956</v>
      </c>
      <c r="O22" s="152">
        <f t="shared" si="53"/>
        <v>1.2750000000000001</v>
      </c>
      <c r="P22" s="191">
        <f t="shared" si="6"/>
        <v>0.55747324093816641</v>
      </c>
      <c r="Q22" s="191">
        <f t="shared" si="7"/>
        <v>15</v>
      </c>
      <c r="R22" s="191">
        <f t="shared" si="8"/>
        <v>0.61941471215351818</v>
      </c>
      <c r="S22" s="152">
        <f t="shared" si="9"/>
        <v>218.76771948597289</v>
      </c>
      <c r="T22" s="152">
        <f t="shared" si="10"/>
        <v>15</v>
      </c>
      <c r="U22" s="191">
        <f t="shared" si="11"/>
        <v>0.62514211339276604</v>
      </c>
      <c r="V22" s="191">
        <f t="shared" si="12"/>
        <v>0.50687198383197263</v>
      </c>
      <c r="W22" s="191">
        <f t="shared" si="13"/>
        <v>0.73450117761552158</v>
      </c>
      <c r="X22" s="175">
        <f t="shared" si="14"/>
        <v>350</v>
      </c>
      <c r="Y22" s="386">
        <f t="shared" si="54"/>
        <v>350</v>
      </c>
      <c r="AA22" s="191">
        <f t="shared" si="15"/>
        <v>1.4388262767793685</v>
      </c>
      <c r="AB22" s="153">
        <f t="shared" si="16"/>
        <v>1.6905269570514774</v>
      </c>
      <c r="AC22" s="153">
        <f t="shared" si="17"/>
        <v>0.21283277814833412</v>
      </c>
      <c r="AD22" s="153"/>
      <c r="AE22" s="153">
        <f t="shared" si="18"/>
        <v>0.96344647519582249</v>
      </c>
      <c r="AF22" s="317">
        <f t="shared" si="19"/>
        <v>430.36552316742689</v>
      </c>
      <c r="AG22" s="463">
        <f t="shared" si="20"/>
        <v>6.9127284595300251E-2</v>
      </c>
      <c r="AI22" s="153">
        <f t="shared" si="21"/>
        <v>0.95846732442631832</v>
      </c>
      <c r="AJ22" s="153">
        <f t="shared" si="22"/>
        <v>0.95846732442631832</v>
      </c>
      <c r="AK22" s="153">
        <f t="shared" si="23"/>
        <v>1.2923115496175455</v>
      </c>
      <c r="AM22" s="317">
        <f t="shared" si="24"/>
        <v>85</v>
      </c>
      <c r="AN22" s="147">
        <f t="shared" si="25"/>
        <v>350</v>
      </c>
      <c r="AP22">
        <f t="shared" si="26"/>
        <v>85</v>
      </c>
      <c r="AQ22" s="147">
        <f t="shared" si="27"/>
        <v>350</v>
      </c>
      <c r="AR22" s="147"/>
      <c r="AS22" s="5">
        <f t="shared" si="55"/>
        <v>2.8571428571428572</v>
      </c>
      <c r="AT22" s="5">
        <f t="shared" si="28"/>
        <v>0.77713566845377158</v>
      </c>
      <c r="AU22" s="5">
        <f t="shared" si="56"/>
        <v>2.0800071886890859</v>
      </c>
      <c r="AV22" s="5">
        <f t="shared" si="29"/>
        <v>1.1261365430596431</v>
      </c>
      <c r="AW22" s="153">
        <f t="shared" si="57"/>
        <v>0.27199748395882006</v>
      </c>
      <c r="AX22" s="153">
        <f t="shared" si="30"/>
        <v>1.4468888888888889</v>
      </c>
      <c r="AY22" s="153">
        <f t="shared" si="31"/>
        <v>0.1744416559314044</v>
      </c>
      <c r="AZ22" s="153">
        <f t="shared" si="58"/>
        <v>8.294400102793384</v>
      </c>
      <c r="BA22" s="147">
        <f t="shared" si="32"/>
        <v>16.670079701628925</v>
      </c>
      <c r="BB22" s="147">
        <f t="shared" si="33"/>
        <v>0.74617784173362567</v>
      </c>
      <c r="BC22" s="5">
        <f t="shared" si="34"/>
        <v>0.47831780710053917</v>
      </c>
      <c r="BD22" s="147">
        <f t="shared" si="35"/>
        <v>12.449536652919212</v>
      </c>
      <c r="BE22" s="5"/>
      <c r="BF22" s="153">
        <f t="shared" si="59"/>
        <v>0.28860186132263427</v>
      </c>
      <c r="BG22" s="153">
        <f t="shared" si="36"/>
        <v>0.23607670168052697</v>
      </c>
      <c r="BH22" s="153"/>
      <c r="BI22" s="463">
        <f t="shared" si="37"/>
        <v>9.1620137794777914E-3</v>
      </c>
      <c r="BJ22" s="463">
        <f t="shared" si="38"/>
        <v>3.1466482260916029E-2</v>
      </c>
      <c r="BK22" s="463">
        <f t="shared" si="39"/>
        <v>1.7499999999999998E-2</v>
      </c>
      <c r="BL22" s="463">
        <f t="shared" si="40"/>
        <v>2.7715085999999993E-2</v>
      </c>
      <c r="BM22">
        <f t="shared" si="41"/>
        <v>3.2190000000000001E-3</v>
      </c>
      <c r="BN22">
        <f t="shared" si="42"/>
        <v>2.1350000000000001E-5</v>
      </c>
      <c r="BO22" s="463">
        <f t="shared" si="43"/>
        <v>9.0473739945428552E-2</v>
      </c>
      <c r="BP22" s="147">
        <f t="shared" si="60"/>
        <v>90.473739945428548</v>
      </c>
      <c r="BQ22" s="463">
        <f t="shared" si="44"/>
        <v>4.0985881546867282E-2</v>
      </c>
      <c r="BR22" s="463"/>
      <c r="BT22" s="147">
        <f t="shared" si="61"/>
        <v>40.985881546867283</v>
      </c>
      <c r="BU22" s="463">
        <f t="shared" si="45"/>
        <v>7.0797379205055667E-3</v>
      </c>
      <c r="BV22" s="463">
        <f t="shared" si="46"/>
        <v>1.058911972450774E-2</v>
      </c>
      <c r="BW22" s="463">
        <f t="shared" si="47"/>
        <v>0</v>
      </c>
      <c r="BX22" s="463">
        <f t="shared" si="48"/>
        <v>1.9817132249506823E-2</v>
      </c>
      <c r="BY22" s="463">
        <f t="shared" si="49"/>
        <v>0.16076543209876545</v>
      </c>
      <c r="BZ22" s="147">
        <f t="shared" si="62"/>
        <v>180.58256434827229</v>
      </c>
      <c r="CA22" s="153">
        <f t="shared" si="63"/>
        <v>0.31204218584056809</v>
      </c>
      <c r="CB22" s="5">
        <f t="shared" si="64"/>
        <v>1.2750000000000001</v>
      </c>
      <c r="CC22" s="153">
        <f t="shared" si="65"/>
        <v>0.80338129091679022</v>
      </c>
      <c r="CD22" s="5">
        <f t="shared" si="66"/>
        <v>80.338129091679022</v>
      </c>
      <c r="CG22" s="59">
        <f t="shared" si="50"/>
        <v>-50</v>
      </c>
      <c r="CH22">
        <f t="shared" si="51"/>
        <v>-50</v>
      </c>
    </row>
    <row r="23" spans="5:86" x14ac:dyDescent="0.25">
      <c r="E23" s="150">
        <v>18</v>
      </c>
      <c r="F23" s="191">
        <f t="shared" si="52"/>
        <v>0.09</v>
      </c>
      <c r="G23" s="191"/>
      <c r="H23" s="191">
        <f t="shared" si="0"/>
        <v>1.3499999999999999</v>
      </c>
      <c r="I23" s="472">
        <f t="shared" si="1"/>
        <v>11.1</v>
      </c>
      <c r="J23" s="152">
        <f t="shared" si="2"/>
        <v>7.66</v>
      </c>
      <c r="K23" s="386">
        <f t="shared" si="3"/>
        <v>18.759999999999998</v>
      </c>
      <c r="L23" s="386"/>
      <c r="M23" s="191">
        <f t="shared" si="4"/>
        <v>0.40831556503198302</v>
      </c>
      <c r="N23" s="152">
        <f t="shared" si="5"/>
        <v>8.3620986140724956</v>
      </c>
      <c r="O23" s="152">
        <f t="shared" si="53"/>
        <v>1.3499999999999999</v>
      </c>
      <c r="P23" s="191">
        <f t="shared" si="6"/>
        <v>0.55747324093816641</v>
      </c>
      <c r="Q23" s="191">
        <f t="shared" si="7"/>
        <v>15</v>
      </c>
      <c r="R23" s="191">
        <f t="shared" si="8"/>
        <v>0.61941471215351818</v>
      </c>
      <c r="S23" s="152">
        <f t="shared" si="9"/>
        <v>205.38453497027194</v>
      </c>
      <c r="T23" s="152">
        <f t="shared" si="10"/>
        <v>15</v>
      </c>
      <c r="U23" s="191">
        <f t="shared" si="11"/>
        <v>0.66191517888645801</v>
      </c>
      <c r="V23" s="191">
        <f t="shared" si="12"/>
        <v>0.53668798288091191</v>
      </c>
      <c r="W23" s="191">
        <f t="shared" si="13"/>
        <v>0.77770712923996366</v>
      </c>
      <c r="X23" s="175">
        <f t="shared" si="14"/>
        <v>350</v>
      </c>
      <c r="Y23" s="386">
        <f t="shared" si="54"/>
        <v>350</v>
      </c>
      <c r="AA23" s="191">
        <f t="shared" si="15"/>
        <v>1.4388262767793685</v>
      </c>
      <c r="AB23" s="153">
        <f t="shared" si="16"/>
        <v>1.6905269570514774</v>
      </c>
      <c r="AC23" s="153">
        <f t="shared" si="17"/>
        <v>0.21283277814833412</v>
      </c>
      <c r="AD23" s="153"/>
      <c r="AE23" s="153">
        <f t="shared" si="18"/>
        <v>0.96344647519582249</v>
      </c>
      <c r="AF23" s="317">
        <f t="shared" si="19"/>
        <v>455.68114217727543</v>
      </c>
      <c r="AG23" s="463">
        <f t="shared" si="20"/>
        <v>6.9127284595300251E-2</v>
      </c>
      <c r="AI23" s="153">
        <f t="shared" si="21"/>
        <v>0.98625474026663751</v>
      </c>
      <c r="AJ23" s="153">
        <f t="shared" si="22"/>
        <v>0.98625474026663751</v>
      </c>
      <c r="AK23" s="153">
        <f t="shared" si="23"/>
        <v>1.3108364935110917</v>
      </c>
      <c r="AM23" s="317">
        <f t="shared" si="24"/>
        <v>90</v>
      </c>
      <c r="AN23" s="147">
        <f t="shared" si="25"/>
        <v>350</v>
      </c>
      <c r="AP23">
        <f t="shared" si="26"/>
        <v>90</v>
      </c>
      <c r="AQ23" s="147">
        <f t="shared" si="27"/>
        <v>350</v>
      </c>
      <c r="AR23" s="147"/>
      <c r="AS23" s="5">
        <f t="shared" si="55"/>
        <v>2.8571428571428572</v>
      </c>
      <c r="AT23" s="5">
        <f t="shared" si="28"/>
        <v>0.79966600562159795</v>
      </c>
      <c r="AU23" s="5">
        <f t="shared" si="56"/>
        <v>2.0574768515212591</v>
      </c>
      <c r="AV23" s="5">
        <f t="shared" si="29"/>
        <v>1.1587849428720283</v>
      </c>
      <c r="AW23" s="153">
        <f t="shared" si="57"/>
        <v>0.27988310196755928</v>
      </c>
      <c r="AX23" s="153">
        <f t="shared" si="30"/>
        <v>1.532</v>
      </c>
      <c r="AY23" s="153">
        <f t="shared" si="31"/>
        <v>0.17755467605765038</v>
      </c>
      <c r="AZ23" s="153">
        <f t="shared" si="58"/>
        <v>8.6283280959752009</v>
      </c>
      <c r="BA23" s="147">
        <f t="shared" si="32"/>
        <v>16.670079701628925</v>
      </c>
      <c r="BB23" s="147">
        <f t="shared" si="33"/>
        <v>0.82066304747991237</v>
      </c>
      <c r="BC23" s="5">
        <f t="shared" si="34"/>
        <v>0.50096831057250024</v>
      </c>
      <c r="BD23" s="147">
        <f t="shared" si="35"/>
        <v>13.043469603938934</v>
      </c>
      <c r="BE23" s="5"/>
      <c r="BF23" s="153">
        <f t="shared" si="59"/>
        <v>0.30124289702550272</v>
      </c>
      <c r="BG23" s="153">
        <f t="shared" si="36"/>
        <v>0.241601697647433</v>
      </c>
      <c r="BH23" s="153"/>
      <c r="BI23" s="463">
        <f t="shared" si="37"/>
        <v>9.9822011309149399E-3</v>
      </c>
      <c r="BJ23" s="463">
        <f t="shared" si="38"/>
        <v>3.2378743122953711E-2</v>
      </c>
      <c r="BK23" s="463">
        <f t="shared" si="39"/>
        <v>1.7499999999999998E-2</v>
      </c>
      <c r="BL23" s="463">
        <f t="shared" si="40"/>
        <v>2.7715085999999993E-2</v>
      </c>
      <c r="BM23">
        <f t="shared" si="41"/>
        <v>3.2190000000000001E-3</v>
      </c>
      <c r="BN23">
        <f t="shared" si="42"/>
        <v>2.1350000000000001E-5</v>
      </c>
      <c r="BO23" s="463">
        <f t="shared" si="43"/>
        <v>9.233403047785016E-2</v>
      </c>
      <c r="BP23" s="147">
        <f t="shared" si="60"/>
        <v>92.334030477850163</v>
      </c>
      <c r="BQ23" s="463">
        <f t="shared" si="44"/>
        <v>4.3299146910775382E-2</v>
      </c>
      <c r="BR23" s="463"/>
      <c r="BT23" s="147">
        <f t="shared" si="61"/>
        <v>43.299146910775384</v>
      </c>
      <c r="BU23" s="463">
        <f t="shared" si="45"/>
        <v>7.7135190557070001E-3</v>
      </c>
      <c r="BV23" s="463">
        <f t="shared" si="46"/>
        <v>1.1090562258163111E-2</v>
      </c>
      <c r="BW23" s="463">
        <f t="shared" si="47"/>
        <v>0</v>
      </c>
      <c r="BX23" s="463">
        <f t="shared" si="48"/>
        <v>2.1092300778649591E-2</v>
      </c>
      <c r="BY23" s="463">
        <f t="shared" si="49"/>
        <v>0.17022222222222222</v>
      </c>
      <c r="BZ23" s="147">
        <f t="shared" si="62"/>
        <v>191.31452300087182</v>
      </c>
      <c r="CA23" s="153">
        <f t="shared" si="63"/>
        <v>0.32694770038949739</v>
      </c>
      <c r="CB23" s="5">
        <f t="shared" si="64"/>
        <v>1.3499999999999999</v>
      </c>
      <c r="CC23" s="153">
        <f t="shared" si="65"/>
        <v>0.80503405066624401</v>
      </c>
      <c r="CD23" s="5">
        <f t="shared" si="66"/>
        <v>80.503405066624396</v>
      </c>
      <c r="CG23" s="59">
        <f t="shared" si="50"/>
        <v>-50</v>
      </c>
      <c r="CH23">
        <f t="shared" si="51"/>
        <v>-50</v>
      </c>
    </row>
    <row r="24" spans="5:86" x14ac:dyDescent="0.25">
      <c r="E24" s="150">
        <v>19</v>
      </c>
      <c r="F24" s="191">
        <f t="shared" si="52"/>
        <v>9.5000000000000001E-2</v>
      </c>
      <c r="G24" s="191"/>
      <c r="H24" s="191">
        <f t="shared" si="0"/>
        <v>1.425</v>
      </c>
      <c r="I24" s="472">
        <f t="shared" si="1"/>
        <v>11.1</v>
      </c>
      <c r="J24" s="152">
        <f t="shared" si="2"/>
        <v>7.66</v>
      </c>
      <c r="K24" s="386">
        <f t="shared" si="3"/>
        <v>18.759999999999998</v>
      </c>
      <c r="L24" s="386"/>
      <c r="M24" s="191">
        <f t="shared" si="4"/>
        <v>0.40831556503198302</v>
      </c>
      <c r="N24" s="152">
        <f t="shared" si="5"/>
        <v>8.3620986140724956</v>
      </c>
      <c r="O24" s="152">
        <f t="shared" si="53"/>
        <v>1.425</v>
      </c>
      <c r="P24" s="191">
        <f t="shared" si="6"/>
        <v>0.55747324093816641</v>
      </c>
      <c r="Q24" s="191">
        <f t="shared" si="7"/>
        <v>15</v>
      </c>
      <c r="R24" s="191">
        <f t="shared" si="8"/>
        <v>0.61941471215351818</v>
      </c>
      <c r="S24" s="152">
        <f t="shared" si="9"/>
        <v>193.41035373527052</v>
      </c>
      <c r="T24" s="152">
        <f t="shared" si="10"/>
        <v>15</v>
      </c>
      <c r="U24" s="191">
        <f t="shared" si="11"/>
        <v>0.6986882443801502</v>
      </c>
      <c r="V24" s="191">
        <f t="shared" si="12"/>
        <v>0.56650398192985152</v>
      </c>
      <c r="W24" s="191">
        <f t="shared" si="13"/>
        <v>0.82091308086440629</v>
      </c>
      <c r="X24" s="175">
        <f t="shared" si="14"/>
        <v>350</v>
      </c>
      <c r="Y24" s="386">
        <f t="shared" si="54"/>
        <v>350</v>
      </c>
      <c r="AA24" s="191">
        <f t="shared" si="15"/>
        <v>1.4388262767793685</v>
      </c>
      <c r="AB24" s="153">
        <f t="shared" si="16"/>
        <v>1.6905269570514774</v>
      </c>
      <c r="AC24" s="153">
        <f t="shared" si="17"/>
        <v>0.21283277814833412</v>
      </c>
      <c r="AD24" s="153"/>
      <c r="AE24" s="153">
        <f t="shared" si="18"/>
        <v>0.96344647519582249</v>
      </c>
      <c r="AF24" s="317">
        <f t="shared" si="19"/>
        <v>480.99676118712415</v>
      </c>
      <c r="AG24" s="463">
        <f t="shared" si="20"/>
        <v>6.9127284595300251E-2</v>
      </c>
      <c r="AI24" s="153">
        <f t="shared" si="21"/>
        <v>1.0132804218990319</v>
      </c>
      <c r="AJ24" s="153">
        <f t="shared" si="22"/>
        <v>1.0132804218990319</v>
      </c>
      <c r="AK24" s="153">
        <f t="shared" si="23"/>
        <v>1.3288536145993546</v>
      </c>
      <c r="AM24" s="317">
        <f t="shared" si="24"/>
        <v>95</v>
      </c>
      <c r="AN24" s="147">
        <f t="shared" si="25"/>
        <v>350</v>
      </c>
      <c r="AP24">
        <f t="shared" si="26"/>
        <v>95</v>
      </c>
      <c r="AQ24" s="147">
        <f t="shared" si="27"/>
        <v>350</v>
      </c>
      <c r="AR24" s="147"/>
      <c r="AS24" s="5">
        <f t="shared" si="55"/>
        <v>2.8571428571428572</v>
      </c>
      <c r="AT24" s="5">
        <f t="shared" si="28"/>
        <v>0.82157872045867453</v>
      </c>
      <c r="AU24" s="5">
        <f t="shared" si="56"/>
        <v>2.0355641366841826</v>
      </c>
      <c r="AV24" s="5">
        <f t="shared" si="29"/>
        <v>1.1905383547116564</v>
      </c>
      <c r="AW24" s="153">
        <f t="shared" si="57"/>
        <v>0.2875525521605361</v>
      </c>
      <c r="AX24" s="153">
        <f t="shared" si="30"/>
        <v>1.6171111111111112</v>
      </c>
      <c r="AY24" s="153">
        <f t="shared" si="31"/>
        <v>0.18047726263191513</v>
      </c>
      <c r="AZ24" s="153">
        <f t="shared" si="58"/>
        <v>8.9601930322337751</v>
      </c>
      <c r="BA24" s="147">
        <f t="shared" si="32"/>
        <v>16.670079701628925</v>
      </c>
      <c r="BB24" s="147">
        <f t="shared" si="33"/>
        <v>0.89854740784027276</v>
      </c>
      <c r="BC24" s="5">
        <f t="shared" si="34"/>
        <v>0.52316801391931744</v>
      </c>
      <c r="BD24" s="147">
        <f t="shared" si="35"/>
        <v>13.626030097256169</v>
      </c>
      <c r="BE24" s="5"/>
      <c r="BF24" s="153">
        <f t="shared" si="59"/>
        <v>0.31370947606157445</v>
      </c>
      <c r="BG24" s="153">
        <f t="shared" si="36"/>
        <v>0.24689679140810325</v>
      </c>
      <c r="BH24" s="153"/>
      <c r="BI24" s="463">
        <f t="shared" si="37"/>
        <v>1.0825499890791032E-2</v>
      </c>
      <c r="BJ24" s="463">
        <f t="shared" si="38"/>
        <v>3.3265996250945215E-2</v>
      </c>
      <c r="BK24" s="463">
        <f t="shared" si="39"/>
        <v>1.7499999999999998E-2</v>
      </c>
      <c r="BL24" s="463">
        <f t="shared" si="40"/>
        <v>2.7715085999999993E-2</v>
      </c>
      <c r="BM24">
        <f t="shared" si="41"/>
        <v>3.2190000000000001E-3</v>
      </c>
      <c r="BN24">
        <f t="shared" si="42"/>
        <v>2.1350000000000001E-5</v>
      </c>
      <c r="BO24" s="463">
        <f t="shared" si="43"/>
        <v>9.4196513769480295E-2</v>
      </c>
      <c r="BP24" s="147">
        <f t="shared" si="60"/>
        <v>94.196513769480291</v>
      </c>
      <c r="BQ24" s="463">
        <f t="shared" si="44"/>
        <v>4.5604386312843803E-2</v>
      </c>
      <c r="BR24" s="463"/>
      <c r="BT24" s="147">
        <f t="shared" si="61"/>
        <v>45.604386312843801</v>
      </c>
      <c r="BU24" s="463">
        <f t="shared" si="45"/>
        <v>8.3651590065203438E-3</v>
      </c>
      <c r="BV24" s="463">
        <f t="shared" si="46"/>
        <v>1.1582024865447125E-2</v>
      </c>
      <c r="BW24" s="463">
        <f t="shared" si="47"/>
        <v>0</v>
      </c>
      <c r="BX24" s="463">
        <f t="shared" si="48"/>
        <v>2.2376553875369409E-2</v>
      </c>
      <c r="BY24" s="463">
        <f t="shared" si="49"/>
        <v>0.17967901234567907</v>
      </c>
      <c r="BZ24" s="147">
        <f t="shared" si="62"/>
        <v>202.05556622104848</v>
      </c>
      <c r="CA24" s="153">
        <f t="shared" si="63"/>
        <v>0.34185646630337257</v>
      </c>
      <c r="CB24" s="5">
        <f t="shared" si="64"/>
        <v>1.425</v>
      </c>
      <c r="CC24" s="153">
        <f t="shared" si="65"/>
        <v>0.80651712642023121</v>
      </c>
      <c r="CD24" s="5">
        <f t="shared" si="66"/>
        <v>80.651712642023128</v>
      </c>
      <c r="CG24" s="59">
        <f t="shared" si="50"/>
        <v>-50</v>
      </c>
      <c r="CH24">
        <f t="shared" si="51"/>
        <v>-50</v>
      </c>
    </row>
    <row r="25" spans="5:86" x14ac:dyDescent="0.25">
      <c r="E25" s="150">
        <v>20</v>
      </c>
      <c r="F25" s="191">
        <f t="shared" si="52"/>
        <v>0.1</v>
      </c>
      <c r="G25" s="191"/>
      <c r="H25" s="191">
        <f t="shared" si="0"/>
        <v>1.5</v>
      </c>
      <c r="I25" s="472">
        <f t="shared" si="1"/>
        <v>11.1</v>
      </c>
      <c r="J25" s="152">
        <f t="shared" si="2"/>
        <v>7.66</v>
      </c>
      <c r="K25" s="386">
        <f t="shared" si="3"/>
        <v>18.759999999999998</v>
      </c>
      <c r="L25" s="386"/>
      <c r="M25" s="191">
        <f t="shared" si="4"/>
        <v>0.40831556503198302</v>
      </c>
      <c r="N25" s="152">
        <f t="shared" si="5"/>
        <v>8.3620986140724956</v>
      </c>
      <c r="O25" s="152">
        <f t="shared" si="53"/>
        <v>1.5</v>
      </c>
      <c r="P25" s="191">
        <f t="shared" si="6"/>
        <v>0.55747324093816641</v>
      </c>
      <c r="Q25" s="191">
        <f t="shared" si="7"/>
        <v>15</v>
      </c>
      <c r="R25" s="191">
        <f t="shared" si="8"/>
        <v>0.61941471215351818</v>
      </c>
      <c r="S25" s="152">
        <f t="shared" si="9"/>
        <v>182.63382946872784</v>
      </c>
      <c r="T25" s="152">
        <f t="shared" si="10"/>
        <v>15</v>
      </c>
      <c r="U25" s="191">
        <f t="shared" si="11"/>
        <v>0.73546130987384228</v>
      </c>
      <c r="V25" s="191">
        <f t="shared" si="12"/>
        <v>0.59631998097879113</v>
      </c>
      <c r="W25" s="191">
        <f t="shared" si="13"/>
        <v>0.86411903248884869</v>
      </c>
      <c r="X25" s="175">
        <f t="shared" si="14"/>
        <v>350</v>
      </c>
      <c r="Y25" s="386">
        <f t="shared" si="54"/>
        <v>350</v>
      </c>
      <c r="AA25" s="191">
        <f t="shared" si="15"/>
        <v>1.4388262767793685</v>
      </c>
      <c r="AB25" s="153">
        <f t="shared" si="16"/>
        <v>1.6905269570514774</v>
      </c>
      <c r="AC25" s="153">
        <f t="shared" si="17"/>
        <v>0.21283277814833412</v>
      </c>
      <c r="AD25" s="153"/>
      <c r="AE25" s="153">
        <f t="shared" si="18"/>
        <v>0.96344647519582249</v>
      </c>
      <c r="AF25" s="317">
        <f t="shared" si="19"/>
        <v>506.31238019697281</v>
      </c>
      <c r="AG25" s="463">
        <f t="shared" si="20"/>
        <v>6.9127284595300251E-2</v>
      </c>
      <c r="AI25" s="153">
        <f t="shared" si="21"/>
        <v>1.0396037774601183</v>
      </c>
      <c r="AJ25" s="153">
        <f t="shared" si="22"/>
        <v>1.0396037774601183</v>
      </c>
      <c r="AK25" s="153">
        <f t="shared" si="23"/>
        <v>1.3464025183067456</v>
      </c>
      <c r="AM25" s="317">
        <f t="shared" si="24"/>
        <v>100</v>
      </c>
      <c r="AN25" s="147">
        <f t="shared" si="25"/>
        <v>350</v>
      </c>
      <c r="AP25">
        <f t="shared" si="26"/>
        <v>100</v>
      </c>
      <c r="AQ25" s="147">
        <f t="shared" si="27"/>
        <v>350</v>
      </c>
      <c r="AR25" s="147"/>
      <c r="AS25" s="5">
        <f t="shared" si="55"/>
        <v>2.8571428571428572</v>
      </c>
      <c r="AT25" s="5">
        <f t="shared" si="28"/>
        <v>0.84292198172442034</v>
      </c>
      <c r="AU25" s="5">
        <f t="shared" si="56"/>
        <v>2.0142208754184368</v>
      </c>
      <c r="AV25" s="5">
        <f t="shared" si="29"/>
        <v>1.2214665792612358</v>
      </c>
      <c r="AW25" s="153">
        <f t="shared" si="57"/>
        <v>0.2950226936035471</v>
      </c>
      <c r="AX25" s="153">
        <f t="shared" si="30"/>
        <v>1.7022222222222219</v>
      </c>
      <c r="AY25" s="153">
        <f t="shared" si="31"/>
        <v>0.1832242676883529</v>
      </c>
      <c r="AZ25" s="153">
        <f t="shared" si="58"/>
        <v>9.2903753618354763</v>
      </c>
      <c r="BA25" s="147">
        <f t="shared" si="32"/>
        <v>16.670079701628925</v>
      </c>
      <c r="BB25" s="147">
        <f t="shared" si="33"/>
        <v>0.97983092281470674</v>
      </c>
      <c r="BC25" s="5">
        <f t="shared" si="34"/>
        <v>0.54492894933269398</v>
      </c>
      <c r="BD25" s="147">
        <f t="shared" si="35"/>
        <v>14.197521672252504</v>
      </c>
      <c r="BE25" s="5"/>
      <c r="BF25" s="153">
        <f t="shared" si="59"/>
        <v>0.3260130114298328</v>
      </c>
      <c r="BG25" s="153">
        <f t="shared" si="36"/>
        <v>0.25197925894219653</v>
      </c>
      <c r="BH25" s="153"/>
      <c r="BI25" s="463">
        <f t="shared" si="37"/>
        <v>1.1691293198370313E-2</v>
      </c>
      <c r="BJ25" s="463">
        <f t="shared" si="38"/>
        <v>3.4130192014015688E-2</v>
      </c>
      <c r="BK25" s="463">
        <f t="shared" si="39"/>
        <v>1.7499999999999998E-2</v>
      </c>
      <c r="BL25" s="463">
        <f t="shared" si="40"/>
        <v>2.7715085999999993E-2</v>
      </c>
      <c r="BM25">
        <f t="shared" si="41"/>
        <v>3.2190000000000001E-3</v>
      </c>
      <c r="BN25">
        <f t="shared" si="42"/>
        <v>2.1350000000000001E-5</v>
      </c>
      <c r="BO25" s="463">
        <f t="shared" si="43"/>
        <v>9.6062456701122637E-2</v>
      </c>
      <c r="BP25" s="147">
        <f t="shared" si="60"/>
        <v>96.062456701122642</v>
      </c>
      <c r="BQ25" s="463">
        <f t="shared" si="44"/>
        <v>4.7901813971982551E-2</v>
      </c>
      <c r="BR25" s="463"/>
      <c r="BT25" s="147">
        <f t="shared" si="61"/>
        <v>47.901813971982548</v>
      </c>
      <c r="BU25" s="463">
        <f t="shared" si="45"/>
        <v>9.0341811078316053E-3</v>
      </c>
      <c r="BV25" s="463">
        <f t="shared" si="46"/>
        <v>1.206377391804112E-2</v>
      </c>
      <c r="BW25" s="463">
        <f t="shared" si="47"/>
        <v>0</v>
      </c>
      <c r="BX25" s="463">
        <f t="shared" si="48"/>
        <v>2.3669660142991419E-2</v>
      </c>
      <c r="BY25" s="463">
        <f t="shared" si="49"/>
        <v>0.18913580246913578</v>
      </c>
      <c r="BZ25" s="147">
        <f t="shared" si="62"/>
        <v>212.80546261212717</v>
      </c>
      <c r="CA25" s="153">
        <f t="shared" si="63"/>
        <v>0.35676973328523243</v>
      </c>
      <c r="CB25" s="5">
        <f t="shared" si="64"/>
        <v>1.5</v>
      </c>
      <c r="CC25" s="153">
        <f t="shared" si="65"/>
        <v>0.80785461606270903</v>
      </c>
      <c r="CD25" s="5">
        <f t="shared" si="66"/>
        <v>80.7854616062709</v>
      </c>
      <c r="CG25" s="59">
        <f t="shared" si="50"/>
        <v>-50</v>
      </c>
      <c r="CH25">
        <f t="shared" si="51"/>
        <v>-50</v>
      </c>
    </row>
    <row r="26" spans="5:86" x14ac:dyDescent="0.25">
      <c r="E26" s="150">
        <v>21</v>
      </c>
      <c r="F26" s="191">
        <f t="shared" si="52"/>
        <v>0.105</v>
      </c>
      <c r="G26" s="191"/>
      <c r="H26" s="191">
        <f t="shared" si="0"/>
        <v>1.575</v>
      </c>
      <c r="I26" s="472">
        <f t="shared" si="1"/>
        <v>11.1</v>
      </c>
      <c r="J26" s="152">
        <f t="shared" si="2"/>
        <v>7.66</v>
      </c>
      <c r="K26" s="386">
        <f t="shared" si="3"/>
        <v>18.759999999999998</v>
      </c>
      <c r="L26" s="386"/>
      <c r="M26" s="191">
        <f t="shared" si="4"/>
        <v>0.40831556503198302</v>
      </c>
      <c r="N26" s="152">
        <f t="shared" si="5"/>
        <v>8.3620986140724956</v>
      </c>
      <c r="O26" s="152">
        <f t="shared" si="53"/>
        <v>1.575</v>
      </c>
      <c r="P26" s="191">
        <f t="shared" si="6"/>
        <v>0.55747324093816641</v>
      </c>
      <c r="Q26" s="191">
        <f t="shared" si="7"/>
        <v>15</v>
      </c>
      <c r="R26" s="191">
        <f t="shared" si="8"/>
        <v>0.61941471215351818</v>
      </c>
      <c r="S26" s="152">
        <f t="shared" si="9"/>
        <v>172.88387239212315</v>
      </c>
      <c r="T26" s="152">
        <f t="shared" si="10"/>
        <v>15</v>
      </c>
      <c r="U26" s="191">
        <f t="shared" si="11"/>
        <v>0.77223437536753436</v>
      </c>
      <c r="V26" s="191">
        <f t="shared" si="12"/>
        <v>0.62613598002773063</v>
      </c>
      <c r="W26" s="191">
        <f t="shared" si="13"/>
        <v>0.9073249841132911</v>
      </c>
      <c r="X26" s="175">
        <f t="shared" si="14"/>
        <v>350</v>
      </c>
      <c r="Y26" s="386">
        <f t="shared" si="54"/>
        <v>350</v>
      </c>
      <c r="AA26" s="191">
        <f t="shared" si="15"/>
        <v>1.4388262767793685</v>
      </c>
      <c r="AB26" s="153">
        <f t="shared" si="16"/>
        <v>1.6905269570514774</v>
      </c>
      <c r="AC26" s="153">
        <f t="shared" si="17"/>
        <v>0.21283277814833412</v>
      </c>
      <c r="AD26" s="153"/>
      <c r="AE26" s="153">
        <f t="shared" si="18"/>
        <v>0.96344647519582249</v>
      </c>
      <c r="AF26" s="317">
        <f t="shared" si="19"/>
        <v>531.62799920682141</v>
      </c>
      <c r="AG26" s="463">
        <f t="shared" si="20"/>
        <v>6.9127284595300251E-2</v>
      </c>
      <c r="AI26" s="153">
        <f t="shared" si="21"/>
        <v>1.0652768723739452</v>
      </c>
      <c r="AJ26" s="153">
        <f t="shared" si="22"/>
        <v>1.0652768723739452</v>
      </c>
      <c r="AK26" s="153">
        <f t="shared" si="23"/>
        <v>1.3635179149159635</v>
      </c>
      <c r="AM26" s="317">
        <f t="shared" si="24"/>
        <v>105</v>
      </c>
      <c r="AN26" s="147">
        <f t="shared" si="25"/>
        <v>350</v>
      </c>
      <c r="AP26">
        <f t="shared" si="26"/>
        <v>105</v>
      </c>
      <c r="AQ26" s="147">
        <f t="shared" si="27"/>
        <v>350</v>
      </c>
      <c r="AR26" s="147"/>
      <c r="AS26" s="5">
        <f t="shared" si="55"/>
        <v>2.8571428571428572</v>
      </c>
      <c r="AT26" s="5">
        <f t="shared" si="28"/>
        <v>0.86373800462752315</v>
      </c>
      <c r="AU26" s="5">
        <f t="shared" si="56"/>
        <v>1.9934048525153341</v>
      </c>
      <c r="AV26" s="5">
        <f t="shared" si="29"/>
        <v>1.2516307899954968</v>
      </c>
      <c r="AW26" s="153">
        <f t="shared" si="57"/>
        <v>0.30230830161963307</v>
      </c>
      <c r="AX26" s="153">
        <f t="shared" si="30"/>
        <v>1.7873333333333332</v>
      </c>
      <c r="AY26" s="153">
        <f t="shared" si="31"/>
        <v>0.1858087075829758</v>
      </c>
      <c r="AZ26" s="153">
        <f t="shared" si="58"/>
        <v>9.6192119119884172</v>
      </c>
      <c r="BA26" s="147">
        <f t="shared" si="32"/>
        <v>16.670079701628925</v>
      </c>
      <c r="BB26" s="147">
        <f t="shared" si="33"/>
        <v>1.0645135924032141</v>
      </c>
      <c r="BC26" s="5">
        <f t="shared" si="34"/>
        <v>0.5662622338936506</v>
      </c>
      <c r="BD26" s="147">
        <f t="shared" si="35"/>
        <v>14.758224782562797</v>
      </c>
      <c r="BE26" s="5"/>
      <c r="BF26" s="153">
        <f t="shared" si="59"/>
        <v>0.33816363855361758</v>
      </c>
      <c r="BG26" s="153">
        <f t="shared" si="36"/>
        <v>0.25686424356965776</v>
      </c>
      <c r="BH26" s="153"/>
      <c r="BI26" s="463">
        <f t="shared" si="37"/>
        <v>1.2579011108380389E-2</v>
      </c>
      <c r="BJ26" s="463">
        <f t="shared" si="38"/>
        <v>3.4973039720036618E-2</v>
      </c>
      <c r="BK26" s="463">
        <f t="shared" si="39"/>
        <v>1.7499999999999998E-2</v>
      </c>
      <c r="BL26" s="463">
        <f t="shared" si="40"/>
        <v>2.7715085999999993E-2</v>
      </c>
      <c r="BM26">
        <f t="shared" si="41"/>
        <v>3.2190000000000001E-3</v>
      </c>
      <c r="BN26">
        <f t="shared" si="42"/>
        <v>2.1350000000000001E-5</v>
      </c>
      <c r="BO26" s="463">
        <f t="shared" si="43"/>
        <v>9.7932938790396232E-2</v>
      </c>
      <c r="BP26" s="147">
        <f t="shared" si="60"/>
        <v>97.932938790396236</v>
      </c>
      <c r="BQ26" s="463">
        <f t="shared" si="44"/>
        <v>5.0191627814640795E-2</v>
      </c>
      <c r="BR26" s="463"/>
      <c r="BT26" s="147">
        <f t="shared" si="61"/>
        <v>50.191627814640796</v>
      </c>
      <c r="BU26" s="463">
        <f t="shared" si="45"/>
        <v>9.7201449473848459E-3</v>
      </c>
      <c r="BV26" s="463">
        <f t="shared" si="46"/>
        <v>1.2536055528676369E-2</v>
      </c>
      <c r="BW26" s="463">
        <f t="shared" si="47"/>
        <v>0</v>
      </c>
      <c r="BX26" s="463">
        <f t="shared" si="48"/>
        <v>2.4971406022677351E-2</v>
      </c>
      <c r="BY26" s="463">
        <f t="shared" si="49"/>
        <v>0.1985925925925926</v>
      </c>
      <c r="BZ26" s="147">
        <f t="shared" si="62"/>
        <v>223.56399861526995</v>
      </c>
      <c r="CA26" s="153">
        <f t="shared" si="63"/>
        <v>0.37168856522030702</v>
      </c>
      <c r="CB26" s="5">
        <f t="shared" si="64"/>
        <v>1.575</v>
      </c>
      <c r="CC26" s="153">
        <f t="shared" si="65"/>
        <v>0.80906624107167191</v>
      </c>
      <c r="CD26" s="5">
        <f t="shared" si="66"/>
        <v>80.90662410716719</v>
      </c>
      <c r="CG26" s="59">
        <f t="shared" si="50"/>
        <v>-50</v>
      </c>
      <c r="CH26">
        <f t="shared" si="51"/>
        <v>-50</v>
      </c>
    </row>
    <row r="27" spans="5:86" x14ac:dyDescent="0.25">
      <c r="E27" s="150">
        <v>22</v>
      </c>
      <c r="F27" s="191">
        <f t="shared" si="52"/>
        <v>0.11</v>
      </c>
      <c r="G27" s="191"/>
      <c r="H27" s="191">
        <f t="shared" si="0"/>
        <v>1.65</v>
      </c>
      <c r="I27" s="472">
        <f t="shared" si="1"/>
        <v>11.1</v>
      </c>
      <c r="J27" s="152">
        <f t="shared" si="2"/>
        <v>7.66</v>
      </c>
      <c r="K27" s="386">
        <f t="shared" si="3"/>
        <v>18.759999999999998</v>
      </c>
      <c r="L27" s="386"/>
      <c r="M27" s="191">
        <f t="shared" si="4"/>
        <v>0.40831556503198302</v>
      </c>
      <c r="N27" s="152">
        <f t="shared" si="5"/>
        <v>8.3620986140724956</v>
      </c>
      <c r="O27" s="152">
        <f t="shared" si="53"/>
        <v>1.65</v>
      </c>
      <c r="P27" s="191">
        <f t="shared" si="6"/>
        <v>0.55747324093816641</v>
      </c>
      <c r="Q27" s="191">
        <f t="shared" si="7"/>
        <v>15</v>
      </c>
      <c r="R27" s="191">
        <f t="shared" si="8"/>
        <v>0.61941471215351818</v>
      </c>
      <c r="S27" s="152">
        <f t="shared" si="9"/>
        <v>164.02050005101697</v>
      </c>
      <c r="T27" s="152">
        <f t="shared" si="10"/>
        <v>15</v>
      </c>
      <c r="U27" s="191">
        <f t="shared" si="11"/>
        <v>0.80900744086122645</v>
      </c>
      <c r="V27" s="191">
        <f t="shared" si="12"/>
        <v>0.65595197907667013</v>
      </c>
      <c r="W27" s="191">
        <f t="shared" si="13"/>
        <v>0.9505309357377334</v>
      </c>
      <c r="X27" s="175">
        <f t="shared" si="14"/>
        <v>350</v>
      </c>
      <c r="Y27" s="386">
        <f t="shared" si="54"/>
        <v>350</v>
      </c>
      <c r="AA27" s="191">
        <f t="shared" si="15"/>
        <v>1.4388262767793685</v>
      </c>
      <c r="AB27" s="153">
        <f t="shared" si="16"/>
        <v>1.6905269570514774</v>
      </c>
      <c r="AC27" s="153">
        <f t="shared" si="17"/>
        <v>0.21283277814833412</v>
      </c>
      <c r="AD27" s="153"/>
      <c r="AE27" s="153">
        <f t="shared" si="18"/>
        <v>0.96344647519582249</v>
      </c>
      <c r="AF27" s="317">
        <f t="shared" si="19"/>
        <v>556.94361821666996</v>
      </c>
      <c r="AG27" s="463">
        <f t="shared" si="20"/>
        <v>6.9127284595300251E-2</v>
      </c>
      <c r="AI27" s="153">
        <f t="shared" si="21"/>
        <v>1.0903456403912855</v>
      </c>
      <c r="AJ27" s="153">
        <f t="shared" si="22"/>
        <v>1.0903456403912855</v>
      </c>
      <c r="AK27" s="153">
        <f t="shared" si="23"/>
        <v>1.3802304269275236</v>
      </c>
      <c r="AM27" s="317">
        <f t="shared" si="24"/>
        <v>110</v>
      </c>
      <c r="AN27" s="147">
        <f t="shared" si="25"/>
        <v>350</v>
      </c>
      <c r="AP27">
        <f t="shared" si="26"/>
        <v>110</v>
      </c>
      <c r="AQ27" s="147">
        <f t="shared" si="27"/>
        <v>350</v>
      </c>
      <c r="AR27" s="147"/>
      <c r="AS27" s="5">
        <f t="shared" si="55"/>
        <v>2.8571428571428572</v>
      </c>
      <c r="AT27" s="5">
        <f t="shared" si="28"/>
        <v>0.88406403274969103</v>
      </c>
      <c r="AU27" s="5">
        <f t="shared" si="56"/>
        <v>1.9730788243931663</v>
      </c>
      <c r="AV27" s="5">
        <f t="shared" si="29"/>
        <v>1.281084956073312</v>
      </c>
      <c r="AW27" s="153">
        <f t="shared" si="57"/>
        <v>0.30942241146239186</v>
      </c>
      <c r="AX27" s="153">
        <f t="shared" si="30"/>
        <v>1.8724444444444448</v>
      </c>
      <c r="AY27" s="153">
        <f t="shared" si="31"/>
        <v>0.18824206575347702</v>
      </c>
      <c r="AZ27" s="153">
        <f t="shared" si="58"/>
        <v>9.947003274478563</v>
      </c>
      <c r="BA27" s="147">
        <f t="shared" si="32"/>
        <v>16.670079701628925</v>
      </c>
      <c r="BB27" s="147">
        <f t="shared" si="33"/>
        <v>1.152595416605795</v>
      </c>
      <c r="BC27" s="5">
        <f t="shared" si="34"/>
        <v>0.58717818002664357</v>
      </c>
      <c r="BD27" s="147">
        <f t="shared" si="35"/>
        <v>15.308399582531278</v>
      </c>
      <c r="BE27" s="5"/>
      <c r="BF27" s="153">
        <f t="shared" si="59"/>
        <v>0.35017041212818506</v>
      </c>
      <c r="BG27" s="153">
        <f t="shared" si="36"/>
        <v>0.26156510708461184</v>
      </c>
      <c r="BH27" s="153"/>
      <c r="BI27" s="463">
        <f t="shared" si="37"/>
        <v>1.3488124928302528E-2</v>
      </c>
      <c r="BJ27" s="463">
        <f t="shared" si="38"/>
        <v>3.5796047374045896E-2</v>
      </c>
      <c r="BK27" s="463">
        <f t="shared" si="39"/>
        <v>1.7499999999999998E-2</v>
      </c>
      <c r="BL27" s="463">
        <f t="shared" si="40"/>
        <v>2.7715085999999993E-2</v>
      </c>
      <c r="BM27">
        <f t="shared" si="41"/>
        <v>3.2190000000000001E-3</v>
      </c>
      <c r="BN27">
        <f t="shared" si="42"/>
        <v>2.1350000000000001E-5</v>
      </c>
      <c r="BO27" s="463">
        <f t="shared" si="43"/>
        <v>9.980888547281036E-2</v>
      </c>
      <c r="BP27" s="147">
        <f t="shared" si="60"/>
        <v>99.80888547281036</v>
      </c>
      <c r="BQ27" s="463">
        <f t="shared" si="44"/>
        <v>5.2474011441311384E-2</v>
      </c>
      <c r="BR27" s="463"/>
      <c r="BT27" s="147">
        <f t="shared" si="61"/>
        <v>52.474011441311383</v>
      </c>
      <c r="BU27" s="463">
        <f t="shared" si="45"/>
        <v>1.0422641990051953E-2</v>
      </c>
      <c r="BV27" s="463">
        <f t="shared" si="46"/>
        <v>1.2999097996395047E-2</v>
      </c>
      <c r="BW27" s="463">
        <f t="shared" si="47"/>
        <v>0</v>
      </c>
      <c r="BX27" s="463">
        <f t="shared" si="48"/>
        <v>2.6281593637028321E-2</v>
      </c>
      <c r="BY27" s="463">
        <f t="shared" si="49"/>
        <v>0.20804938271604947</v>
      </c>
      <c r="BZ27" s="147">
        <f t="shared" si="62"/>
        <v>234.33097635307777</v>
      </c>
      <c r="CA27" s="153">
        <f t="shared" si="63"/>
        <v>0.38661387326719954</v>
      </c>
      <c r="CB27" s="5">
        <f t="shared" si="64"/>
        <v>1.65</v>
      </c>
      <c r="CC27" s="153">
        <f t="shared" si="65"/>
        <v>0.81016830026450648</v>
      </c>
      <c r="CD27" s="5">
        <f t="shared" si="66"/>
        <v>81.016830026450648</v>
      </c>
      <c r="CG27" s="59">
        <f t="shared" si="50"/>
        <v>-50</v>
      </c>
      <c r="CH27">
        <f t="shared" si="51"/>
        <v>-50</v>
      </c>
    </row>
    <row r="28" spans="5:86" x14ac:dyDescent="0.25">
      <c r="E28" s="150">
        <v>23</v>
      </c>
      <c r="F28" s="191">
        <f t="shared" si="52"/>
        <v>0.115</v>
      </c>
      <c r="G28" s="191"/>
      <c r="H28" s="191">
        <f t="shared" si="0"/>
        <v>1.7250000000000001</v>
      </c>
      <c r="I28" s="472">
        <f t="shared" si="1"/>
        <v>11.1</v>
      </c>
      <c r="J28" s="152">
        <f t="shared" si="2"/>
        <v>7.66</v>
      </c>
      <c r="K28" s="386">
        <f t="shared" si="3"/>
        <v>18.759999999999998</v>
      </c>
      <c r="L28" s="386"/>
      <c r="M28" s="191">
        <f t="shared" si="4"/>
        <v>0.40831556503198302</v>
      </c>
      <c r="N28" s="152">
        <f t="shared" si="5"/>
        <v>8.3620986140724956</v>
      </c>
      <c r="O28" s="152">
        <f t="shared" si="53"/>
        <v>1.7250000000000001</v>
      </c>
      <c r="P28" s="191">
        <f t="shared" si="6"/>
        <v>0.55747324093816641</v>
      </c>
      <c r="Q28" s="191">
        <f t="shared" si="7"/>
        <v>15</v>
      </c>
      <c r="R28" s="191">
        <f t="shared" si="8"/>
        <v>0.61941471215351818</v>
      </c>
      <c r="S28" s="152">
        <f t="shared" si="9"/>
        <v>155.92807485583722</v>
      </c>
      <c r="T28" s="152">
        <f t="shared" si="10"/>
        <v>15</v>
      </c>
      <c r="U28" s="191">
        <f t="shared" si="11"/>
        <v>0.84578050635491875</v>
      </c>
      <c r="V28" s="191">
        <f t="shared" si="12"/>
        <v>0.68576797812560986</v>
      </c>
      <c r="W28" s="191">
        <f t="shared" si="13"/>
        <v>0.99373688736217602</v>
      </c>
      <c r="X28" s="175">
        <f t="shared" si="14"/>
        <v>350</v>
      </c>
      <c r="Y28" s="386">
        <f t="shared" si="54"/>
        <v>350</v>
      </c>
      <c r="AA28" s="191">
        <f t="shared" si="15"/>
        <v>1.4388262767793685</v>
      </c>
      <c r="AB28" s="153">
        <f t="shared" si="16"/>
        <v>1.6905269570514774</v>
      </c>
      <c r="AC28" s="153">
        <f t="shared" si="17"/>
        <v>0.21283277814833412</v>
      </c>
      <c r="AD28" s="153"/>
      <c r="AE28" s="153">
        <f t="shared" si="18"/>
        <v>0.96344647519582249</v>
      </c>
      <c r="AF28" s="317">
        <f t="shared" si="19"/>
        <v>582.25923722651874</v>
      </c>
      <c r="AG28" s="463">
        <f t="shared" si="20"/>
        <v>6.9127284595300251E-2</v>
      </c>
      <c r="AI28" s="153">
        <f t="shared" si="21"/>
        <v>1.1148508493183067</v>
      </c>
      <c r="AJ28" s="153">
        <f t="shared" si="22"/>
        <v>1.1148508493183067</v>
      </c>
      <c r="AK28" s="153">
        <f t="shared" si="23"/>
        <v>1.3965672328788712</v>
      </c>
      <c r="AM28" s="317">
        <f t="shared" si="24"/>
        <v>115</v>
      </c>
      <c r="AN28" s="147">
        <f t="shared" si="25"/>
        <v>350</v>
      </c>
      <c r="AP28">
        <f t="shared" si="26"/>
        <v>115</v>
      </c>
      <c r="AQ28" s="147">
        <f t="shared" si="27"/>
        <v>350</v>
      </c>
      <c r="AR28" s="147"/>
      <c r="AS28" s="5">
        <f t="shared" si="55"/>
        <v>2.8571428571428572</v>
      </c>
      <c r="AT28" s="5">
        <f t="shared" si="28"/>
        <v>0.90393312106889734</v>
      </c>
      <c r="AU28" s="5">
        <f t="shared" si="56"/>
        <v>1.9532097360739598</v>
      </c>
      <c r="AV28" s="5">
        <f t="shared" si="29"/>
        <v>1.3098769770058434</v>
      </c>
      <c r="AW28" s="153">
        <f t="shared" si="57"/>
        <v>0.31637659237411409</v>
      </c>
      <c r="AX28" s="153">
        <f t="shared" si="30"/>
        <v>1.9575555555555562</v>
      </c>
      <c r="AY28" s="153">
        <f t="shared" si="31"/>
        <v>0.19053453415139848</v>
      </c>
      <c r="AZ28" s="153">
        <f t="shared" si="58"/>
        <v>10.274019690310237</v>
      </c>
      <c r="BA28" s="147">
        <f t="shared" si="32"/>
        <v>16.670079701628925</v>
      </c>
      <c r="BB28" s="147">
        <f t="shared" si="33"/>
        <v>1.2440763954224496</v>
      </c>
      <c r="BC28" s="5">
        <f t="shared" si="34"/>
        <v>0.60768638814085807</v>
      </c>
      <c r="BD28" s="147">
        <f t="shared" si="35"/>
        <v>15.848288264298759</v>
      </c>
      <c r="BE28" s="5"/>
      <c r="BF28" s="153">
        <f t="shared" si="59"/>
        <v>0.36204146508981161</v>
      </c>
      <c r="BG28" s="153">
        <f t="shared" si="36"/>
        <v>0.26609370982365999</v>
      </c>
      <c r="BH28" s="153"/>
      <c r="BI28" s="463">
        <f t="shared" si="37"/>
        <v>1.44181424688815E-2</v>
      </c>
      <c r="BJ28" s="463">
        <f t="shared" si="38"/>
        <v>3.6600553383120009E-2</v>
      </c>
      <c r="BK28" s="463">
        <f t="shared" si="39"/>
        <v>1.7499999999999998E-2</v>
      </c>
      <c r="BL28" s="463">
        <f t="shared" si="40"/>
        <v>2.7715085999999993E-2</v>
      </c>
      <c r="BM28">
        <f t="shared" si="41"/>
        <v>3.2190000000000001E-3</v>
      </c>
      <c r="BN28">
        <f t="shared" si="42"/>
        <v>2.1350000000000001E-5</v>
      </c>
      <c r="BO28" s="463">
        <f t="shared" si="43"/>
        <v>0.1016910943739598</v>
      </c>
      <c r="BP28" s="147">
        <f t="shared" si="60"/>
        <v>101.6910943739598</v>
      </c>
      <c r="BQ28" s="463">
        <f t="shared" si="44"/>
        <v>5.4749135775899342E-2</v>
      </c>
      <c r="BR28" s="463"/>
      <c r="BT28" s="147">
        <f t="shared" si="61"/>
        <v>54.74913577589934</v>
      </c>
      <c r="BU28" s="463">
        <f t="shared" si="45"/>
        <v>1.1141291907772069E-2</v>
      </c>
      <c r="BV28" s="463">
        <f t="shared" si="46"/>
        <v>1.3453113857466451E-2</v>
      </c>
      <c r="BW28" s="463">
        <f t="shared" si="47"/>
        <v>0</v>
      </c>
      <c r="BX28" s="463">
        <f t="shared" si="48"/>
        <v>2.7600038981695319E-2</v>
      </c>
      <c r="BY28" s="463">
        <f t="shared" si="49"/>
        <v>0.21750617283950624</v>
      </c>
      <c r="BZ28" s="147">
        <f t="shared" si="62"/>
        <v>245.10621182120158</v>
      </c>
      <c r="CA28" s="153">
        <f t="shared" si="63"/>
        <v>0.40154644197106071</v>
      </c>
      <c r="CB28" s="5">
        <f t="shared" si="64"/>
        <v>1.7250000000000001</v>
      </c>
      <c r="CC28" s="153">
        <f t="shared" si="65"/>
        <v>0.81117438394673669</v>
      </c>
      <c r="CD28" s="5">
        <f t="shared" si="66"/>
        <v>81.11743839467367</v>
      </c>
      <c r="CG28" s="59">
        <f t="shared" si="50"/>
        <v>-50</v>
      </c>
      <c r="CH28">
        <f t="shared" si="51"/>
        <v>-50</v>
      </c>
    </row>
    <row r="29" spans="5:86" x14ac:dyDescent="0.25">
      <c r="E29" s="150">
        <v>24</v>
      </c>
      <c r="F29" s="191">
        <f t="shared" si="52"/>
        <v>0.12</v>
      </c>
      <c r="G29" s="191"/>
      <c r="H29" s="191">
        <f t="shared" si="0"/>
        <v>1.7999999999999998</v>
      </c>
      <c r="I29" s="472">
        <f t="shared" si="1"/>
        <v>11.1</v>
      </c>
      <c r="J29" s="152">
        <f t="shared" si="2"/>
        <v>7.66</v>
      </c>
      <c r="K29" s="386">
        <f t="shared" si="3"/>
        <v>18.759999999999998</v>
      </c>
      <c r="L29" s="386"/>
      <c r="M29" s="191">
        <f t="shared" si="4"/>
        <v>0.40831556503198302</v>
      </c>
      <c r="N29" s="152">
        <f t="shared" si="5"/>
        <v>8.3620986140724956</v>
      </c>
      <c r="O29" s="152">
        <f t="shared" si="53"/>
        <v>1.7999999999999998</v>
      </c>
      <c r="P29" s="191">
        <f t="shared" si="6"/>
        <v>0.55747324093816641</v>
      </c>
      <c r="Q29" s="191">
        <f t="shared" si="7"/>
        <v>15</v>
      </c>
      <c r="R29" s="191">
        <f t="shared" si="8"/>
        <v>0.61941471215351818</v>
      </c>
      <c r="S29" s="152">
        <f t="shared" si="9"/>
        <v>148.51023223755143</v>
      </c>
      <c r="T29" s="152">
        <f t="shared" si="10"/>
        <v>15</v>
      </c>
      <c r="U29" s="191">
        <f t="shared" si="11"/>
        <v>0.88255357184861072</v>
      </c>
      <c r="V29" s="191">
        <f t="shared" si="12"/>
        <v>0.71558397717454925</v>
      </c>
      <c r="W29" s="191">
        <f t="shared" si="13"/>
        <v>1.0369428389866182</v>
      </c>
      <c r="X29" s="175">
        <f t="shared" si="14"/>
        <v>350</v>
      </c>
      <c r="Y29" s="386">
        <f t="shared" si="54"/>
        <v>350</v>
      </c>
      <c r="AA29" s="191">
        <f t="shared" si="15"/>
        <v>1.4388262767793685</v>
      </c>
      <c r="AB29" s="153">
        <f t="shared" si="16"/>
        <v>1.6905269570514774</v>
      </c>
      <c r="AC29" s="153">
        <f t="shared" si="17"/>
        <v>0.21283277814833412</v>
      </c>
      <c r="AD29" s="153"/>
      <c r="AE29" s="153">
        <f t="shared" si="18"/>
        <v>0.96344647519582249</v>
      </c>
      <c r="AF29" s="317">
        <f t="shared" si="19"/>
        <v>607.57485623636728</v>
      </c>
      <c r="AG29" s="463">
        <f t="shared" si="20"/>
        <v>6.9127284595300251E-2</v>
      </c>
      <c r="AI29" s="153">
        <f t="shared" si="21"/>
        <v>1.1388288795649752</v>
      </c>
      <c r="AJ29" s="153">
        <f t="shared" si="22"/>
        <v>1.1388288795649752</v>
      </c>
      <c r="AK29" s="153">
        <f t="shared" si="23"/>
        <v>1.4125525863766502</v>
      </c>
      <c r="AM29" s="317">
        <f t="shared" si="24"/>
        <v>120</v>
      </c>
      <c r="AN29" s="147">
        <f t="shared" si="25"/>
        <v>350</v>
      </c>
      <c r="AP29">
        <f t="shared" si="26"/>
        <v>120</v>
      </c>
      <c r="AQ29" s="147">
        <f t="shared" si="27"/>
        <v>350</v>
      </c>
      <c r="AR29" s="147"/>
      <c r="AS29" s="5">
        <f t="shared" si="55"/>
        <v>2.8571428571428572</v>
      </c>
      <c r="AT29" s="5">
        <f t="shared" si="28"/>
        <v>0.9233747672148449</v>
      </c>
      <c r="AU29" s="5">
        <f t="shared" si="56"/>
        <v>1.9337680899280123</v>
      </c>
      <c r="AV29" s="5">
        <f t="shared" si="29"/>
        <v>1.3380495974001014</v>
      </c>
      <c r="AW29" s="153">
        <f t="shared" si="57"/>
        <v>0.32318116852519568</v>
      </c>
      <c r="AX29" s="153">
        <f t="shared" si="30"/>
        <v>2.0426666666666664</v>
      </c>
      <c r="AY29" s="153">
        <f t="shared" si="31"/>
        <v>0.19269520787923178</v>
      </c>
      <c r="AZ29" s="153">
        <f t="shared" si="58"/>
        <v>10.600505789157303</v>
      </c>
      <c r="BA29" s="147">
        <f t="shared" si="32"/>
        <v>16.670079701628925</v>
      </c>
      <c r="BB29" s="147">
        <f t="shared" si="33"/>
        <v>1.3389565288531773</v>
      </c>
      <c r="BC29" s="5">
        <f t="shared" si="34"/>
        <v>0.62779582499083264</v>
      </c>
      <c r="BD29" s="147">
        <f t="shared" si="35"/>
        <v>16.378117034627454</v>
      </c>
      <c r="BE29" s="5"/>
      <c r="BF29" s="153">
        <f t="shared" si="59"/>
        <v>0.37378413832256835</v>
      </c>
      <c r="BG29" s="153">
        <f t="shared" si="36"/>
        <v>0.27046063649919283</v>
      </c>
      <c r="BH29" s="153"/>
      <c r="BI29" s="463">
        <f t="shared" si="37"/>
        <v>1.536860402676994E-2</v>
      </c>
      <c r="BJ29" s="463">
        <f t="shared" si="38"/>
        <v>3.7387752116118132E-2</v>
      </c>
      <c r="BK29" s="463">
        <f t="shared" si="39"/>
        <v>1.7499999999999998E-2</v>
      </c>
      <c r="BL29" s="463">
        <f t="shared" si="40"/>
        <v>2.7715085999999993E-2</v>
      </c>
      <c r="BM29">
        <f t="shared" si="41"/>
        <v>3.2190000000000001E-3</v>
      </c>
      <c r="BN29">
        <f t="shared" si="42"/>
        <v>2.1350000000000001E-5</v>
      </c>
      <c r="BO29" s="463">
        <f t="shared" si="43"/>
        <v>0.10358025627410877</v>
      </c>
      <c r="BP29" s="147">
        <f t="shared" si="60"/>
        <v>103.58025627410878</v>
      </c>
      <c r="BQ29" s="463">
        <f t="shared" si="44"/>
        <v>5.7017160460839815E-2</v>
      </c>
      <c r="BR29" s="463"/>
      <c r="BT29" s="147">
        <f t="shared" si="61"/>
        <v>57.017160460839818</v>
      </c>
      <c r="BU29" s="463">
        <f t="shared" si="45"/>
        <v>1.1875739475231318E-2</v>
      </c>
      <c r="BV29" s="463">
        <f t="shared" si="46"/>
        <v>1.3898301620154218E-2</v>
      </c>
      <c r="BW29" s="463">
        <f t="shared" si="47"/>
        <v>0</v>
      </c>
      <c r="BX29" s="463">
        <f t="shared" si="48"/>
        <v>2.8926570395962536E-2</v>
      </c>
      <c r="BY29" s="463">
        <f t="shared" si="49"/>
        <v>0.22696296296296295</v>
      </c>
      <c r="BZ29" s="147">
        <f t="shared" si="62"/>
        <v>255.88953335892549</v>
      </c>
      <c r="CA29" s="153">
        <f t="shared" si="63"/>
        <v>0.41648695009387404</v>
      </c>
      <c r="CB29" s="5">
        <f t="shared" si="64"/>
        <v>1.7999999999999998</v>
      </c>
      <c r="CC29" s="153">
        <f t="shared" si="65"/>
        <v>0.81209591598261621</v>
      </c>
      <c r="CD29" s="5">
        <f t="shared" si="66"/>
        <v>81.209591598261625</v>
      </c>
      <c r="CG29" s="59">
        <f t="shared" si="50"/>
        <v>-50</v>
      </c>
      <c r="CH29">
        <f t="shared" si="51"/>
        <v>-50</v>
      </c>
    </row>
    <row r="30" spans="5:86" x14ac:dyDescent="0.25">
      <c r="E30" s="150">
        <v>25</v>
      </c>
      <c r="F30" s="191">
        <f t="shared" si="52"/>
        <v>0.125</v>
      </c>
      <c r="G30" s="191"/>
      <c r="H30" s="191">
        <f t="shared" si="0"/>
        <v>1.875</v>
      </c>
      <c r="I30" s="472">
        <f t="shared" si="1"/>
        <v>11.1</v>
      </c>
      <c r="J30" s="152">
        <f t="shared" si="2"/>
        <v>7.66</v>
      </c>
      <c r="K30" s="386">
        <f t="shared" si="3"/>
        <v>18.759999999999998</v>
      </c>
      <c r="L30" s="386"/>
      <c r="M30" s="191">
        <f t="shared" si="4"/>
        <v>0.40831556503198302</v>
      </c>
      <c r="N30" s="152">
        <f t="shared" si="5"/>
        <v>8.3620986140724956</v>
      </c>
      <c r="O30" s="152">
        <f t="shared" si="53"/>
        <v>1.875</v>
      </c>
      <c r="P30" s="191">
        <f t="shared" si="6"/>
        <v>0.55747324093816641</v>
      </c>
      <c r="Q30" s="191">
        <f t="shared" si="7"/>
        <v>15</v>
      </c>
      <c r="R30" s="191">
        <f t="shared" si="8"/>
        <v>0.61941471215351818</v>
      </c>
      <c r="S30" s="152">
        <f t="shared" si="9"/>
        <v>141.68602604606158</v>
      </c>
      <c r="T30" s="152">
        <f t="shared" si="10"/>
        <v>15</v>
      </c>
      <c r="U30" s="191">
        <f t="shared" si="11"/>
        <v>0.91932663734230291</v>
      </c>
      <c r="V30" s="191">
        <f t="shared" si="12"/>
        <v>0.74539997622348886</v>
      </c>
      <c r="W30" s="191">
        <f t="shared" si="13"/>
        <v>1.0801487906110609</v>
      </c>
      <c r="X30" s="175">
        <f t="shared" si="14"/>
        <v>350</v>
      </c>
      <c r="Y30" s="386">
        <f t="shared" si="54"/>
        <v>350</v>
      </c>
      <c r="AA30" s="191">
        <f t="shared" si="15"/>
        <v>1.4388262767793685</v>
      </c>
      <c r="AB30" s="153">
        <f t="shared" si="16"/>
        <v>1.6905269570514774</v>
      </c>
      <c r="AC30" s="153">
        <f t="shared" si="17"/>
        <v>0.21283277814833412</v>
      </c>
      <c r="AD30" s="153"/>
      <c r="AE30" s="153">
        <f t="shared" si="18"/>
        <v>0.96344647519582249</v>
      </c>
      <c r="AF30" s="317">
        <f t="shared" si="19"/>
        <v>632.89047524621594</v>
      </c>
      <c r="AG30" s="463">
        <f t="shared" si="20"/>
        <v>6.9127284595300251E-2</v>
      </c>
      <c r="AI30" s="153">
        <f t="shared" si="21"/>
        <v>1.1623123580331942</v>
      </c>
      <c r="AJ30" s="153">
        <f t="shared" si="22"/>
        <v>1.1623123580331942</v>
      </c>
      <c r="AK30" s="153">
        <f t="shared" si="23"/>
        <v>1.4282082386887962</v>
      </c>
      <c r="AM30" s="317">
        <f t="shared" si="24"/>
        <v>125</v>
      </c>
      <c r="AN30" s="147">
        <f t="shared" si="25"/>
        <v>350</v>
      </c>
      <c r="AP30">
        <f t="shared" si="26"/>
        <v>125</v>
      </c>
      <c r="AQ30" s="147">
        <f t="shared" si="27"/>
        <v>350</v>
      </c>
      <c r="AR30" s="147"/>
      <c r="AS30" s="5">
        <f t="shared" si="55"/>
        <v>2.8571428571428572</v>
      </c>
      <c r="AT30" s="5">
        <f t="shared" si="28"/>
        <v>0.94241542543231971</v>
      </c>
      <c r="AU30" s="5">
        <f t="shared" si="56"/>
        <v>1.9147274317105376</v>
      </c>
      <c r="AV30" s="5">
        <f t="shared" si="29"/>
        <v>1.3656411517361291</v>
      </c>
      <c r="AW30" s="153">
        <f t="shared" si="57"/>
        <v>0.32984539890131187</v>
      </c>
      <c r="AX30" s="153">
        <f t="shared" si="30"/>
        <v>2.1277777777777778</v>
      </c>
      <c r="AY30" s="153">
        <f t="shared" si="31"/>
        <v>0.1947322436624527</v>
      </c>
      <c r="AZ30" s="153">
        <f t="shared" si="58"/>
        <v>10.92668444505806</v>
      </c>
      <c r="BA30" s="147">
        <f t="shared" si="32"/>
        <v>16.670079701628925</v>
      </c>
      <c r="BB30" s="147">
        <f t="shared" si="33"/>
        <v>1.4372358168979791</v>
      </c>
      <c r="BC30" s="5">
        <f t="shared" si="34"/>
        <v>0.64751489046835264</v>
      </c>
      <c r="BD30" s="147">
        <f t="shared" si="35"/>
        <v>16.898097799878325</v>
      </c>
      <c r="BE30" s="5"/>
      <c r="BF30" s="153">
        <f t="shared" si="59"/>
        <v>0.38540508748202607</v>
      </c>
      <c r="BG30" s="153">
        <f t="shared" si="36"/>
        <v>0.2746753801104132</v>
      </c>
      <c r="BH30" s="153"/>
      <c r="BI30" s="463">
        <f t="shared" si="37"/>
        <v>1.6339078960273097E-2</v>
      </c>
      <c r="BJ30" s="463">
        <f t="shared" si="38"/>
        <v>3.8158714714229762E-2</v>
      </c>
      <c r="BK30" s="463">
        <f t="shared" si="39"/>
        <v>1.7499999999999998E-2</v>
      </c>
      <c r="BL30" s="463">
        <f t="shared" si="40"/>
        <v>2.7715085999999993E-2</v>
      </c>
      <c r="BM30">
        <f t="shared" si="41"/>
        <v>3.2190000000000001E-3</v>
      </c>
      <c r="BN30">
        <f t="shared" si="42"/>
        <v>2.1350000000000001E-5</v>
      </c>
      <c r="BO30" s="463">
        <f t="shared" si="43"/>
        <v>0.10547697200204863</v>
      </c>
      <c r="BP30" s="147">
        <f t="shared" si="60"/>
        <v>105.47697200204863</v>
      </c>
      <c r="BQ30" s="463">
        <f t="shared" si="44"/>
        <v>5.9278235046248635E-2</v>
      </c>
      <c r="BR30" s="463"/>
      <c r="BT30" s="147">
        <f t="shared" si="61"/>
        <v>59.278235046248632</v>
      </c>
      <c r="BU30" s="463">
        <f t="shared" si="45"/>
        <v>1.2625651923847394E-2</v>
      </c>
      <c r="BV30" s="463">
        <f t="shared" si="46"/>
        <v>1.4334847243371996E-2</v>
      </c>
      <c r="BW30" s="463">
        <f t="shared" si="47"/>
        <v>0</v>
      </c>
      <c r="BX30" s="463">
        <f t="shared" si="48"/>
        <v>3.0261027259303613E-2</v>
      </c>
      <c r="BY30" s="463">
        <f t="shared" si="49"/>
        <v>0.2364197530864198</v>
      </c>
      <c r="BZ30" s="147">
        <f t="shared" si="62"/>
        <v>266.68078034572341</v>
      </c>
      <c r="CA30" s="153">
        <f t="shared" si="63"/>
        <v>0.43143598739402067</v>
      </c>
      <c r="CB30" s="5">
        <f t="shared" si="64"/>
        <v>1.875</v>
      </c>
      <c r="CC30" s="153">
        <f t="shared" si="65"/>
        <v>0.81294257037608553</v>
      </c>
      <c r="CD30" s="5">
        <f t="shared" si="66"/>
        <v>81.29425703760856</v>
      </c>
      <c r="CG30" s="59">
        <f t="shared" si="50"/>
        <v>-50</v>
      </c>
      <c r="CH30">
        <f t="shared" si="51"/>
        <v>-50</v>
      </c>
    </row>
    <row r="31" spans="5:86" x14ac:dyDescent="0.25">
      <c r="E31" s="150">
        <v>26</v>
      </c>
      <c r="F31" s="191">
        <f t="shared" si="52"/>
        <v>0.13</v>
      </c>
      <c r="G31" s="191"/>
      <c r="H31" s="191">
        <f t="shared" si="0"/>
        <v>1.9500000000000002</v>
      </c>
      <c r="I31" s="472">
        <f t="shared" si="1"/>
        <v>11.1</v>
      </c>
      <c r="J31" s="152">
        <f t="shared" si="2"/>
        <v>7.66</v>
      </c>
      <c r="K31" s="386">
        <f t="shared" si="3"/>
        <v>18.759999999999998</v>
      </c>
      <c r="L31" s="386"/>
      <c r="M31" s="191">
        <f t="shared" si="4"/>
        <v>0.40831556503198302</v>
      </c>
      <c r="N31" s="152">
        <f t="shared" si="5"/>
        <v>8.3620986140724956</v>
      </c>
      <c r="O31" s="152">
        <f t="shared" si="53"/>
        <v>1.9500000000000002</v>
      </c>
      <c r="P31" s="191">
        <f t="shared" si="6"/>
        <v>0.55747324093816641</v>
      </c>
      <c r="Q31" s="191">
        <f t="shared" si="7"/>
        <v>15</v>
      </c>
      <c r="R31" s="191">
        <f t="shared" si="8"/>
        <v>0.61941471215351818</v>
      </c>
      <c r="S31" s="152">
        <f t="shared" si="9"/>
        <v>135.38696347212863</v>
      </c>
      <c r="T31" s="152">
        <f t="shared" si="10"/>
        <v>15</v>
      </c>
      <c r="U31" s="191">
        <f t="shared" si="11"/>
        <v>0.9560997028359951</v>
      </c>
      <c r="V31" s="191">
        <f t="shared" si="12"/>
        <v>0.77521597527242858</v>
      </c>
      <c r="W31" s="191">
        <f t="shared" si="13"/>
        <v>1.1233547422355035</v>
      </c>
      <c r="X31" s="175">
        <f t="shared" si="14"/>
        <v>350</v>
      </c>
      <c r="Y31" s="386">
        <f t="shared" si="54"/>
        <v>350</v>
      </c>
      <c r="AA31" s="191">
        <f t="shared" si="15"/>
        <v>1.4388262767793685</v>
      </c>
      <c r="AB31" s="153">
        <f t="shared" si="16"/>
        <v>1.6905269570514774</v>
      </c>
      <c r="AC31" s="153">
        <f t="shared" si="17"/>
        <v>0.21283277814833412</v>
      </c>
      <c r="AD31" s="153"/>
      <c r="AE31" s="153">
        <f t="shared" si="18"/>
        <v>0.96344647519582249</v>
      </c>
      <c r="AF31" s="317">
        <f t="shared" si="19"/>
        <v>658.2060942560646</v>
      </c>
      <c r="AG31" s="463">
        <f t="shared" si="20"/>
        <v>6.9127284595300251E-2</v>
      </c>
      <c r="AI31" s="153">
        <f t="shared" si="21"/>
        <v>1.1853306789002602</v>
      </c>
      <c r="AJ31" s="153">
        <f t="shared" si="22"/>
        <v>1.1853306789002602</v>
      </c>
      <c r="AK31" s="153">
        <f t="shared" si="23"/>
        <v>1.4435537859335068</v>
      </c>
      <c r="AM31" s="317">
        <f t="shared" si="24"/>
        <v>130</v>
      </c>
      <c r="AN31" s="147">
        <f t="shared" si="25"/>
        <v>350</v>
      </c>
      <c r="AP31">
        <f t="shared" si="26"/>
        <v>130</v>
      </c>
      <c r="AQ31" s="147">
        <f t="shared" si="27"/>
        <v>350</v>
      </c>
      <c r="AR31" s="147"/>
      <c r="AS31" s="5">
        <f t="shared" si="55"/>
        <v>2.8571428571428572</v>
      </c>
      <c r="AT31" s="5">
        <f t="shared" si="28"/>
        <v>0.96107892883804891</v>
      </c>
      <c r="AU31" s="5">
        <f t="shared" si="56"/>
        <v>1.8960639283048084</v>
      </c>
      <c r="AV31" s="5">
        <f t="shared" si="29"/>
        <v>1.3926861762535696</v>
      </c>
      <c r="AW31" s="153">
        <f t="shared" si="57"/>
        <v>0.33637762509331709</v>
      </c>
      <c r="AX31" s="153">
        <f t="shared" si="30"/>
        <v>2.2128888888888891</v>
      </c>
      <c r="AY31" s="153">
        <f t="shared" si="31"/>
        <v>0.19665299004538539</v>
      </c>
      <c r="AZ31" s="153">
        <f t="shared" si="58"/>
        <v>11.252759942160951</v>
      </c>
      <c r="BA31" s="147">
        <f t="shared" si="32"/>
        <v>16.670079701628925</v>
      </c>
      <c r="BB31" s="147">
        <f t="shared" si="33"/>
        <v>1.5389142595568543</v>
      </c>
      <c r="BC31" s="5">
        <f t="shared" si="34"/>
        <v>0.66685147493337971</v>
      </c>
      <c r="BD31" s="147">
        <f t="shared" si="35"/>
        <v>17.408429612314031</v>
      </c>
      <c r="BE31" s="5"/>
      <c r="BF31" s="153">
        <f t="shared" si="59"/>
        <v>0.39691037172519639</v>
      </c>
      <c r="BG31" s="153">
        <f t="shared" si="36"/>
        <v>0.27874649307107152</v>
      </c>
      <c r="BH31" s="153"/>
      <c r="BI31" s="463">
        <f t="shared" si="37"/>
        <v>1.7329162750133693E-2</v>
      </c>
      <c r="BJ31" s="463">
        <f t="shared" si="38"/>
        <v>3.8914406188295537E-2</v>
      </c>
      <c r="BK31" s="463">
        <f t="shared" si="39"/>
        <v>1.7499999999999998E-2</v>
      </c>
      <c r="BL31" s="463">
        <f t="shared" si="40"/>
        <v>2.7715085999999993E-2</v>
      </c>
      <c r="BM31">
        <f t="shared" si="41"/>
        <v>3.2190000000000001E-3</v>
      </c>
      <c r="BN31">
        <f t="shared" si="42"/>
        <v>2.1350000000000001E-5</v>
      </c>
      <c r="BO31" s="463">
        <f t="shared" si="43"/>
        <v>0.10738176617058394</v>
      </c>
      <c r="BP31" s="147">
        <f t="shared" si="60"/>
        <v>107.38176617058394</v>
      </c>
      <c r="BQ31" s="463">
        <f t="shared" si="44"/>
        <v>6.153250001063152E-2</v>
      </c>
      <c r="BR31" s="463"/>
      <c r="BT31" s="147">
        <f t="shared" si="61"/>
        <v>61.532500010631523</v>
      </c>
      <c r="BU31" s="463">
        <f t="shared" si="45"/>
        <v>1.3390716670557854E-2</v>
      </c>
      <c r="BV31" s="463">
        <f t="shared" si="46"/>
        <v>1.4762925405889978E-2</v>
      </c>
      <c r="BW31" s="463">
        <f t="shared" si="47"/>
        <v>0</v>
      </c>
      <c r="BX31" s="463">
        <f t="shared" si="48"/>
        <v>3.1603258872721737E-2</v>
      </c>
      <c r="BY31" s="463">
        <f t="shared" si="49"/>
        <v>0.24587654320987662</v>
      </c>
      <c r="BZ31" s="147">
        <f t="shared" si="62"/>
        <v>277.47980208259838</v>
      </c>
      <c r="CA31" s="153">
        <f t="shared" si="63"/>
        <v>0.44639406826381384</v>
      </c>
      <c r="CB31" s="5">
        <f t="shared" si="64"/>
        <v>1.9500000000000002</v>
      </c>
      <c r="CC31" s="153">
        <f t="shared" si="65"/>
        <v>0.81372259505414901</v>
      </c>
      <c r="CD31" s="5">
        <f t="shared" si="66"/>
        <v>81.372259505414902</v>
      </c>
      <c r="CG31" s="59">
        <f t="shared" si="50"/>
        <v>-50</v>
      </c>
      <c r="CH31">
        <f t="shared" si="51"/>
        <v>-50</v>
      </c>
    </row>
    <row r="32" spans="5:86" x14ac:dyDescent="0.25">
      <c r="E32" s="150">
        <v>27</v>
      </c>
      <c r="F32" s="191">
        <f t="shared" si="52"/>
        <v>0.13500000000000001</v>
      </c>
      <c r="G32" s="191"/>
      <c r="H32" s="191">
        <f t="shared" si="0"/>
        <v>2.0250000000000004</v>
      </c>
      <c r="I32" s="472">
        <f t="shared" si="1"/>
        <v>11.1</v>
      </c>
      <c r="J32" s="152">
        <f t="shared" si="2"/>
        <v>7.66</v>
      </c>
      <c r="K32" s="386">
        <f t="shared" si="3"/>
        <v>18.759999999999998</v>
      </c>
      <c r="L32" s="386"/>
      <c r="M32" s="191">
        <f t="shared" si="4"/>
        <v>0.40831556503198302</v>
      </c>
      <c r="N32" s="152">
        <f t="shared" si="5"/>
        <v>8.3620986140724956</v>
      </c>
      <c r="O32" s="152">
        <f t="shared" si="53"/>
        <v>2.0250000000000004</v>
      </c>
      <c r="P32" s="191">
        <f t="shared" si="6"/>
        <v>0.55747324093816641</v>
      </c>
      <c r="Q32" s="191">
        <f t="shared" si="7"/>
        <v>15</v>
      </c>
      <c r="R32" s="191">
        <f t="shared" si="8"/>
        <v>0.61941471215351818</v>
      </c>
      <c r="S32" s="152">
        <f t="shared" si="9"/>
        <v>129.55469887562015</v>
      </c>
      <c r="T32" s="152">
        <f t="shared" si="10"/>
        <v>15</v>
      </c>
      <c r="U32" s="191">
        <f t="shared" si="11"/>
        <v>0.99287276832968729</v>
      </c>
      <c r="V32" s="191">
        <f t="shared" si="12"/>
        <v>0.80503197432136819</v>
      </c>
      <c r="W32" s="191">
        <f t="shared" si="13"/>
        <v>1.166560693859946</v>
      </c>
      <c r="X32" s="175">
        <f t="shared" si="14"/>
        <v>350</v>
      </c>
      <c r="Y32" s="386">
        <f t="shared" si="54"/>
        <v>350</v>
      </c>
      <c r="AA32" s="191">
        <f t="shared" si="15"/>
        <v>1.4388262767793685</v>
      </c>
      <c r="AB32" s="153">
        <f t="shared" si="16"/>
        <v>1.6905269570514774</v>
      </c>
      <c r="AC32" s="153">
        <f t="shared" si="17"/>
        <v>0.21283277814833412</v>
      </c>
      <c r="AD32" s="153"/>
      <c r="AE32" s="153">
        <f t="shared" si="18"/>
        <v>0.96344647519582249</v>
      </c>
      <c r="AF32" s="317">
        <f t="shared" si="19"/>
        <v>683.52171326591326</v>
      </c>
      <c r="AG32" s="463">
        <f t="shared" si="20"/>
        <v>6.9127284595300251E-2</v>
      </c>
      <c r="AI32" s="153">
        <f t="shared" si="21"/>
        <v>1.2079104350272081</v>
      </c>
      <c r="AJ32" s="153">
        <f t="shared" si="22"/>
        <v>1.2079104350272081</v>
      </c>
      <c r="AK32" s="153">
        <f t="shared" si="23"/>
        <v>1.4586069566848054</v>
      </c>
      <c r="AM32" s="317">
        <f t="shared" si="24"/>
        <v>135</v>
      </c>
      <c r="AN32" s="147">
        <f t="shared" si="25"/>
        <v>350</v>
      </c>
      <c r="AP32">
        <f t="shared" si="26"/>
        <v>135</v>
      </c>
      <c r="AQ32" s="147">
        <f t="shared" si="27"/>
        <v>350</v>
      </c>
      <c r="AR32" s="147"/>
      <c r="AS32" s="5">
        <f t="shared" si="55"/>
        <v>2.8571428571428572</v>
      </c>
      <c r="AT32" s="5">
        <f t="shared" si="28"/>
        <v>0.97938683921124969</v>
      </c>
      <c r="AU32" s="5">
        <f t="shared" si="56"/>
        <v>1.8777560179316075</v>
      </c>
      <c r="AV32" s="5">
        <f t="shared" si="29"/>
        <v>1.4192159158283124</v>
      </c>
      <c r="AW32" s="153">
        <f t="shared" si="57"/>
        <v>0.3427853937239374</v>
      </c>
      <c r="AX32" s="153">
        <f t="shared" si="30"/>
        <v>2.298</v>
      </c>
      <c r="AY32" s="153">
        <f t="shared" si="31"/>
        <v>0.19846409524328854</v>
      </c>
      <c r="AZ32" s="153">
        <f t="shared" si="58"/>
        <v>11.578920596105716</v>
      </c>
      <c r="BA32" s="147">
        <f t="shared" si="32"/>
        <v>16.670079701628925</v>
      </c>
      <c r="BB32" s="147">
        <f t="shared" si="33"/>
        <v>1.6439918568298031</v>
      </c>
      <c r="BC32" s="5">
        <f t="shared" si="34"/>
        <v>0.6858130087405433</v>
      </c>
      <c r="BD32" s="147">
        <f t="shared" si="35"/>
        <v>17.909299919517267</v>
      </c>
      <c r="BE32" s="5"/>
      <c r="BF32" s="153">
        <f t="shared" si="59"/>
        <v>0.40830552798821762</v>
      </c>
      <c r="BG32" s="153">
        <f t="shared" si="36"/>
        <v>0.28268171242736467</v>
      </c>
      <c r="BH32" s="153"/>
      <c r="BI32" s="463">
        <f t="shared" si="37"/>
        <v>1.8338474460431086E-2</v>
      </c>
      <c r="BJ32" s="463">
        <f t="shared" si="38"/>
        <v>3.9655699581943239E-2</v>
      </c>
      <c r="BK32" s="463">
        <f t="shared" si="39"/>
        <v>1.7499999999999998E-2</v>
      </c>
      <c r="BL32" s="463">
        <f t="shared" si="40"/>
        <v>2.7715085999999993E-2</v>
      </c>
      <c r="BM32">
        <f t="shared" si="41"/>
        <v>3.2190000000000001E-3</v>
      </c>
      <c r="BN32">
        <f t="shared" si="42"/>
        <v>2.1350000000000001E-5</v>
      </c>
      <c r="BO32" s="463">
        <f t="shared" si="43"/>
        <v>0.10929509843553929</v>
      </c>
      <c r="BP32" s="147">
        <f t="shared" si="60"/>
        <v>109.29509843553929</v>
      </c>
      <c r="BQ32" s="463">
        <f t="shared" si="44"/>
        <v>6.3780087642644534E-2</v>
      </c>
      <c r="BR32" s="463"/>
      <c r="BT32" s="147">
        <f t="shared" si="61"/>
        <v>63.780087642644531</v>
      </c>
      <c r="BU32" s="463">
        <f t="shared" si="45"/>
        <v>1.417063935578766E-2</v>
      </c>
      <c r="BV32" s="463">
        <f t="shared" si="46"/>
        <v>1.5182700602764788E-2</v>
      </c>
      <c r="BW32" s="463">
        <f t="shared" si="47"/>
        <v>0</v>
      </c>
      <c r="BX32" s="463">
        <f t="shared" si="48"/>
        <v>3.2953123492504482E-2</v>
      </c>
      <c r="BY32" s="463">
        <f t="shared" si="49"/>
        <v>0.25533333333333336</v>
      </c>
      <c r="BZ32" s="147">
        <f t="shared" si="62"/>
        <v>288.28645682583789</v>
      </c>
      <c r="CA32" s="153">
        <f t="shared" si="63"/>
        <v>0.46136164290402171</v>
      </c>
      <c r="CB32" s="5">
        <f t="shared" si="64"/>
        <v>2.0250000000000004</v>
      </c>
      <c r="CC32" s="153">
        <f t="shared" si="65"/>
        <v>0.81444306614818907</v>
      </c>
      <c r="CD32" s="5">
        <f t="shared" si="66"/>
        <v>81.444306614818913</v>
      </c>
      <c r="CG32" s="59">
        <f t="shared" si="50"/>
        <v>-50</v>
      </c>
      <c r="CH32">
        <f t="shared" si="51"/>
        <v>-50</v>
      </c>
    </row>
    <row r="33" spans="5:86" x14ac:dyDescent="0.25">
      <c r="E33" s="150">
        <v>28</v>
      </c>
      <c r="F33" s="191">
        <f t="shared" si="52"/>
        <v>0.14000000000000001</v>
      </c>
      <c r="G33" s="191"/>
      <c r="H33" s="191">
        <f t="shared" si="0"/>
        <v>2.1</v>
      </c>
      <c r="I33" s="472">
        <f t="shared" si="1"/>
        <v>11.1</v>
      </c>
      <c r="J33" s="152">
        <f t="shared" si="2"/>
        <v>7.66</v>
      </c>
      <c r="K33" s="386">
        <f t="shared" si="3"/>
        <v>18.759999999999998</v>
      </c>
      <c r="L33" s="386"/>
      <c r="M33" s="191">
        <f t="shared" si="4"/>
        <v>0.40831556503198302</v>
      </c>
      <c r="N33" s="152">
        <f t="shared" si="5"/>
        <v>8.3620986140724956</v>
      </c>
      <c r="O33" s="152">
        <f t="shared" si="53"/>
        <v>2.1</v>
      </c>
      <c r="P33" s="191">
        <f t="shared" si="6"/>
        <v>0.55747324093816641</v>
      </c>
      <c r="Q33" s="191">
        <f t="shared" si="7"/>
        <v>15</v>
      </c>
      <c r="R33" s="191">
        <f t="shared" si="8"/>
        <v>0.61941471215351818</v>
      </c>
      <c r="S33" s="152">
        <f t="shared" si="9"/>
        <v>124.13922179350151</v>
      </c>
      <c r="T33" s="152">
        <f t="shared" si="10"/>
        <v>15</v>
      </c>
      <c r="U33" s="191">
        <f t="shared" si="11"/>
        <v>1.0296458338233794</v>
      </c>
      <c r="V33" s="191">
        <f t="shared" si="12"/>
        <v>0.83484797337030769</v>
      </c>
      <c r="W33" s="191">
        <f t="shared" si="13"/>
        <v>1.2097666454843881</v>
      </c>
      <c r="X33" s="175">
        <f t="shared" si="14"/>
        <v>350</v>
      </c>
      <c r="Y33" s="386">
        <f t="shared" si="54"/>
        <v>350</v>
      </c>
      <c r="AA33" s="191">
        <f t="shared" si="15"/>
        <v>1.4388262767793685</v>
      </c>
      <c r="AB33" s="153">
        <f t="shared" si="16"/>
        <v>1.6905269570514774</v>
      </c>
      <c r="AC33" s="153">
        <f t="shared" si="17"/>
        <v>0.21283277814833412</v>
      </c>
      <c r="AD33" s="153"/>
      <c r="AE33" s="153">
        <f t="shared" si="18"/>
        <v>0.96344647519582249</v>
      </c>
      <c r="AF33" s="317">
        <f t="shared" si="19"/>
        <v>708.83733227576192</v>
      </c>
      <c r="AG33" s="463">
        <f t="shared" si="20"/>
        <v>6.9127284595300251E-2</v>
      </c>
      <c r="AI33" s="153">
        <f t="shared" si="21"/>
        <v>1.2300757780531597</v>
      </c>
      <c r="AJ33" s="153">
        <f t="shared" si="22"/>
        <v>1.2300757780531597</v>
      </c>
      <c r="AK33" s="153">
        <f t="shared" si="23"/>
        <v>1.4733838520354399</v>
      </c>
      <c r="AM33" s="317">
        <f t="shared" si="24"/>
        <v>140</v>
      </c>
      <c r="AN33" s="147">
        <f t="shared" si="25"/>
        <v>350</v>
      </c>
      <c r="AP33">
        <f t="shared" si="26"/>
        <v>140</v>
      </c>
      <c r="AQ33" s="147">
        <f t="shared" si="27"/>
        <v>350</v>
      </c>
      <c r="AR33" s="147"/>
      <c r="AS33" s="5">
        <f t="shared" si="55"/>
        <v>2.8571428571428572</v>
      </c>
      <c r="AT33" s="5">
        <f t="shared" si="28"/>
        <v>0.99735873896202154</v>
      </c>
      <c r="AU33" s="5">
        <f t="shared" si="56"/>
        <v>1.8597841181808357</v>
      </c>
      <c r="AV33" s="5">
        <f t="shared" si="29"/>
        <v>1.4452587470598484</v>
      </c>
      <c r="AW33" s="153">
        <f t="shared" si="57"/>
        <v>0.34907555863670753</v>
      </c>
      <c r="AX33" s="153">
        <f t="shared" si="30"/>
        <v>2.3831111111111105</v>
      </c>
      <c r="AY33" s="153">
        <f t="shared" si="31"/>
        <v>0.20017159716594257</v>
      </c>
      <c r="AZ33" s="153">
        <f t="shared" si="58"/>
        <v>11.905340941729648</v>
      </c>
      <c r="BA33" s="147">
        <f t="shared" si="32"/>
        <v>16.670079701628925</v>
      </c>
      <c r="BB33" s="147">
        <f t="shared" si="33"/>
        <v>1.7524686087168253</v>
      </c>
      <c r="BC33" s="5">
        <f t="shared" si="34"/>
        <v>0.70440650527640336</v>
      </c>
      <c r="BD33" s="147">
        <f t="shared" si="35"/>
        <v>18.400885650103536</v>
      </c>
      <c r="BE33" s="5"/>
      <c r="BF33" s="153">
        <f t="shared" si="59"/>
        <v>0.41959563361285684</v>
      </c>
      <c r="BG33" s="153">
        <f t="shared" si="36"/>
        <v>0.28648806439829244</v>
      </c>
      <c r="BH33" s="153"/>
      <c r="BI33" s="463">
        <f t="shared" si="37"/>
        <v>1.9366654532167227E-2</v>
      </c>
      <c r="BJ33" s="463">
        <f t="shared" si="38"/>
        <v>4.0383387793485229E-2</v>
      </c>
      <c r="BK33" s="463">
        <f t="shared" si="39"/>
        <v>1.7499999999999998E-2</v>
      </c>
      <c r="BL33" s="463">
        <f t="shared" si="40"/>
        <v>2.7715085999999993E-2</v>
      </c>
      <c r="BM33">
        <f t="shared" si="41"/>
        <v>3.2190000000000001E-3</v>
      </c>
      <c r="BN33">
        <f t="shared" si="42"/>
        <v>2.1350000000000001E-5</v>
      </c>
      <c r="BO33" s="463">
        <f t="shared" si="43"/>
        <v>0.11121737279409913</v>
      </c>
      <c r="BP33" s="147">
        <f t="shared" si="60"/>
        <v>111.21737279409913</v>
      </c>
      <c r="BQ33" s="463">
        <f t="shared" si="44"/>
        <v>6.6021122807321531E-2</v>
      </c>
      <c r="BR33" s="463"/>
      <c r="BT33" s="147">
        <f t="shared" si="61"/>
        <v>66.021122807321532</v>
      </c>
      <c r="BU33" s="463">
        <f t="shared" si="45"/>
        <v>1.4965142138492859E-2</v>
      </c>
      <c r="BV33" s="463">
        <f t="shared" si="46"/>
        <v>1.5594328098109228E-2</v>
      </c>
      <c r="BW33" s="463">
        <f t="shared" si="47"/>
        <v>0</v>
      </c>
      <c r="BX33" s="463">
        <f t="shared" si="48"/>
        <v>3.4310487490696366E-2</v>
      </c>
      <c r="BY33" s="463">
        <f t="shared" si="49"/>
        <v>0.26479012345679015</v>
      </c>
      <c r="BZ33" s="147">
        <f t="shared" si="62"/>
        <v>299.10061094748653</v>
      </c>
      <c r="CA33" s="153">
        <f t="shared" si="63"/>
        <v>0.47633910654890721</v>
      </c>
      <c r="CB33" s="5">
        <f t="shared" si="64"/>
        <v>2.1</v>
      </c>
      <c r="CC33" s="153">
        <f t="shared" si="65"/>
        <v>0.81511008960812636</v>
      </c>
      <c r="CD33" s="5">
        <f t="shared" si="66"/>
        <v>81.511008960812632</v>
      </c>
      <c r="CG33" s="59">
        <f t="shared" si="50"/>
        <v>-50</v>
      </c>
      <c r="CH33">
        <f t="shared" si="51"/>
        <v>-50</v>
      </c>
    </row>
    <row r="34" spans="5:86" x14ac:dyDescent="0.25">
      <c r="E34" s="150">
        <v>29</v>
      </c>
      <c r="F34" s="191">
        <f t="shared" si="52"/>
        <v>0.14499999999999999</v>
      </c>
      <c r="G34" s="191"/>
      <c r="H34" s="191">
        <f t="shared" si="0"/>
        <v>2.1749999999999998</v>
      </c>
      <c r="I34" s="472">
        <f t="shared" si="1"/>
        <v>11.1</v>
      </c>
      <c r="J34" s="152">
        <f t="shared" si="2"/>
        <v>7.66</v>
      </c>
      <c r="K34" s="386">
        <f t="shared" si="3"/>
        <v>18.759999999999998</v>
      </c>
      <c r="L34" s="386"/>
      <c r="M34" s="191">
        <f t="shared" si="4"/>
        <v>0.40831556503198302</v>
      </c>
      <c r="N34" s="152">
        <f t="shared" si="5"/>
        <v>8.3620986140724956</v>
      </c>
      <c r="O34" s="152">
        <f t="shared" si="53"/>
        <v>2.1749999999999998</v>
      </c>
      <c r="P34" s="191">
        <f t="shared" si="6"/>
        <v>0.55747324093816641</v>
      </c>
      <c r="Q34" s="191">
        <f t="shared" si="7"/>
        <v>15</v>
      </c>
      <c r="R34" s="191">
        <f t="shared" si="8"/>
        <v>0.61941471215351818</v>
      </c>
      <c r="S34" s="152">
        <f t="shared" si="9"/>
        <v>119.09741984281031</v>
      </c>
      <c r="T34" s="152">
        <f t="shared" si="10"/>
        <v>15</v>
      </c>
      <c r="U34" s="191">
        <f t="shared" si="11"/>
        <v>1.0664188993170713</v>
      </c>
      <c r="V34" s="191">
        <f t="shared" si="12"/>
        <v>0.86466397241924697</v>
      </c>
      <c r="W34" s="191">
        <f t="shared" si="13"/>
        <v>1.2529725971088306</v>
      </c>
      <c r="X34" s="175">
        <f t="shared" si="14"/>
        <v>350</v>
      </c>
      <c r="Y34" s="386">
        <f t="shared" si="54"/>
        <v>350</v>
      </c>
      <c r="AA34" s="191">
        <f t="shared" si="15"/>
        <v>1.4388262767793685</v>
      </c>
      <c r="AB34" s="153">
        <f t="shared" si="16"/>
        <v>1.6905269570514774</v>
      </c>
      <c r="AC34" s="153">
        <f t="shared" si="17"/>
        <v>0.21283277814833412</v>
      </c>
      <c r="AD34" s="153"/>
      <c r="AE34" s="153">
        <f t="shared" si="18"/>
        <v>0.96344647519582249</v>
      </c>
      <c r="AF34" s="317">
        <f t="shared" si="19"/>
        <v>734.15295128561047</v>
      </c>
      <c r="AG34" s="463">
        <f t="shared" si="20"/>
        <v>6.9127284595300251E-2</v>
      </c>
      <c r="AI34" s="153">
        <f t="shared" si="21"/>
        <v>1.2518487210755753</v>
      </c>
      <c r="AJ34" s="153">
        <f t="shared" si="22"/>
        <v>1.2518487210755753</v>
      </c>
      <c r="AK34" s="153">
        <f t="shared" si="23"/>
        <v>1.4878991473837169</v>
      </c>
      <c r="AM34" s="317">
        <f t="shared" si="24"/>
        <v>145</v>
      </c>
      <c r="AN34" s="147">
        <f t="shared" si="25"/>
        <v>350</v>
      </c>
      <c r="AP34">
        <f t="shared" si="26"/>
        <v>145</v>
      </c>
      <c r="AQ34" s="147">
        <f t="shared" si="27"/>
        <v>350</v>
      </c>
      <c r="AR34" s="147"/>
      <c r="AS34" s="5">
        <f t="shared" si="55"/>
        <v>2.8571428571428572</v>
      </c>
      <c r="AT34" s="5">
        <f t="shared" si="28"/>
        <v>1.0150124765477639</v>
      </c>
      <c r="AU34" s="5">
        <f t="shared" si="56"/>
        <v>1.8421303805950933</v>
      </c>
      <c r="AV34" s="5">
        <f t="shared" si="29"/>
        <v>1.4708405339008066</v>
      </c>
      <c r="AW34" s="153">
        <f t="shared" si="57"/>
        <v>0.35525436679171735</v>
      </c>
      <c r="AX34" s="153">
        <f t="shared" si="30"/>
        <v>2.4682222222222219</v>
      </c>
      <c r="AY34" s="153">
        <f t="shared" si="31"/>
        <v>0.20178099908771263</v>
      </c>
      <c r="AZ34" s="153">
        <f t="shared" si="58"/>
        <v>12.232183572197028</v>
      </c>
      <c r="BA34" s="147">
        <f t="shared" si="32"/>
        <v>16.670079701628925</v>
      </c>
      <c r="BB34" s="147">
        <f t="shared" si="33"/>
        <v>1.8643445152179208</v>
      </c>
      <c r="BC34" s="5">
        <f t="shared" si="34"/>
        <v>0.72263859856150336</v>
      </c>
      <c r="BD34" s="147">
        <f t="shared" si="35"/>
        <v>18.883354162318351</v>
      </c>
      <c r="BE34" s="5"/>
      <c r="BF34" s="153">
        <f t="shared" si="59"/>
        <v>0.43078535949949753</v>
      </c>
      <c r="BG34" s="153">
        <f t="shared" si="36"/>
        <v>0.29017195226583892</v>
      </c>
      <c r="BH34" s="153"/>
      <c r="BI34" s="463">
        <f t="shared" si="37"/>
        <v>2.0413362855502246E-2</v>
      </c>
      <c r="BJ34" s="463">
        <f t="shared" si="38"/>
        <v>4.1098193512911142E-2</v>
      </c>
      <c r="BK34" s="463">
        <f t="shared" si="39"/>
        <v>1.7499999999999998E-2</v>
      </c>
      <c r="BL34" s="463">
        <f t="shared" si="40"/>
        <v>2.7715085999999993E-2</v>
      </c>
      <c r="BM34">
        <f t="shared" si="41"/>
        <v>3.2190000000000001E-3</v>
      </c>
      <c r="BN34">
        <f t="shared" si="42"/>
        <v>2.1350000000000001E-5</v>
      </c>
      <c r="BO34" s="463">
        <f t="shared" si="43"/>
        <v>0.11314894531699998</v>
      </c>
      <c r="BP34" s="147">
        <f t="shared" si="60"/>
        <v>113.14894531699998</v>
      </c>
      <c r="BQ34" s="463">
        <f t="shared" si="44"/>
        <v>6.8255723615534197E-2</v>
      </c>
      <c r="BR34" s="463"/>
      <c r="BT34" s="147">
        <f t="shared" si="61"/>
        <v>68.255723615534194</v>
      </c>
      <c r="BU34" s="463">
        <f t="shared" si="45"/>
        <v>1.5773962206524463E-2</v>
      </c>
      <c r="BV34" s="463">
        <f t="shared" si="46"/>
        <v>1.5997954757535977E-2</v>
      </c>
      <c r="BW34" s="463">
        <f t="shared" si="47"/>
        <v>0</v>
      </c>
      <c r="BX34" s="463">
        <f t="shared" si="48"/>
        <v>3.5675224621696075E-2</v>
      </c>
      <c r="BY34" s="463">
        <f t="shared" si="49"/>
        <v>0.27424691358024689</v>
      </c>
      <c r="BZ34" s="147">
        <f t="shared" si="62"/>
        <v>309.92213820194297</v>
      </c>
      <c r="CA34" s="153">
        <f t="shared" si="63"/>
        <v>0.49132680713447713</v>
      </c>
      <c r="CB34" s="5">
        <f t="shared" si="64"/>
        <v>2.1749999999999998</v>
      </c>
      <c r="CC34" s="153">
        <f t="shared" si="65"/>
        <v>0.81572896247384252</v>
      </c>
      <c r="CD34" s="5">
        <f t="shared" si="66"/>
        <v>81.57289624738425</v>
      </c>
      <c r="CG34" s="59">
        <f t="shared" si="50"/>
        <v>-50</v>
      </c>
      <c r="CH34">
        <f t="shared" si="51"/>
        <v>-50</v>
      </c>
    </row>
    <row r="35" spans="5:86" x14ac:dyDescent="0.25">
      <c r="E35" s="150">
        <v>30</v>
      </c>
      <c r="F35" s="191">
        <f t="shared" si="52"/>
        <v>0.15</v>
      </c>
      <c r="G35" s="191"/>
      <c r="H35" s="191">
        <f t="shared" si="0"/>
        <v>2.25</v>
      </c>
      <c r="I35" s="472">
        <f t="shared" si="1"/>
        <v>11.1</v>
      </c>
      <c r="J35" s="152">
        <f t="shared" si="2"/>
        <v>7.66</v>
      </c>
      <c r="K35" s="386">
        <f t="shared" si="3"/>
        <v>18.759999999999998</v>
      </c>
      <c r="L35" s="386"/>
      <c r="M35" s="191">
        <f t="shared" si="4"/>
        <v>0.40831556503198302</v>
      </c>
      <c r="N35" s="152">
        <f t="shared" si="5"/>
        <v>8.3620986140724956</v>
      </c>
      <c r="O35" s="152">
        <f t="shared" si="53"/>
        <v>2.25</v>
      </c>
      <c r="P35" s="191">
        <f t="shared" si="6"/>
        <v>0.55747324093816641</v>
      </c>
      <c r="Q35" s="191">
        <f t="shared" si="7"/>
        <v>15</v>
      </c>
      <c r="R35" s="191">
        <f t="shared" si="8"/>
        <v>0.61941471215351818</v>
      </c>
      <c r="S35" s="152">
        <f t="shared" si="9"/>
        <v>114.39192904311922</v>
      </c>
      <c r="T35" s="152">
        <f t="shared" si="10"/>
        <v>15</v>
      </c>
      <c r="U35" s="191">
        <f t="shared" si="11"/>
        <v>1.1031919648107635</v>
      </c>
      <c r="V35" s="191">
        <f t="shared" si="12"/>
        <v>0.89447997146818659</v>
      </c>
      <c r="W35" s="191">
        <f t="shared" si="13"/>
        <v>1.2961785487332731</v>
      </c>
      <c r="X35" s="175">
        <f t="shared" si="14"/>
        <v>350</v>
      </c>
      <c r="Y35" s="386">
        <f t="shared" si="54"/>
        <v>350</v>
      </c>
      <c r="AA35" s="191">
        <f t="shared" si="15"/>
        <v>1.4388262767793685</v>
      </c>
      <c r="AB35" s="153">
        <f t="shared" si="16"/>
        <v>1.6905269570514774</v>
      </c>
      <c r="AC35" s="153">
        <f t="shared" si="17"/>
        <v>0.21283277814833412</v>
      </c>
      <c r="AD35" s="153"/>
      <c r="AE35" s="153">
        <f t="shared" si="18"/>
        <v>0.96344647519582249</v>
      </c>
      <c r="AF35" s="317">
        <f t="shared" si="19"/>
        <v>759.46857029545913</v>
      </c>
      <c r="AG35" s="463">
        <f t="shared" si="20"/>
        <v>6.9127284595300251E-2</v>
      </c>
      <c r="AI35" s="153">
        <f t="shared" si="21"/>
        <v>1.2732493947236028</v>
      </c>
      <c r="AJ35" s="153">
        <f t="shared" si="22"/>
        <v>1.2732493947236028</v>
      </c>
      <c r="AK35" s="153">
        <f t="shared" si="23"/>
        <v>1.5021662631490686</v>
      </c>
      <c r="AM35" s="317">
        <f t="shared" si="24"/>
        <v>150</v>
      </c>
      <c r="AN35" s="147">
        <f t="shared" si="25"/>
        <v>350</v>
      </c>
      <c r="AP35">
        <f t="shared" si="26"/>
        <v>150</v>
      </c>
      <c r="AQ35" s="147">
        <f t="shared" si="27"/>
        <v>350</v>
      </c>
      <c r="AR35" s="147"/>
      <c r="AS35" s="5">
        <f t="shared" si="55"/>
        <v>2.8571428571428572</v>
      </c>
      <c r="AT35" s="5">
        <f t="shared" si="28"/>
        <v>1.0323643741002184</v>
      </c>
      <c r="AU35" s="5">
        <f t="shared" si="56"/>
        <v>1.8247784830426388</v>
      </c>
      <c r="AV35" s="5">
        <f t="shared" si="29"/>
        <v>1.4959849285264262</v>
      </c>
      <c r="AW35" s="153">
        <f t="shared" si="57"/>
        <v>0.36132753093507641</v>
      </c>
      <c r="AX35" s="153">
        <f t="shared" si="30"/>
        <v>2.5533333333333328</v>
      </c>
      <c r="AY35" s="153">
        <f t="shared" si="31"/>
        <v>0.2032973336658857</v>
      </c>
      <c r="AZ35" s="153">
        <f t="shared" si="58"/>
        <v>12.559600695647465</v>
      </c>
      <c r="BA35" s="147">
        <f t="shared" si="32"/>
        <v>16.670079701628925</v>
      </c>
      <c r="BB35" s="147">
        <f t="shared" si="33"/>
        <v>1.9796195763330899</v>
      </c>
      <c r="BC35" s="5">
        <f t="shared" si="34"/>
        <v>0.74051557626923081</v>
      </c>
      <c r="BD35" s="147">
        <f t="shared" si="35"/>
        <v>19.356864077013093</v>
      </c>
      <c r="BE35" s="5"/>
      <c r="BF35" s="153">
        <f t="shared" si="59"/>
        <v>0.44187901549631414</v>
      </c>
      <c r="BG35" s="153">
        <f t="shared" si="36"/>
        <v>0.29373923074671254</v>
      </c>
      <c r="BH35" s="153"/>
      <c r="BI35" s="463">
        <f t="shared" si="37"/>
        <v>2.1478277076959099E-2</v>
      </c>
      <c r="BJ35" s="463">
        <f t="shared" si="38"/>
        <v>4.1800777628775876E-2</v>
      </c>
      <c r="BK35" s="463">
        <f t="shared" si="39"/>
        <v>1.7499999999999998E-2</v>
      </c>
      <c r="BL35" s="463">
        <f t="shared" si="40"/>
        <v>2.7715085999999993E-2</v>
      </c>
      <c r="BM35">
        <f t="shared" si="41"/>
        <v>3.2190000000000001E-3</v>
      </c>
      <c r="BN35">
        <f t="shared" si="42"/>
        <v>2.1350000000000001E-5</v>
      </c>
      <c r="BO35" s="463">
        <f t="shared" si="43"/>
        <v>0.11509013061940671</v>
      </c>
      <c r="BP35" s="147">
        <f t="shared" si="60"/>
        <v>115.09013061940671</v>
      </c>
      <c r="BQ35" s="463">
        <f t="shared" si="44"/>
        <v>7.0484002011853633E-2</v>
      </c>
      <c r="BR35" s="463"/>
      <c r="BT35" s="147">
        <f t="shared" si="61"/>
        <v>70.484002011853633</v>
      </c>
      <c r="BU35" s="463">
        <f t="shared" si="45"/>
        <v>1.6596850468559306E-2</v>
      </c>
      <c r="BV35" s="463">
        <f t="shared" si="46"/>
        <v>1.6393719779137381E-2</v>
      </c>
      <c r="BW35" s="463">
        <f t="shared" si="47"/>
        <v>0</v>
      </c>
      <c r="BX35" s="463">
        <f t="shared" si="48"/>
        <v>3.7047215378333935E-2</v>
      </c>
      <c r="BY35" s="463">
        <f t="shared" si="49"/>
        <v>0.28370370370370368</v>
      </c>
      <c r="BZ35" s="147">
        <f t="shared" si="62"/>
        <v>320.75091908203763</v>
      </c>
      <c r="CA35" s="153">
        <f t="shared" si="63"/>
        <v>0.506325051713298</v>
      </c>
      <c r="CB35" s="5">
        <f t="shared" si="64"/>
        <v>2.25</v>
      </c>
      <c r="CC35" s="153">
        <f t="shared" si="65"/>
        <v>0.81630430293460032</v>
      </c>
      <c r="CD35" s="5">
        <f t="shared" si="66"/>
        <v>81.630430293460037</v>
      </c>
      <c r="CG35" s="59">
        <f t="shared" si="50"/>
        <v>-50</v>
      </c>
      <c r="CH35">
        <f t="shared" si="51"/>
        <v>-50</v>
      </c>
    </row>
    <row r="36" spans="5:86" x14ac:dyDescent="0.25">
      <c r="E36" s="150">
        <v>31</v>
      </c>
      <c r="F36" s="191">
        <f t="shared" si="52"/>
        <v>0.155</v>
      </c>
      <c r="G36" s="191"/>
      <c r="H36" s="191">
        <f t="shared" si="0"/>
        <v>2.3250000000000002</v>
      </c>
      <c r="I36" s="472">
        <f t="shared" si="1"/>
        <v>11.1</v>
      </c>
      <c r="J36" s="152">
        <f t="shared" si="2"/>
        <v>7.66</v>
      </c>
      <c r="K36" s="386">
        <f t="shared" si="3"/>
        <v>18.759999999999998</v>
      </c>
      <c r="L36" s="386"/>
      <c r="M36" s="191">
        <f t="shared" si="4"/>
        <v>0.40831556503198302</v>
      </c>
      <c r="N36" s="152">
        <f t="shared" si="5"/>
        <v>8.3620986140724956</v>
      </c>
      <c r="O36" s="152">
        <f t="shared" si="53"/>
        <v>2.3250000000000002</v>
      </c>
      <c r="P36" s="191">
        <f t="shared" si="6"/>
        <v>0.55747324093816641</v>
      </c>
      <c r="Q36" s="191">
        <f t="shared" si="7"/>
        <v>15</v>
      </c>
      <c r="R36" s="191">
        <f t="shared" si="8"/>
        <v>0.61941471215351818</v>
      </c>
      <c r="S36" s="152">
        <f t="shared" si="9"/>
        <v>109.99020665731706</v>
      </c>
      <c r="T36" s="152">
        <f t="shared" si="10"/>
        <v>15</v>
      </c>
      <c r="U36" s="191">
        <f t="shared" si="11"/>
        <v>1.1399650303044557</v>
      </c>
      <c r="V36" s="191">
        <f t="shared" si="12"/>
        <v>0.92429597051712631</v>
      </c>
      <c r="W36" s="191">
        <f t="shared" si="13"/>
        <v>1.3393845003577154</v>
      </c>
      <c r="X36" s="175">
        <f t="shared" si="14"/>
        <v>350</v>
      </c>
      <c r="Y36" s="386">
        <f t="shared" si="54"/>
        <v>350</v>
      </c>
      <c r="AA36" s="191">
        <f t="shared" si="15"/>
        <v>1.4388262767793685</v>
      </c>
      <c r="AB36" s="153">
        <f t="shared" si="16"/>
        <v>1.6905269570514774</v>
      </c>
      <c r="AC36" s="153">
        <f t="shared" si="17"/>
        <v>0.21283277814833412</v>
      </c>
      <c r="AD36" s="153"/>
      <c r="AE36" s="153">
        <f t="shared" si="18"/>
        <v>0.96344647519582249</v>
      </c>
      <c r="AF36" s="317">
        <f t="shared" si="19"/>
        <v>784.78418930530779</v>
      </c>
      <c r="AG36" s="463">
        <f t="shared" si="20"/>
        <v>6.9127284595300251E-2</v>
      </c>
      <c r="AI36" s="153">
        <f t="shared" si="21"/>
        <v>1.2942962651068297</v>
      </c>
      <c r="AJ36" s="153">
        <f t="shared" si="22"/>
        <v>1.2942962651068297</v>
      </c>
      <c r="AK36" s="153">
        <f t="shared" si="23"/>
        <v>1.5161975100712199</v>
      </c>
      <c r="AM36" s="317">
        <f t="shared" si="24"/>
        <v>155</v>
      </c>
      <c r="AN36" s="147">
        <f t="shared" si="25"/>
        <v>350</v>
      </c>
      <c r="AP36">
        <f t="shared" si="26"/>
        <v>155</v>
      </c>
      <c r="AQ36" s="147">
        <f t="shared" si="27"/>
        <v>350</v>
      </c>
      <c r="AR36" s="147"/>
      <c r="AS36" s="5">
        <f t="shared" si="55"/>
        <v>2.8571428571428572</v>
      </c>
      <c r="AT36" s="5">
        <f t="shared" si="28"/>
        <v>1.0494294041406729</v>
      </c>
      <c r="AU36" s="5">
        <f t="shared" si="56"/>
        <v>1.8077134530021843</v>
      </c>
      <c r="AV36" s="5">
        <f t="shared" si="29"/>
        <v>1.5207136274101134</v>
      </c>
      <c r="AW36" s="153">
        <f t="shared" si="57"/>
        <v>0.36730029144923548</v>
      </c>
      <c r="AX36" s="153">
        <f t="shared" si="30"/>
        <v>2.638444444444445</v>
      </c>
      <c r="AY36" s="153">
        <f t="shared" si="31"/>
        <v>0.20472521742785854</v>
      </c>
      <c r="AZ36" s="153">
        <f t="shared" si="58"/>
        <v>12.887735461188043</v>
      </c>
      <c r="BA36" s="147">
        <f t="shared" si="32"/>
        <v>16.670079701628925</v>
      </c>
      <c r="BB36" s="147">
        <f t="shared" si="33"/>
        <v>2.0982937920623326</v>
      </c>
      <c r="BC36" s="5">
        <f t="shared" si="34"/>
        <v>0.75804340885571675</v>
      </c>
      <c r="BD36" s="147">
        <f t="shared" si="35"/>
        <v>19.821566012512871</v>
      </c>
      <c r="BE36" s="5"/>
      <c r="BF36" s="153">
        <f t="shared" si="59"/>
        <v>0.45288058937915965</v>
      </c>
      <c r="BG36" s="153">
        <f t="shared" si="36"/>
        <v>0.29719526930401668</v>
      </c>
      <c r="BH36" s="153"/>
      <c r="BI36" s="463">
        <f t="shared" si="37"/>
        <v>2.2561091106005651E-2</v>
      </c>
      <c r="BJ36" s="463">
        <f t="shared" si="38"/>
        <v>4.2491746383457214E-2</v>
      </c>
      <c r="BK36" s="463">
        <f t="shared" si="39"/>
        <v>1.7499999999999998E-2</v>
      </c>
      <c r="BL36" s="463">
        <f t="shared" si="40"/>
        <v>2.7715085999999993E-2</v>
      </c>
      <c r="BM36">
        <f t="shared" si="41"/>
        <v>3.2190000000000001E-3</v>
      </c>
      <c r="BN36">
        <f t="shared" si="42"/>
        <v>2.1350000000000001E-5</v>
      </c>
      <c r="BO36" s="463">
        <f t="shared" si="43"/>
        <v>0.117041207308232</v>
      </c>
      <c r="BP36" s="147">
        <f t="shared" si="60"/>
        <v>117.041207308232</v>
      </c>
      <c r="BQ36" s="463">
        <f t="shared" si="44"/>
        <v>7.2706064293173764E-2</v>
      </c>
      <c r="BR36" s="463"/>
      <c r="BT36" s="147">
        <f t="shared" si="61"/>
        <v>72.706064293173768</v>
      </c>
      <c r="BU36" s="463">
        <f t="shared" si="45"/>
        <v>1.7433570400095279E-2</v>
      </c>
      <c r="BV36" s="463">
        <f t="shared" si="46"/>
        <v>1.6781755338370532E-2</v>
      </c>
      <c r="BW36" s="463">
        <f t="shared" si="47"/>
        <v>0</v>
      </c>
      <c r="BX36" s="463">
        <f t="shared" si="48"/>
        <v>3.8426346423868246E-2</v>
      </c>
      <c r="BY36" s="463">
        <f t="shared" si="49"/>
        <v>0.29316049382716058</v>
      </c>
      <c r="BZ36" s="147">
        <f t="shared" si="62"/>
        <v>331.58684025102878</v>
      </c>
      <c r="CA36" s="153">
        <f t="shared" si="63"/>
        <v>0.52133411185243461</v>
      </c>
      <c r="CB36" s="5">
        <f t="shared" si="64"/>
        <v>2.3250000000000002</v>
      </c>
      <c r="CC36" s="153">
        <f t="shared" si="65"/>
        <v>0.81684015601627924</v>
      </c>
      <c r="CD36" s="5">
        <f t="shared" si="66"/>
        <v>81.68401560162792</v>
      </c>
      <c r="CG36" s="59">
        <f t="shared" si="50"/>
        <v>-50</v>
      </c>
      <c r="CH36">
        <f t="shared" si="51"/>
        <v>-50</v>
      </c>
    </row>
    <row r="37" spans="5:86" x14ac:dyDescent="0.25">
      <c r="E37" s="150">
        <v>32</v>
      </c>
      <c r="F37" s="191">
        <f t="shared" si="52"/>
        <v>0.16</v>
      </c>
      <c r="G37" s="191"/>
      <c r="H37" s="191">
        <f t="shared" ref="H37:H68" si="67">F37*Vout</f>
        <v>2.4</v>
      </c>
      <c r="I37" s="472">
        <f t="shared" ref="I37:I68" si="68">Vin</f>
        <v>11.1</v>
      </c>
      <c r="J37" s="152">
        <f t="shared" ref="J37:J68" si="69">(T37+Vfwd1)*Nps</f>
        <v>7.66</v>
      </c>
      <c r="K37" s="386">
        <f t="shared" ref="K37:K68" si="70">(Vout+Vfwd1)*Nps+I37</f>
        <v>18.759999999999998</v>
      </c>
      <c r="L37" s="386"/>
      <c r="M37" s="191">
        <f t="shared" ref="M37:M68" si="71">(Vout+Vfwd1)*Nps/((Vout+Vfwd1)*Nps+I37)</f>
        <v>0.40831556503198302</v>
      </c>
      <c r="N37" s="152">
        <f t="shared" ref="N37:N68" si="72">M37*I37*Isw_max*0.5*Efficiency</f>
        <v>8.3620986140724956</v>
      </c>
      <c r="O37" s="152">
        <f t="shared" si="53"/>
        <v>2.4</v>
      </c>
      <c r="P37" s="191">
        <f t="shared" ref="P37:P68" si="73">N37/Vout</f>
        <v>0.55747324093816641</v>
      </c>
      <c r="Q37" s="191">
        <f t="shared" ref="Q37:Q68" si="74">MIN(Vout,N37/F37)</f>
        <v>15</v>
      </c>
      <c r="R37" s="191">
        <f t="shared" ref="R37:R68" si="75">Isw_max/2*I37*Nps*(Q37+Vfwd1)/Q37/(I37+Nps*(Q37+Vfwd1))</f>
        <v>0.61941471215351818</v>
      </c>
      <c r="S37" s="152">
        <f t="shared" ref="S37:S68" si="76">(SQRT(Isw_max^2*Nps^2*I37^2+4*Isw_max*F37/Efficiency*(Nps^2*Vfwd1*I37-Nps*I37^2)+4*(F37/Efficiency)^2*Nps^2*Vfwd1^2+8*(F37/Efficiency)^2*Nps*Vfwd1*I37+4*(F37/Efficiency)^2*I37^2)-2*F37/Efficiency*I37-2*F37/Efficiency*Nps*Vfwd1+Isw_max*Nps*I37)/(4*F37/Efficiency*Nps)</f>
        <v>105.86377787482871</v>
      </c>
      <c r="T37" s="152">
        <f t="shared" ref="T37:T68" si="77">MIN(Vout, S37)</f>
        <v>15</v>
      </c>
      <c r="U37" s="191">
        <f t="shared" ref="U37:U68" si="78">MIN(2*Vout*F37/(Efficiency*I37*M37), Isw_max)</f>
        <v>1.1767380957981477</v>
      </c>
      <c r="V37" s="191">
        <f t="shared" ref="V37:V68" si="79">L*U37/I37*1000000</f>
        <v>0.95411196956606581</v>
      </c>
      <c r="W37" s="191">
        <f t="shared" ref="W37:W68" si="80">L*U37/J37*1000000</f>
        <v>1.3825904519821579</v>
      </c>
      <c r="X37" s="175">
        <f t="shared" ref="X37:X68" si="81">IF(1/((350000*L)*(1/I37+1/J37))&gt;Isw_min, 350, 0.001/((Isw_min*L)*(1/I37+1/J37)))</f>
        <v>350</v>
      </c>
      <c r="Y37" s="386">
        <f t="shared" si="54"/>
        <v>350</v>
      </c>
      <c r="AA37" s="191">
        <f t="shared" ref="AA37:AA68" si="82">1/((X37*1000*L)*(1/I37+1/J37))</f>
        <v>1.4388262767793685</v>
      </c>
      <c r="AB37" s="153">
        <f t="shared" ref="AB37:AB68" si="83">L*AA37/J37*1000000</f>
        <v>1.6905269570514774</v>
      </c>
      <c r="AC37" s="153">
        <f t="shared" ref="AC37:AC68" si="84">0.5*AB37*AA37*Nps*X37/1000</f>
        <v>0.21283277814833412</v>
      </c>
      <c r="AD37" s="153"/>
      <c r="AE37" s="153">
        <f t="shared" ref="AE37:AE68" si="85">L*Isw_min/J37*1000000</f>
        <v>0.96344647519582249</v>
      </c>
      <c r="AF37" s="317">
        <f t="shared" ref="AF37:AF68" si="86">MAX(12, F37/(0.5*AE37/1000000*Isw_min*Nps)/1000)</f>
        <v>810.09980831515634</v>
      </c>
      <c r="AG37" s="463">
        <f t="shared" ref="AG37:AG68" si="87">0.5*AE37/1000000*Isw_min*Nps*X37*1000</f>
        <v>6.9127284595300251E-2</v>
      </c>
      <c r="AI37" s="153">
        <f t="shared" ref="AI37:AI68" si="88">SQRT(F37/Efficiency/(0.5*L/J37*Fsw_DCM*Nps))</f>
        <v>1.3150063203555169</v>
      </c>
      <c r="AJ37" s="153">
        <f t="shared" ref="AJ37:AJ71" si="89">MAX(IF(F37&gt;AC37,U37,AI37),Isw_min)</f>
        <v>1.3150063203555169</v>
      </c>
      <c r="AK37" s="153">
        <f t="shared" ref="AK37:AK68" si="90">IF(F37&gt;AG37, (AJ37-Isw_min)/1.2*0.8+1.2, AF37*0.2/350+1)</f>
        <v>1.5300042135703447</v>
      </c>
      <c r="AM37" s="317">
        <f t="shared" ref="AM37:AM68" si="91">F37*1000</f>
        <v>160</v>
      </c>
      <c r="AN37" s="147">
        <f t="shared" ref="AN37:AN68" si="92">IF(F37&gt;AG37, Y37, AF37)</f>
        <v>350</v>
      </c>
      <c r="AP37">
        <f t="shared" ref="AP37:AP68" si="93">IF(H37&gt;N37, "",AM37)</f>
        <v>160</v>
      </c>
      <c r="AQ37" s="147">
        <f t="shared" ref="AQ37:AQ68" si="94">IF(H37&gt;N37, "",AN37)</f>
        <v>350</v>
      </c>
      <c r="AR37" s="147"/>
      <c r="AS37" s="5">
        <f t="shared" si="55"/>
        <v>2.8571428571428572</v>
      </c>
      <c r="AT37" s="5">
        <f t="shared" ref="AT37:AT68" si="95">L*AJ37/I37*1000000</f>
        <v>1.0662213408287975</v>
      </c>
      <c r="AU37" s="5">
        <f t="shared" si="56"/>
        <v>1.7909215163140597</v>
      </c>
      <c r="AV37" s="5">
        <f t="shared" ref="AV37:AV68" si="96">L*AJ37/J37*1000000</f>
        <v>1.5450465904960382</v>
      </c>
      <c r="AW37" s="153">
        <f t="shared" si="57"/>
        <v>0.37317746929007911</v>
      </c>
      <c r="AX37" s="153">
        <f t="shared" ref="AX37:AX68" si="97">0.5*L*AJ37^2*AN37*1000</f>
        <v>2.7235555555555564</v>
      </c>
      <c r="AY37" s="153">
        <f t="shared" ref="AY37:AY68" si="98">AJ37*Nps/2*(1-AW37)</f>
        <v>0.20606889740619652</v>
      </c>
      <c r="AZ37" s="153">
        <f t="shared" si="58"/>
        <v>13.216723095222708</v>
      </c>
      <c r="BA37" s="147">
        <f t="shared" ref="BA37:BA68" si="99">L*Isw_max^2/(2*Vout_ripple*Vout)*1000000000*((1+M37)/2)^2</f>
        <v>16.670079701628925</v>
      </c>
      <c r="BB37" s="147">
        <f t="shared" ref="BB37:BB68" si="100">L*F37^2/(2*Cout*Vout*Nps^2)*1000000000*((1+M37)/(1-M37))^2+F37*RCoutEsr</f>
        <v>2.2203671624056494</v>
      </c>
      <c r="BC37" s="5">
        <f t="shared" ref="BC37:BC68" si="101">H37/Efficiency/I37*AU37/Vinripple1</f>
        <v>0.77522777537063969</v>
      </c>
      <c r="BD37" s="147">
        <f t="shared" ref="BD37:BD68" si="102">((CB37/I37/Efficiency)*AU37/Cin+(CB37/I37/Efficiency)*RCinEsr)*1000</f>
        <v>20.277603235752768</v>
      </c>
      <c r="BE37" s="5"/>
      <c r="BF37" s="153">
        <f t="shared" si="59"/>
        <v>0.46379378050436465</v>
      </c>
      <c r="BG37" s="153">
        <f t="shared" ref="BG37:BG68" si="103">AJ37*Nps*SQRT((1-AW37)/3)</f>
        <v>0.30054500634560599</v>
      </c>
      <c r="BH37" s="153"/>
      <c r="BI37" s="463">
        <f t="shared" ref="BI37:BI68" si="104">Rdson*BF37^2</f>
        <v>2.3661513791798386E-2</v>
      </c>
      <c r="BJ37" s="463">
        <f t="shared" ref="BJ37:BJ68" si="105">0.5*K37*AJ37*AN37*1000*Trise</f>
        <v>4.3171657497271615E-2</v>
      </c>
      <c r="BK37" s="463">
        <f t="shared" ref="BK37:BK68" si="106">Qg*Vdd*AN37*1000</f>
        <v>1.7499999999999998E-2</v>
      </c>
      <c r="BL37" s="463">
        <f t="shared" ref="BL37:BL68" si="107">0.5*(Coss+Csw)*K37^2*AN37*1000</f>
        <v>2.7715085999999993E-2</v>
      </c>
      <c r="BM37">
        <f t="shared" ref="BM37:BM68" si="108">I37*IQ</f>
        <v>3.2190000000000001E-3</v>
      </c>
      <c r="BN37">
        <f t="shared" ref="BN37:BN68" si="109">(I37-Vdd)*Qg*AN37</f>
        <v>2.1350000000000001E-5</v>
      </c>
      <c r="BO37" s="463">
        <f t="shared" ref="BO37:BO68" si="110">(BJ37+BK37+BL37+BM37+BN37+BI37*(1+RdsonTC*(Ta-25)))/(1-BI37*RdsonTC*ThetaJA)</f>
        <v>0.11900242259296763</v>
      </c>
      <c r="BP37" s="147">
        <f t="shared" si="60"/>
        <v>119.00242259296763</v>
      </c>
      <c r="BQ37" s="463">
        <f t="shared" ref="BQ37:BQ68" si="111">(Vfwd2*F37+BG37^2*Rdiode)*(1+Diode_TC/1000*(Ta-25))</f>
        <v>7.4922011568242033E-2</v>
      </c>
      <c r="BR37" s="463"/>
      <c r="BT37" s="147">
        <f t="shared" si="61"/>
        <v>74.922011568242027</v>
      </c>
      <c r="BU37" s="463">
        <f t="shared" ref="BU37:BU68" si="112">Rdcr_pri*BF37^2</f>
        <v>1.8283897020935119E-2</v>
      </c>
      <c r="BV37" s="463">
        <f t="shared" ref="BV37:BV68" si="113">Rdcr_sec*BG37^2</f>
        <v>1.7162187159463264E-2</v>
      </c>
      <c r="BW37" s="463">
        <f t="shared" ref="BW37:BW68" si="114">AJ37^2.5*AN37^2.5*k_core</f>
        <v>0</v>
      </c>
      <c r="BX37" s="463">
        <f t="shared" ref="BX37:BX68" si="115">(BW37+(BU37+BV37)*(1+Ltc*(Ta-25)))/(1-(BU37+BV37)*Ltc*ThetaCa)</f>
        <v>3.9812510088769348E-2</v>
      </c>
      <c r="BY37" s="463">
        <f t="shared" ref="BY37:BY68" si="116">0.5*Lleak*0.000000001*AJ37^2*AN37*1000</f>
        <v>0.30261728395061738</v>
      </c>
      <c r="BZ37" s="147">
        <f t="shared" si="62"/>
        <v>342.42979403938671</v>
      </c>
      <c r="CA37" s="153">
        <f t="shared" si="63"/>
        <v>0.53635422820059642</v>
      </c>
      <c r="CB37" s="5">
        <f t="shared" si="64"/>
        <v>2.4</v>
      </c>
      <c r="CC37" s="153">
        <f t="shared" si="65"/>
        <v>0.8173400800729429</v>
      </c>
      <c r="CD37" s="5">
        <f t="shared" si="66"/>
        <v>81.734008007294292</v>
      </c>
      <c r="CG37" s="59">
        <f t="shared" ref="CG37:CG68" si="117">IF(ABS(F37-Ioutmax_Vinnom)&lt;Iout/200, AN37, -50)</f>
        <v>-50</v>
      </c>
      <c r="CH37">
        <f t="shared" ref="CH37:CH68" si="118">IF(ABS(F37-Ioutmax_Vinnom)&lt;Iout/200, N37*CC37, -50)</f>
        <v>-50</v>
      </c>
    </row>
    <row r="38" spans="5:86" x14ac:dyDescent="0.25">
      <c r="E38" s="150">
        <v>33</v>
      </c>
      <c r="F38" s="191">
        <f t="shared" ref="F38:F69" si="119">IF(PLOT_TYPE=1, E38/100*Iout_max, min_I*EXP(N38*rr/100))</f>
        <v>0.16500000000000001</v>
      </c>
      <c r="G38" s="191"/>
      <c r="H38" s="191">
        <f t="shared" si="67"/>
        <v>2.4750000000000001</v>
      </c>
      <c r="I38" s="472">
        <f t="shared" si="68"/>
        <v>11.1</v>
      </c>
      <c r="J38" s="152">
        <f t="shared" si="69"/>
        <v>7.66</v>
      </c>
      <c r="K38" s="386">
        <f t="shared" si="70"/>
        <v>18.759999999999998</v>
      </c>
      <c r="L38" s="386"/>
      <c r="M38" s="191">
        <f t="shared" si="71"/>
        <v>0.40831556503198302</v>
      </c>
      <c r="N38" s="152">
        <f t="shared" si="72"/>
        <v>8.3620986140724956</v>
      </c>
      <c r="O38" s="152">
        <f t="shared" si="53"/>
        <v>2.4750000000000001</v>
      </c>
      <c r="P38" s="191">
        <f t="shared" si="73"/>
        <v>0.55747324093816641</v>
      </c>
      <c r="Q38" s="191">
        <f t="shared" si="74"/>
        <v>15</v>
      </c>
      <c r="R38" s="191">
        <f t="shared" si="75"/>
        <v>0.61941471215351818</v>
      </c>
      <c r="S38" s="152">
        <f t="shared" si="76"/>
        <v>101.98761946160842</v>
      </c>
      <c r="T38" s="152">
        <f t="shared" si="77"/>
        <v>15</v>
      </c>
      <c r="U38" s="191">
        <f t="shared" si="78"/>
        <v>1.2135111612918399</v>
      </c>
      <c r="V38" s="191">
        <f t="shared" si="79"/>
        <v>0.9839279686150052</v>
      </c>
      <c r="W38" s="191">
        <f t="shared" si="80"/>
        <v>1.4257964036066002</v>
      </c>
      <c r="X38" s="175">
        <f t="shared" si="81"/>
        <v>350</v>
      </c>
      <c r="Y38" s="386">
        <f t="shared" si="54"/>
        <v>350</v>
      </c>
      <c r="AA38" s="191">
        <f t="shared" si="82"/>
        <v>1.4388262767793685</v>
      </c>
      <c r="AB38" s="153">
        <f t="shared" si="83"/>
        <v>1.6905269570514774</v>
      </c>
      <c r="AC38" s="153">
        <f t="shared" si="84"/>
        <v>0.21283277814833412</v>
      </c>
      <c r="AD38" s="153"/>
      <c r="AE38" s="153">
        <f t="shared" si="85"/>
        <v>0.96344647519582249</v>
      </c>
      <c r="AF38" s="317">
        <f t="shared" si="86"/>
        <v>835.41542732500511</v>
      </c>
      <c r="AG38" s="463">
        <f t="shared" si="87"/>
        <v>6.9127284595300251E-2</v>
      </c>
      <c r="AI38" s="153">
        <f t="shared" si="88"/>
        <v>1.3353952311134045</v>
      </c>
      <c r="AJ38" s="153">
        <f t="shared" si="89"/>
        <v>1.3353952311134045</v>
      </c>
      <c r="AK38" s="153">
        <f t="shared" si="90"/>
        <v>1.5435968207422697</v>
      </c>
      <c r="AM38" s="317">
        <f t="shared" si="91"/>
        <v>165</v>
      </c>
      <c r="AN38" s="147">
        <f t="shared" si="92"/>
        <v>350</v>
      </c>
      <c r="AP38">
        <f t="shared" si="93"/>
        <v>165</v>
      </c>
      <c r="AQ38" s="147">
        <f t="shared" si="94"/>
        <v>350</v>
      </c>
      <c r="AR38" s="147"/>
      <c r="AS38" s="5">
        <f t="shared" si="55"/>
        <v>2.8571428571428572</v>
      </c>
      <c r="AT38" s="5">
        <f t="shared" si="95"/>
        <v>1.0827528900919496</v>
      </c>
      <c r="AU38" s="5">
        <f t="shared" si="56"/>
        <v>1.7743899670509076</v>
      </c>
      <c r="AV38" s="5">
        <f t="shared" si="96"/>
        <v>1.5690022297677075</v>
      </c>
      <c r="AW38" s="153">
        <f t="shared" si="57"/>
        <v>0.37896351153218238</v>
      </c>
      <c r="AX38" s="153">
        <f t="shared" si="97"/>
        <v>2.8086666666666669</v>
      </c>
      <c r="AY38" s="153">
        <f t="shared" si="98"/>
        <v>0.20733229126183464</v>
      </c>
      <c r="AZ38" s="153">
        <f t="shared" si="58"/>
        <v>13.546691880811146</v>
      </c>
      <c r="BA38" s="147">
        <f t="shared" si="99"/>
        <v>16.670079701628925</v>
      </c>
      <c r="BB38" s="147">
        <f t="shared" si="100"/>
        <v>2.3458396873630392</v>
      </c>
      <c r="BC38" s="5">
        <f t="shared" si="101"/>
        <v>0.79207408641993271</v>
      </c>
      <c r="BD38" s="147">
        <f t="shared" si="102"/>
        <v>20.725112241564275</v>
      </c>
      <c r="BE38" s="5"/>
      <c r="BF38" s="153">
        <f t="shared" si="59"/>
        <v>0.47462202900586969</v>
      </c>
      <c r="BG38" s="153">
        <f t="shared" si="103"/>
        <v>0.30379299586333969</v>
      </c>
      <c r="BH38" s="153"/>
      <c r="BI38" s="463">
        <f t="shared" si="104"/>
        <v>2.4779267745941348E-2</v>
      </c>
      <c r="BJ38" s="463">
        <f t="shared" si="105"/>
        <v>4.3841025437453066E-2</v>
      </c>
      <c r="BK38" s="463">
        <f t="shared" si="106"/>
        <v>1.7499999999999998E-2</v>
      </c>
      <c r="BL38" s="463">
        <f t="shared" si="107"/>
        <v>2.7715085999999993E-2</v>
      </c>
      <c r="BM38">
        <f t="shared" si="108"/>
        <v>3.2190000000000001E-3</v>
      </c>
      <c r="BN38">
        <f t="shared" si="109"/>
        <v>2.1350000000000001E-5</v>
      </c>
      <c r="BO38" s="463">
        <f t="shared" si="110"/>
        <v>0.12097399620840908</v>
      </c>
      <c r="BP38" s="147">
        <f t="shared" si="60"/>
        <v>120.97399620840908</v>
      </c>
      <c r="BQ38" s="463">
        <f t="shared" si="111"/>
        <v>7.7131940166483212E-2</v>
      </c>
      <c r="BR38" s="463"/>
      <c r="BT38" s="147">
        <f t="shared" si="61"/>
        <v>77.131940166483218</v>
      </c>
      <c r="BU38" s="463">
        <f t="shared" si="112"/>
        <v>1.9147615985500133E-2</v>
      </c>
      <c r="BV38" s="463">
        <f t="shared" si="113"/>
        <v>1.7535135023768394E-2</v>
      </c>
      <c r="BW38" s="463">
        <f t="shared" si="114"/>
        <v>0</v>
      </c>
      <c r="BX38" s="463">
        <f t="shared" si="115"/>
        <v>4.1205603923092547E-2</v>
      </c>
      <c r="BY38" s="463">
        <f t="shared" si="116"/>
        <v>0.31207407407407411</v>
      </c>
      <c r="BZ38" s="147">
        <f t="shared" si="62"/>
        <v>353.27967799716663</v>
      </c>
      <c r="CA38" s="153">
        <f t="shared" si="63"/>
        <v>0.55138561437205902</v>
      </c>
      <c r="CB38" s="5">
        <f t="shared" si="64"/>
        <v>2.4750000000000001</v>
      </c>
      <c r="CC38" s="153">
        <f t="shared" si="65"/>
        <v>0.81780721803805378</v>
      </c>
      <c r="CD38" s="5">
        <f t="shared" si="66"/>
        <v>81.780721803805378</v>
      </c>
      <c r="CG38" s="59">
        <f t="shared" si="117"/>
        <v>-50</v>
      </c>
      <c r="CH38">
        <f t="shared" si="118"/>
        <v>-50</v>
      </c>
    </row>
    <row r="39" spans="5:86" x14ac:dyDescent="0.25">
      <c r="E39" s="150">
        <v>34</v>
      </c>
      <c r="F39" s="191">
        <f t="shared" si="119"/>
        <v>0.17</v>
      </c>
      <c r="G39" s="191"/>
      <c r="H39" s="191">
        <f t="shared" si="67"/>
        <v>2.5500000000000003</v>
      </c>
      <c r="I39" s="472">
        <f t="shared" si="68"/>
        <v>11.1</v>
      </c>
      <c r="J39" s="152">
        <f t="shared" si="69"/>
        <v>7.66</v>
      </c>
      <c r="K39" s="386">
        <f t="shared" si="70"/>
        <v>18.759999999999998</v>
      </c>
      <c r="L39" s="386"/>
      <c r="M39" s="191">
        <f t="shared" si="71"/>
        <v>0.40831556503198302</v>
      </c>
      <c r="N39" s="152">
        <f t="shared" si="72"/>
        <v>8.3620986140724956</v>
      </c>
      <c r="O39" s="152">
        <f t="shared" si="53"/>
        <v>2.5500000000000003</v>
      </c>
      <c r="P39" s="191">
        <f t="shared" si="73"/>
        <v>0.55747324093816641</v>
      </c>
      <c r="Q39" s="191">
        <f t="shared" si="74"/>
        <v>15</v>
      </c>
      <c r="R39" s="191">
        <f t="shared" si="75"/>
        <v>0.61941471215351818</v>
      </c>
      <c r="S39" s="152">
        <f t="shared" si="76"/>
        <v>98.339652177868473</v>
      </c>
      <c r="T39" s="152">
        <f t="shared" si="77"/>
        <v>15</v>
      </c>
      <c r="U39" s="191">
        <f t="shared" si="78"/>
        <v>1.2502842267855321</v>
      </c>
      <c r="V39" s="191">
        <f t="shared" si="79"/>
        <v>1.0137439676639453</v>
      </c>
      <c r="W39" s="191">
        <f t="shared" si="80"/>
        <v>1.4690023552310432</v>
      </c>
      <c r="X39" s="175">
        <f t="shared" si="81"/>
        <v>350</v>
      </c>
      <c r="Y39" s="386">
        <f t="shared" si="54"/>
        <v>350</v>
      </c>
      <c r="AA39" s="191">
        <f t="shared" si="82"/>
        <v>1.4388262767793685</v>
      </c>
      <c r="AB39" s="153">
        <f t="shared" si="83"/>
        <v>1.6905269570514774</v>
      </c>
      <c r="AC39" s="153">
        <f t="shared" si="84"/>
        <v>0.21283277814833412</v>
      </c>
      <c r="AD39" s="153"/>
      <c r="AE39" s="153">
        <f t="shared" si="85"/>
        <v>0.96344647519582249</v>
      </c>
      <c r="AF39" s="317">
        <f t="shared" si="86"/>
        <v>860.73104633485377</v>
      </c>
      <c r="AG39" s="463">
        <f t="shared" si="87"/>
        <v>6.9127284595300251E-2</v>
      </c>
      <c r="AI39" s="153">
        <f t="shared" si="88"/>
        <v>1.3554774892951527</v>
      </c>
      <c r="AJ39" s="153">
        <f t="shared" si="89"/>
        <v>1.3554774892951527</v>
      </c>
      <c r="AK39" s="153">
        <f t="shared" si="90"/>
        <v>1.5569849928634352</v>
      </c>
      <c r="AM39" s="317">
        <f t="shared" si="91"/>
        <v>170</v>
      </c>
      <c r="AN39" s="147">
        <f t="shared" si="92"/>
        <v>350</v>
      </c>
      <c r="AP39">
        <f t="shared" si="93"/>
        <v>170</v>
      </c>
      <c r="AQ39" s="147">
        <f t="shared" si="94"/>
        <v>350</v>
      </c>
      <c r="AR39" s="147"/>
      <c r="AS39" s="5">
        <f t="shared" si="55"/>
        <v>2.8571428571428572</v>
      </c>
      <c r="AT39" s="5">
        <f t="shared" si="95"/>
        <v>1.0990358021312048</v>
      </c>
      <c r="AU39" s="5">
        <f t="shared" si="56"/>
        <v>1.7581070550116524</v>
      </c>
      <c r="AV39" s="5">
        <f t="shared" si="96"/>
        <v>1.5925975722788999</v>
      </c>
      <c r="AW39" s="153">
        <f t="shared" si="57"/>
        <v>0.38466253074592166</v>
      </c>
      <c r="AX39" s="153">
        <f t="shared" si="97"/>
        <v>2.8937777777777778</v>
      </c>
      <c r="AY39" s="153">
        <f t="shared" si="98"/>
        <v>0.2085190219734378</v>
      </c>
      <c r="AZ39" s="153">
        <f t="shared" si="58"/>
        <v>13.877764006328409</v>
      </c>
      <c r="BA39" s="147">
        <f t="shared" si="99"/>
        <v>16.670079701628925</v>
      </c>
      <c r="BB39" s="147">
        <f t="shared" si="100"/>
        <v>2.4747113669345024</v>
      </c>
      <c r="BC39" s="5">
        <f t="shared" si="101"/>
        <v>0.80858750467218821</v>
      </c>
      <c r="BD39" s="147">
        <f t="shared" si="102"/>
        <v>21.164223269995968</v>
      </c>
      <c r="BE39" s="5"/>
      <c r="BF39" s="153">
        <f t="shared" si="59"/>
        <v>0.48536854124350554</v>
      </c>
      <c r="BG39" s="153">
        <f t="shared" si="103"/>
        <v>0.30694344776350158</v>
      </c>
      <c r="BH39" s="153"/>
      <c r="BI39" s="463">
        <f t="shared" si="104"/>
        <v>2.5914088291173341E-2</v>
      </c>
      <c r="BJ39" s="463">
        <f t="shared" si="105"/>
        <v>4.4500325973559858E-2</v>
      </c>
      <c r="BK39" s="463">
        <f t="shared" si="106"/>
        <v>1.7499999999999998E-2</v>
      </c>
      <c r="BL39" s="463">
        <f t="shared" si="107"/>
        <v>2.7715085999999993E-2</v>
      </c>
      <c r="BM39">
        <f t="shared" si="108"/>
        <v>3.2190000000000001E-3</v>
      </c>
      <c r="BN39">
        <f t="shared" si="109"/>
        <v>2.1350000000000001E-5</v>
      </c>
      <c r="BO39" s="463">
        <f t="shared" si="110"/>
        <v>0.12295612376786121</v>
      </c>
      <c r="BP39" s="147">
        <f t="shared" si="60"/>
        <v>122.9561237678612</v>
      </c>
      <c r="BQ39" s="463">
        <f t="shared" si="111"/>
        <v>7.9335942003091672E-2</v>
      </c>
      <c r="BR39" s="463"/>
      <c r="BT39" s="147">
        <f t="shared" si="61"/>
        <v>79.335942003091674</v>
      </c>
      <c r="BU39" s="463">
        <f t="shared" si="112"/>
        <v>2.0024522770452129E-2</v>
      </c>
      <c r="BV39" s="463">
        <f t="shared" si="113"/>
        <v>1.790071322373963E-2</v>
      </c>
      <c r="BW39" s="463">
        <f t="shared" si="114"/>
        <v>0</v>
      </c>
      <c r="BX39" s="463">
        <f t="shared" si="115"/>
        <v>4.260553029678784E-2</v>
      </c>
      <c r="BY39" s="463">
        <f t="shared" si="116"/>
        <v>0.32153086419753091</v>
      </c>
      <c r="BZ39" s="147">
        <f t="shared" si="62"/>
        <v>364.13639449431872</v>
      </c>
      <c r="CA39" s="153">
        <f t="shared" si="63"/>
        <v>0.5664284602652716</v>
      </c>
      <c r="CB39" s="5">
        <f t="shared" si="64"/>
        <v>2.5500000000000003</v>
      </c>
      <c r="CC39" s="153">
        <f t="shared" si="65"/>
        <v>0.81824435648458393</v>
      </c>
      <c r="CD39" s="5">
        <f t="shared" si="66"/>
        <v>81.82443564845839</v>
      </c>
      <c r="CG39" s="59">
        <f t="shared" si="117"/>
        <v>-50</v>
      </c>
      <c r="CH39">
        <f t="shared" si="118"/>
        <v>-50</v>
      </c>
    </row>
    <row r="40" spans="5:86" x14ac:dyDescent="0.25">
      <c r="E40" s="150">
        <v>35</v>
      </c>
      <c r="F40" s="191">
        <f t="shared" si="119"/>
        <v>0.17499999999999999</v>
      </c>
      <c r="G40" s="191"/>
      <c r="H40" s="191">
        <f t="shared" si="67"/>
        <v>2.625</v>
      </c>
      <c r="I40" s="472">
        <f t="shared" si="68"/>
        <v>11.1</v>
      </c>
      <c r="J40" s="152">
        <f t="shared" si="69"/>
        <v>7.66</v>
      </c>
      <c r="K40" s="386">
        <f t="shared" si="70"/>
        <v>18.759999999999998</v>
      </c>
      <c r="L40" s="386"/>
      <c r="M40" s="191">
        <f t="shared" si="71"/>
        <v>0.40831556503198302</v>
      </c>
      <c r="N40" s="152">
        <f t="shared" si="72"/>
        <v>8.3620986140724956</v>
      </c>
      <c r="O40" s="152">
        <f t="shared" si="53"/>
        <v>2.625</v>
      </c>
      <c r="P40" s="191">
        <f t="shared" si="73"/>
        <v>0.55747324093816641</v>
      </c>
      <c r="Q40" s="191">
        <f t="shared" si="74"/>
        <v>15</v>
      </c>
      <c r="R40" s="191">
        <f t="shared" si="75"/>
        <v>0.61941471215351818</v>
      </c>
      <c r="S40" s="152">
        <f t="shared" si="76"/>
        <v>94.900320209999506</v>
      </c>
      <c r="T40" s="152">
        <f t="shared" si="77"/>
        <v>15</v>
      </c>
      <c r="U40" s="191">
        <f t="shared" si="78"/>
        <v>1.2870572922792241</v>
      </c>
      <c r="V40" s="191">
        <f t="shared" si="79"/>
        <v>1.0435599667128843</v>
      </c>
      <c r="W40" s="191">
        <f t="shared" si="80"/>
        <v>1.512208306855485</v>
      </c>
      <c r="X40" s="175">
        <f t="shared" si="81"/>
        <v>350</v>
      </c>
      <c r="Y40" s="386">
        <f t="shared" si="54"/>
        <v>350</v>
      </c>
      <c r="AA40" s="191">
        <f t="shared" si="82"/>
        <v>1.4388262767793685</v>
      </c>
      <c r="AB40" s="153">
        <f t="shared" si="83"/>
        <v>1.6905269570514774</v>
      </c>
      <c r="AC40" s="153">
        <f t="shared" si="84"/>
        <v>0.21283277814833412</v>
      </c>
      <c r="AD40" s="153"/>
      <c r="AE40" s="153">
        <f t="shared" si="85"/>
        <v>0.96344647519582249</v>
      </c>
      <c r="AF40" s="317">
        <f t="shared" si="86"/>
        <v>886.04666534470232</v>
      </c>
      <c r="AG40" s="463">
        <f t="shared" si="87"/>
        <v>6.9127284595300251E-2</v>
      </c>
      <c r="AI40" s="153">
        <f t="shared" si="88"/>
        <v>1.3752665286014045</v>
      </c>
      <c r="AJ40" s="153">
        <f t="shared" si="89"/>
        <v>1.3752665286014045</v>
      </c>
      <c r="AK40" s="153">
        <f t="shared" si="90"/>
        <v>1.5701776857342697</v>
      </c>
      <c r="AM40" s="317">
        <f t="shared" si="91"/>
        <v>175</v>
      </c>
      <c r="AN40" s="147">
        <f t="shared" si="92"/>
        <v>350</v>
      </c>
      <c r="AP40">
        <f t="shared" si="93"/>
        <v>175</v>
      </c>
      <c r="AQ40" s="147">
        <f t="shared" si="94"/>
        <v>350</v>
      </c>
      <c r="AR40" s="147"/>
      <c r="AS40" s="5">
        <f t="shared" si="55"/>
        <v>2.8571428571428572</v>
      </c>
      <c r="AT40" s="5">
        <f t="shared" si="95"/>
        <v>1.115080969136274</v>
      </c>
      <c r="AU40" s="5">
        <f t="shared" si="56"/>
        <v>1.7420618880065832</v>
      </c>
      <c r="AV40" s="5">
        <f t="shared" si="96"/>
        <v>1.6158484017509973</v>
      </c>
      <c r="AW40" s="153">
        <f t="shared" si="57"/>
        <v>0.39027833919769589</v>
      </c>
      <c r="AX40" s="153">
        <f t="shared" si="97"/>
        <v>2.9788888888888883</v>
      </c>
      <c r="AY40" s="153">
        <f t="shared" si="98"/>
        <v>0.20963244796616698</v>
      </c>
      <c r="AZ40" s="153">
        <f t="shared" si="58"/>
        <v>14.210056304688372</v>
      </c>
      <c r="BA40" s="147">
        <f t="shared" si="99"/>
        <v>16.670079701628925</v>
      </c>
      <c r="BB40" s="147">
        <f t="shared" si="100"/>
        <v>2.6069822011200388</v>
      </c>
      <c r="BC40" s="5">
        <f t="shared" si="101"/>
        <v>0.82477296323662053</v>
      </c>
      <c r="BD40" s="147">
        <f t="shared" si="102"/>
        <v>21.595060769939401</v>
      </c>
      <c r="BE40" s="5"/>
      <c r="BF40" s="153">
        <f t="shared" si="59"/>
        <v>0.49603631207966281</v>
      </c>
      <c r="BG40" s="153">
        <f t="shared" si="103"/>
        <v>0.31000026290131055</v>
      </c>
      <c r="BH40" s="153"/>
      <c r="BI40" s="463">
        <f t="shared" si="104"/>
        <v>2.7065722519175189E-2</v>
      </c>
      <c r="BJ40" s="463">
        <f t="shared" si="105"/>
        <v>4.5150000133984111E-2</v>
      </c>
      <c r="BK40" s="463">
        <f t="shared" si="106"/>
        <v>1.7499999999999998E-2</v>
      </c>
      <c r="BL40" s="463">
        <f t="shared" si="107"/>
        <v>2.7715085999999993E-2</v>
      </c>
      <c r="BM40">
        <f t="shared" si="108"/>
        <v>3.2190000000000001E-3</v>
      </c>
      <c r="BN40">
        <f t="shared" si="109"/>
        <v>2.1350000000000001E-5</v>
      </c>
      <c r="BO40" s="463">
        <f t="shared" si="110"/>
        <v>0.1249489796422715</v>
      </c>
      <c r="BP40" s="147">
        <f t="shared" si="60"/>
        <v>124.9489796422715</v>
      </c>
      <c r="BQ40" s="463">
        <f t="shared" si="111"/>
        <v>8.1534104906229116E-2</v>
      </c>
      <c r="BR40" s="463"/>
      <c r="BT40" s="147">
        <f t="shared" si="61"/>
        <v>81.534104906229118</v>
      </c>
      <c r="BU40" s="463">
        <f t="shared" si="112"/>
        <v>2.0914421946635377E-2</v>
      </c>
      <c r="BV40" s="463">
        <f t="shared" si="113"/>
        <v>1.8259030969787517E-2</v>
      </c>
      <c r="BW40" s="463">
        <f t="shared" si="114"/>
        <v>0</v>
      </c>
      <c r="BX40" s="463">
        <f t="shared" si="115"/>
        <v>4.4012196041544188E-2</v>
      </c>
      <c r="BY40" s="463">
        <f t="shared" si="116"/>
        <v>0.33098765432098765</v>
      </c>
      <c r="BZ40" s="147">
        <f t="shared" si="62"/>
        <v>374.99985036253179</v>
      </c>
      <c r="CA40" s="153">
        <f t="shared" si="63"/>
        <v>0.58148293491103242</v>
      </c>
      <c r="CB40" s="5">
        <f t="shared" si="64"/>
        <v>2.625</v>
      </c>
      <c r="CC40" s="153">
        <f t="shared" si="65"/>
        <v>0.81865397486446745</v>
      </c>
      <c r="CD40" s="5">
        <f t="shared" si="66"/>
        <v>81.865397486446739</v>
      </c>
      <c r="CG40" s="59">
        <f t="shared" si="117"/>
        <v>-50</v>
      </c>
      <c r="CH40">
        <f t="shared" si="118"/>
        <v>-50</v>
      </c>
    </row>
    <row r="41" spans="5:86" x14ac:dyDescent="0.25">
      <c r="E41" s="150">
        <v>36</v>
      </c>
      <c r="F41" s="191">
        <f t="shared" si="119"/>
        <v>0.18</v>
      </c>
      <c r="G41" s="191"/>
      <c r="H41" s="191">
        <f t="shared" si="67"/>
        <v>2.6999999999999997</v>
      </c>
      <c r="I41" s="472">
        <f t="shared" si="68"/>
        <v>11.1</v>
      </c>
      <c r="J41" s="152">
        <f t="shared" si="69"/>
        <v>7.66</v>
      </c>
      <c r="K41" s="386">
        <f t="shared" si="70"/>
        <v>18.759999999999998</v>
      </c>
      <c r="L41" s="386"/>
      <c r="M41" s="191">
        <f t="shared" si="71"/>
        <v>0.40831556503198302</v>
      </c>
      <c r="N41" s="152">
        <f t="shared" si="72"/>
        <v>8.3620986140724956</v>
      </c>
      <c r="O41" s="152">
        <f t="shared" si="53"/>
        <v>2.6999999999999997</v>
      </c>
      <c r="P41" s="191">
        <f t="shared" si="73"/>
        <v>0.55747324093816641</v>
      </c>
      <c r="Q41" s="191">
        <f t="shared" si="74"/>
        <v>15</v>
      </c>
      <c r="R41" s="191">
        <f t="shared" si="75"/>
        <v>0.61941471215351818</v>
      </c>
      <c r="S41" s="152">
        <f t="shared" si="76"/>
        <v>91.652240697259771</v>
      </c>
      <c r="T41" s="152">
        <f t="shared" si="77"/>
        <v>15</v>
      </c>
      <c r="U41" s="191">
        <f t="shared" si="78"/>
        <v>1.323830357772916</v>
      </c>
      <c r="V41" s="191">
        <f t="shared" si="79"/>
        <v>1.0733759657618238</v>
      </c>
      <c r="W41" s="191">
        <f t="shared" si="80"/>
        <v>1.5554142584799273</v>
      </c>
      <c r="X41" s="175">
        <f t="shared" si="81"/>
        <v>350</v>
      </c>
      <c r="Y41" s="386">
        <f t="shared" si="54"/>
        <v>350</v>
      </c>
      <c r="AA41" s="191">
        <f t="shared" si="82"/>
        <v>1.4388262767793685</v>
      </c>
      <c r="AB41" s="153">
        <f t="shared" si="83"/>
        <v>1.6905269570514774</v>
      </c>
      <c r="AC41" s="153">
        <f t="shared" si="84"/>
        <v>0.21283277814833412</v>
      </c>
      <c r="AD41" s="153"/>
      <c r="AE41" s="153">
        <f t="shared" si="85"/>
        <v>0.96344647519582249</v>
      </c>
      <c r="AF41" s="317">
        <f t="shared" si="86"/>
        <v>911.36228435455087</v>
      </c>
      <c r="AG41" s="463">
        <f t="shared" si="87"/>
        <v>6.9127284595300251E-2</v>
      </c>
      <c r="AI41" s="153">
        <f t="shared" si="88"/>
        <v>1.394774829639833</v>
      </c>
      <c r="AJ41" s="153">
        <f t="shared" si="89"/>
        <v>1.394774829639833</v>
      </c>
      <c r="AK41" s="153">
        <f t="shared" si="90"/>
        <v>1.5831832197598887</v>
      </c>
      <c r="AM41" s="317">
        <f t="shared" si="91"/>
        <v>180</v>
      </c>
      <c r="AN41" s="147">
        <f t="shared" si="92"/>
        <v>350</v>
      </c>
      <c r="AP41">
        <f t="shared" si="93"/>
        <v>180</v>
      </c>
      <c r="AQ41" s="147">
        <f t="shared" si="94"/>
        <v>350</v>
      </c>
      <c r="AR41" s="147"/>
      <c r="AS41" s="5">
        <f t="shared" si="55"/>
        <v>2.8571428571428572</v>
      </c>
      <c r="AT41" s="5">
        <f t="shared" si="95"/>
        <v>1.1308985105187837</v>
      </c>
      <c r="AU41" s="5">
        <f t="shared" si="56"/>
        <v>1.7262443466240736</v>
      </c>
      <c r="AV41" s="5">
        <f t="shared" si="96"/>
        <v>1.6387693820833549</v>
      </c>
      <c r="AW41" s="153">
        <f t="shared" si="57"/>
        <v>0.39581447868157427</v>
      </c>
      <c r="AX41" s="153">
        <f t="shared" si="97"/>
        <v>3.0640000000000001</v>
      </c>
      <c r="AY41" s="153">
        <f t="shared" si="98"/>
        <v>0.21067568939194023</v>
      </c>
      <c r="AZ41" s="153">
        <f t="shared" si="58"/>
        <v>14.543680900456181</v>
      </c>
      <c r="BA41" s="147">
        <f t="shared" si="99"/>
        <v>16.670079701628925</v>
      </c>
      <c r="BB41" s="147">
        <f t="shared" si="100"/>
        <v>2.7426521899196494</v>
      </c>
      <c r="BC41" s="5">
        <f t="shared" si="101"/>
        <v>0.84063518218849431</v>
      </c>
      <c r="BD41" s="147">
        <f t="shared" si="102"/>
        <v>22.017743816020555</v>
      </c>
      <c r="BE41" s="5"/>
      <c r="BF41" s="153">
        <f t="shared" si="59"/>
        <v>0.50662814445877824</v>
      </c>
      <c r="BG41" s="153">
        <f t="shared" si="103"/>
        <v>0.31296706364562699</v>
      </c>
      <c r="BH41" s="153"/>
      <c r="BI41" s="463">
        <f t="shared" si="104"/>
        <v>2.8233928443351913E-2</v>
      </c>
      <c r="BJ41" s="463">
        <f t="shared" si="105"/>
        <v>4.5790457657075713E-2</v>
      </c>
      <c r="BK41" s="463">
        <f t="shared" si="106"/>
        <v>1.7499999999999998E-2</v>
      </c>
      <c r="BL41" s="463">
        <f t="shared" si="107"/>
        <v>2.7715085999999993E-2</v>
      </c>
      <c r="BM41">
        <f t="shared" si="108"/>
        <v>3.2190000000000001E-3</v>
      </c>
      <c r="BN41">
        <f t="shared" si="109"/>
        <v>2.1350000000000001E-5</v>
      </c>
      <c r="BO41" s="463">
        <f t="shared" si="110"/>
        <v>0.12695271944262182</v>
      </c>
      <c r="BP41" s="147">
        <f t="shared" si="60"/>
        <v>126.95271944262181</v>
      </c>
      <c r="BQ41" s="463">
        <f t="shared" si="111"/>
        <v>8.3726512911240392E-2</v>
      </c>
      <c r="BR41" s="463"/>
      <c r="BT41" s="147">
        <f t="shared" si="61"/>
        <v>83.726512911240391</v>
      </c>
      <c r="BU41" s="463">
        <f t="shared" si="112"/>
        <v>2.1817126524408297E-2</v>
      </c>
      <c r="BV41" s="463">
        <f t="shared" si="113"/>
        <v>1.8610192756123529E-2</v>
      </c>
      <c r="BW41" s="463">
        <f t="shared" si="114"/>
        <v>0</v>
      </c>
      <c r="BX41" s="463">
        <f t="shared" si="115"/>
        <v>4.5425512128780599E-2</v>
      </c>
      <c r="BY41" s="463">
        <f t="shared" si="116"/>
        <v>0.34044444444444444</v>
      </c>
      <c r="BZ41" s="147">
        <f t="shared" si="62"/>
        <v>385.86995657322501</v>
      </c>
      <c r="CA41" s="153">
        <f t="shared" si="63"/>
        <v>0.5965491889270873</v>
      </c>
      <c r="CB41" s="5">
        <f t="shared" si="64"/>
        <v>2.6999999999999997</v>
      </c>
      <c r="CC41" s="153">
        <f t="shared" si="65"/>
        <v>0.81903828678459867</v>
      </c>
      <c r="CD41" s="5">
        <f t="shared" si="66"/>
        <v>81.90382867845986</v>
      </c>
      <c r="CG41" s="59">
        <f t="shared" si="117"/>
        <v>-50</v>
      </c>
      <c r="CH41">
        <f t="shared" si="118"/>
        <v>-50</v>
      </c>
    </row>
    <row r="42" spans="5:86" x14ac:dyDescent="0.25">
      <c r="E42" s="150">
        <v>37</v>
      </c>
      <c r="F42" s="191">
        <f t="shared" si="119"/>
        <v>0.185</v>
      </c>
      <c r="G42" s="191"/>
      <c r="H42" s="191">
        <f t="shared" si="67"/>
        <v>2.7749999999999999</v>
      </c>
      <c r="I42" s="472">
        <f t="shared" si="68"/>
        <v>11.1</v>
      </c>
      <c r="J42" s="152">
        <f t="shared" si="69"/>
        <v>7.66</v>
      </c>
      <c r="K42" s="386">
        <f t="shared" si="70"/>
        <v>18.759999999999998</v>
      </c>
      <c r="L42" s="386"/>
      <c r="M42" s="191">
        <f t="shared" si="71"/>
        <v>0.40831556503198302</v>
      </c>
      <c r="N42" s="152">
        <f t="shared" si="72"/>
        <v>8.3620986140724956</v>
      </c>
      <c r="O42" s="152">
        <f t="shared" si="53"/>
        <v>2.7749999999999999</v>
      </c>
      <c r="P42" s="191">
        <f t="shared" si="73"/>
        <v>0.55747324093816641</v>
      </c>
      <c r="Q42" s="191">
        <f t="shared" si="74"/>
        <v>15</v>
      </c>
      <c r="R42" s="191">
        <f t="shared" si="75"/>
        <v>0.61941471215351818</v>
      </c>
      <c r="S42" s="152">
        <f t="shared" si="76"/>
        <v>88.579910092064694</v>
      </c>
      <c r="T42" s="152">
        <f t="shared" si="77"/>
        <v>15</v>
      </c>
      <c r="U42" s="191">
        <f t="shared" si="78"/>
        <v>1.3606034232666082</v>
      </c>
      <c r="V42" s="191">
        <f t="shared" si="79"/>
        <v>1.1031919648107633</v>
      </c>
      <c r="W42" s="191">
        <f t="shared" si="80"/>
        <v>1.5986202101043698</v>
      </c>
      <c r="X42" s="175">
        <f t="shared" si="81"/>
        <v>350</v>
      </c>
      <c r="Y42" s="386">
        <f t="shared" si="54"/>
        <v>350</v>
      </c>
      <c r="AA42" s="191">
        <f t="shared" si="82"/>
        <v>1.4388262767793685</v>
      </c>
      <c r="AB42" s="153">
        <f t="shared" si="83"/>
        <v>1.6905269570514774</v>
      </c>
      <c r="AC42" s="153">
        <f t="shared" si="84"/>
        <v>0.21283277814833412</v>
      </c>
      <c r="AD42" s="153"/>
      <c r="AE42" s="153">
        <f t="shared" si="85"/>
        <v>0.96344647519582249</v>
      </c>
      <c r="AF42" s="317">
        <f t="shared" si="86"/>
        <v>936.67790336439953</v>
      </c>
      <c r="AG42" s="463">
        <f t="shared" si="87"/>
        <v>6.9127284595300251E-2</v>
      </c>
      <c r="AI42" s="153">
        <f t="shared" si="88"/>
        <v>1.4140140119893765</v>
      </c>
      <c r="AJ42" s="153">
        <f t="shared" si="89"/>
        <v>1.4140140119893765</v>
      </c>
      <c r="AK42" s="153">
        <f t="shared" si="90"/>
        <v>1.5960093413262511</v>
      </c>
      <c r="AM42" s="317">
        <f t="shared" si="91"/>
        <v>185</v>
      </c>
      <c r="AN42" s="147">
        <f t="shared" si="92"/>
        <v>350</v>
      </c>
      <c r="AP42">
        <f t="shared" si="93"/>
        <v>185</v>
      </c>
      <c r="AQ42" s="147">
        <f t="shared" si="94"/>
        <v>350</v>
      </c>
      <c r="AR42" s="147"/>
      <c r="AS42" s="5">
        <f t="shared" si="55"/>
        <v>2.8571428571428572</v>
      </c>
      <c r="AT42" s="5">
        <f t="shared" si="95"/>
        <v>1.146497847558954</v>
      </c>
      <c r="AU42" s="5">
        <f t="shared" si="56"/>
        <v>1.7106450095839032</v>
      </c>
      <c r="AV42" s="5">
        <f t="shared" si="96"/>
        <v>1.6613741655227661</v>
      </c>
      <c r="AW42" s="153">
        <f t="shared" si="57"/>
        <v>0.40127424664563388</v>
      </c>
      <c r="AX42" s="153">
        <f t="shared" si="97"/>
        <v>3.1491111111111114</v>
      </c>
      <c r="AY42" s="153">
        <f t="shared" si="98"/>
        <v>0.21165165114549231</v>
      </c>
      <c r="AZ42" s="153">
        <f t="shared" si="58"/>
        <v>14.878745779055455</v>
      </c>
      <c r="BA42" s="147">
        <f t="shared" si="99"/>
        <v>16.670079701628925</v>
      </c>
      <c r="BB42" s="147">
        <f t="shared" si="100"/>
        <v>2.8817213333333331</v>
      </c>
      <c r="BC42" s="5">
        <f t="shared" si="101"/>
        <v>0.85617868347542692</v>
      </c>
      <c r="BD42" s="147">
        <f t="shared" si="102"/>
        <v>22.432386484645242</v>
      </c>
      <c r="BE42" s="5"/>
      <c r="BF42" s="153">
        <f t="shared" si="59"/>
        <v>0.51714666668191234</v>
      </c>
      <c r="BG42" s="153">
        <f t="shared" si="103"/>
        <v>0.31584722065180681</v>
      </c>
      <c r="BH42" s="153"/>
      <c r="BI42" s="463">
        <f t="shared" si="104"/>
        <v>2.9418474234623425E-2</v>
      </c>
      <c r="BJ42" s="463">
        <f t="shared" si="105"/>
        <v>4.6422080013611228E-2</v>
      </c>
      <c r="BK42" s="463">
        <f t="shared" si="106"/>
        <v>1.7499999999999998E-2</v>
      </c>
      <c r="BL42" s="463">
        <f t="shared" si="107"/>
        <v>2.7715085999999993E-2</v>
      </c>
      <c r="BM42">
        <f t="shared" si="108"/>
        <v>3.2190000000000001E-3</v>
      </c>
      <c r="BN42">
        <f t="shared" si="109"/>
        <v>2.1350000000000001E-5</v>
      </c>
      <c r="BO42" s="463">
        <f t="shared" si="110"/>
        <v>0.12896748216862031</v>
      </c>
      <c r="BP42" s="147">
        <f t="shared" si="60"/>
        <v>128.96748216862031</v>
      </c>
      <c r="BQ42" s="463">
        <f t="shared" si="111"/>
        <v>8.5913246526042375E-2</v>
      </c>
      <c r="BR42" s="463"/>
      <c r="BT42" s="147">
        <f t="shared" si="61"/>
        <v>85.913246526042371</v>
      </c>
      <c r="BU42" s="463">
        <f t="shared" si="112"/>
        <v>2.2732457363118103E-2</v>
      </c>
      <c r="BV42" s="463">
        <f t="shared" si="113"/>
        <v>1.8954298690759517E-2</v>
      </c>
      <c r="BW42" s="463">
        <f t="shared" si="114"/>
        <v>0</v>
      </c>
      <c r="BX42" s="463">
        <f t="shared" si="115"/>
        <v>4.6845393379226753E-2</v>
      </c>
      <c r="BY42" s="463">
        <f t="shared" si="116"/>
        <v>0.34990123456790123</v>
      </c>
      <c r="BZ42" s="147">
        <f t="shared" si="62"/>
        <v>396.74662794712799</v>
      </c>
      <c r="CA42" s="153">
        <f t="shared" si="63"/>
        <v>0.61162735664179069</v>
      </c>
      <c r="CB42" s="5">
        <f t="shared" si="64"/>
        <v>2.7749999999999999</v>
      </c>
      <c r="CC42" s="153">
        <f t="shared" si="65"/>
        <v>0.81939927478519936</v>
      </c>
      <c r="CD42" s="5">
        <f t="shared" si="66"/>
        <v>81.939927478519934</v>
      </c>
      <c r="CG42" s="59">
        <f t="shared" si="117"/>
        <v>-50</v>
      </c>
      <c r="CH42">
        <f t="shared" si="118"/>
        <v>-50</v>
      </c>
    </row>
    <row r="43" spans="5:86" x14ac:dyDescent="0.25">
      <c r="E43" s="150">
        <v>38</v>
      </c>
      <c r="F43" s="191">
        <f t="shared" si="119"/>
        <v>0.19</v>
      </c>
      <c r="G43" s="191"/>
      <c r="H43" s="191">
        <f t="shared" si="67"/>
        <v>2.85</v>
      </c>
      <c r="I43" s="472">
        <f t="shared" si="68"/>
        <v>11.1</v>
      </c>
      <c r="J43" s="152">
        <f t="shared" si="69"/>
        <v>7.66</v>
      </c>
      <c r="K43" s="386">
        <f t="shared" si="70"/>
        <v>18.759999999999998</v>
      </c>
      <c r="L43" s="386"/>
      <c r="M43" s="191">
        <f t="shared" si="71"/>
        <v>0.40831556503198302</v>
      </c>
      <c r="N43" s="152">
        <f t="shared" si="72"/>
        <v>8.3620986140724956</v>
      </c>
      <c r="O43" s="152">
        <f t="shared" si="53"/>
        <v>2.85</v>
      </c>
      <c r="P43" s="191">
        <f t="shared" si="73"/>
        <v>0.55747324093816641</v>
      </c>
      <c r="Q43" s="191">
        <f t="shared" si="74"/>
        <v>15</v>
      </c>
      <c r="R43" s="191">
        <f t="shared" si="75"/>
        <v>0.61941471215351818</v>
      </c>
      <c r="S43" s="152">
        <f t="shared" si="76"/>
        <v>85.669456884532423</v>
      </c>
      <c r="T43" s="152">
        <f t="shared" si="77"/>
        <v>15</v>
      </c>
      <c r="U43" s="191">
        <f t="shared" si="78"/>
        <v>1.3973764887603004</v>
      </c>
      <c r="V43" s="191">
        <f t="shared" si="79"/>
        <v>1.133007963859703</v>
      </c>
      <c r="W43" s="191">
        <f t="shared" si="80"/>
        <v>1.6418261617288126</v>
      </c>
      <c r="X43" s="175">
        <f t="shared" si="81"/>
        <v>350</v>
      </c>
      <c r="Y43" s="386">
        <f t="shared" si="54"/>
        <v>350</v>
      </c>
      <c r="AA43" s="191">
        <f t="shared" si="82"/>
        <v>1.4388262767793685</v>
      </c>
      <c r="AB43" s="153">
        <f t="shared" si="83"/>
        <v>1.6905269570514774</v>
      </c>
      <c r="AC43" s="153">
        <f t="shared" si="84"/>
        <v>0.21283277814833412</v>
      </c>
      <c r="AD43" s="153"/>
      <c r="AE43" s="153">
        <f t="shared" si="85"/>
        <v>0.96344647519582249</v>
      </c>
      <c r="AF43" s="317">
        <f t="shared" si="86"/>
        <v>961.9935223742483</v>
      </c>
      <c r="AG43" s="463">
        <f t="shared" si="87"/>
        <v>6.9127284595300251E-2</v>
      </c>
      <c r="AI43" s="153">
        <f t="shared" si="88"/>
        <v>1.4329949151367427</v>
      </c>
      <c r="AJ43" s="153">
        <f t="shared" si="89"/>
        <v>1.4329949151367427</v>
      </c>
      <c r="AK43" s="153">
        <f t="shared" si="90"/>
        <v>1.6086632767578286</v>
      </c>
      <c r="AM43" s="317">
        <f t="shared" si="91"/>
        <v>190</v>
      </c>
      <c r="AN43" s="147">
        <f t="shared" si="92"/>
        <v>350</v>
      </c>
      <c r="AP43">
        <f t="shared" si="93"/>
        <v>190</v>
      </c>
      <c r="AQ43" s="147">
        <f t="shared" si="94"/>
        <v>350</v>
      </c>
      <c r="AR43" s="147"/>
      <c r="AS43" s="5">
        <f t="shared" si="55"/>
        <v>2.8571428571428572</v>
      </c>
      <c r="AT43" s="5">
        <f t="shared" si="95"/>
        <v>1.1618877690297915</v>
      </c>
      <c r="AU43" s="5">
        <f t="shared" si="56"/>
        <v>1.6952550881130657</v>
      </c>
      <c r="AV43" s="5">
        <f t="shared" si="96"/>
        <v>1.6836754877585749</v>
      </c>
      <c r="AW43" s="153">
        <f t="shared" si="57"/>
        <v>0.40666071916042701</v>
      </c>
      <c r="AX43" s="153">
        <f t="shared" si="97"/>
        <v>3.2342222222222223</v>
      </c>
      <c r="AY43" s="153">
        <f t="shared" si="98"/>
        <v>0.21256304309849997</v>
      </c>
      <c r="AZ43" s="153">
        <f t="shared" si="58"/>
        <v>15.215355289788123</v>
      </c>
      <c r="BA43" s="147">
        <f t="shared" si="99"/>
        <v>16.670079701628925</v>
      </c>
      <c r="BB43" s="147">
        <f t="shared" si="100"/>
        <v>3.0241896313610912</v>
      </c>
      <c r="BC43" s="5">
        <f t="shared" si="101"/>
        <v>0.87140780440300425</v>
      </c>
      <c r="BD43" s="147">
        <f t="shared" si="102"/>
        <v>22.839098194204379</v>
      </c>
      <c r="BE43" s="5"/>
      <c r="BF43" s="153">
        <f t="shared" si="59"/>
        <v>0.52759434770259805</v>
      </c>
      <c r="BG43" s="153">
        <f t="shared" si="103"/>
        <v>0.31864387640234709</v>
      </c>
      <c r="BH43" s="153"/>
      <c r="BI43" s="463">
        <f t="shared" si="104"/>
        <v>3.0619137530050293E-2</v>
      </c>
      <c r="BJ43" s="463">
        <f t="shared" si="105"/>
        <v>4.7045223063939261E-2</v>
      </c>
      <c r="BK43" s="463">
        <f t="shared" si="106"/>
        <v>1.7499999999999998E-2</v>
      </c>
      <c r="BL43" s="463">
        <f t="shared" si="107"/>
        <v>2.7715085999999993E-2</v>
      </c>
      <c r="BM43">
        <f t="shared" si="108"/>
        <v>3.2190000000000001E-3</v>
      </c>
      <c r="BN43">
        <f t="shared" si="109"/>
        <v>2.1350000000000001E-5</v>
      </c>
      <c r="BO43" s="463">
        <f t="shared" si="110"/>
        <v>0.13099339207538713</v>
      </c>
      <c r="BP43" s="147">
        <f t="shared" si="60"/>
        <v>130.99339207538713</v>
      </c>
      <c r="BQ43" s="463">
        <f t="shared" si="111"/>
        <v>8.8094382971219548E-2</v>
      </c>
      <c r="BR43" s="463"/>
      <c r="BT43" s="147">
        <f t="shared" si="61"/>
        <v>88.094382971219545</v>
      </c>
      <c r="BU43" s="463">
        <f t="shared" si="112"/>
        <v>2.3660242636857048E-2</v>
      </c>
      <c r="BV43" s="463">
        <f t="shared" si="113"/>
        <v>1.9291444794055708E-2</v>
      </c>
      <c r="BW43" s="463">
        <f t="shared" si="114"/>
        <v>0</v>
      </c>
      <c r="BX43" s="463">
        <f t="shared" si="115"/>
        <v>4.8271758200218805E-2</v>
      </c>
      <c r="BY43" s="463">
        <f t="shared" si="116"/>
        <v>0.35935802469135814</v>
      </c>
      <c r="BZ43" s="147">
        <f t="shared" si="62"/>
        <v>407.62978289157689</v>
      </c>
      <c r="CA43" s="153">
        <f t="shared" si="63"/>
        <v>0.62671755793818362</v>
      </c>
      <c r="CB43" s="5">
        <f t="shared" si="64"/>
        <v>2.85</v>
      </c>
      <c r="CC43" s="153">
        <f t="shared" si="65"/>
        <v>0.81973871978549528</v>
      </c>
      <c r="CD43" s="5">
        <f t="shared" si="66"/>
        <v>81.973871978549525</v>
      </c>
      <c r="CG43" s="59">
        <f t="shared" si="117"/>
        <v>-50</v>
      </c>
      <c r="CH43">
        <f t="shared" si="118"/>
        <v>-50</v>
      </c>
    </row>
    <row r="44" spans="5:86" x14ac:dyDescent="0.25">
      <c r="E44" s="150">
        <v>39</v>
      </c>
      <c r="F44" s="191">
        <f t="shared" si="119"/>
        <v>0.19500000000000001</v>
      </c>
      <c r="G44" s="191"/>
      <c r="H44" s="191">
        <f t="shared" si="67"/>
        <v>2.9250000000000003</v>
      </c>
      <c r="I44" s="472">
        <f t="shared" si="68"/>
        <v>11.1</v>
      </c>
      <c r="J44" s="152">
        <f t="shared" si="69"/>
        <v>7.66</v>
      </c>
      <c r="K44" s="386">
        <f t="shared" si="70"/>
        <v>18.759999999999998</v>
      </c>
      <c r="L44" s="386"/>
      <c r="M44" s="191">
        <f t="shared" si="71"/>
        <v>0.40831556503198302</v>
      </c>
      <c r="N44" s="152">
        <f t="shared" si="72"/>
        <v>8.3620986140724956</v>
      </c>
      <c r="O44" s="152">
        <f t="shared" si="53"/>
        <v>2.9250000000000003</v>
      </c>
      <c r="P44" s="191">
        <f t="shared" si="73"/>
        <v>0.55747324093816641</v>
      </c>
      <c r="Q44" s="191">
        <f t="shared" si="74"/>
        <v>15</v>
      </c>
      <c r="R44" s="191">
        <f t="shared" si="75"/>
        <v>0.61941471215351818</v>
      </c>
      <c r="S44" s="152">
        <f t="shared" si="76"/>
        <v>82.908432369500105</v>
      </c>
      <c r="T44" s="152">
        <f t="shared" si="77"/>
        <v>15</v>
      </c>
      <c r="U44" s="191">
        <f t="shared" si="78"/>
        <v>1.4341495542539926</v>
      </c>
      <c r="V44" s="191">
        <f t="shared" si="79"/>
        <v>1.1628239629086428</v>
      </c>
      <c r="W44" s="191">
        <f t="shared" si="80"/>
        <v>1.6850321133532551</v>
      </c>
      <c r="X44" s="175">
        <f t="shared" si="81"/>
        <v>350</v>
      </c>
      <c r="Y44" s="386">
        <f t="shared" si="54"/>
        <v>350</v>
      </c>
      <c r="AA44" s="191">
        <f t="shared" si="82"/>
        <v>1.4388262767793685</v>
      </c>
      <c r="AB44" s="153">
        <f t="shared" si="83"/>
        <v>1.6905269570514774</v>
      </c>
      <c r="AC44" s="153">
        <f t="shared" si="84"/>
        <v>0.21283277814833412</v>
      </c>
      <c r="AD44" s="153"/>
      <c r="AE44" s="153">
        <f t="shared" si="85"/>
        <v>0.96344647519582249</v>
      </c>
      <c r="AF44" s="317">
        <f t="shared" si="86"/>
        <v>987.30914138409696</v>
      </c>
      <c r="AG44" s="463">
        <f t="shared" si="87"/>
        <v>6.9127284595300251E-2</v>
      </c>
      <c r="AI44" s="153">
        <f t="shared" si="88"/>
        <v>1.4517276698862043</v>
      </c>
      <c r="AJ44" s="153">
        <f t="shared" si="89"/>
        <v>1.4517276698862043</v>
      </c>
      <c r="AK44" s="153">
        <f t="shared" si="90"/>
        <v>1.6211517799241362</v>
      </c>
      <c r="AM44" s="317">
        <f t="shared" si="91"/>
        <v>195</v>
      </c>
      <c r="AN44" s="147">
        <f t="shared" si="92"/>
        <v>350</v>
      </c>
      <c r="AP44">
        <f t="shared" si="93"/>
        <v>195</v>
      </c>
      <c r="AQ44" s="147">
        <f t="shared" si="94"/>
        <v>350</v>
      </c>
      <c r="AR44" s="147"/>
      <c r="AS44" s="5">
        <f t="shared" si="55"/>
        <v>2.8571428571428572</v>
      </c>
      <c r="AT44" s="5">
        <f t="shared" si="95"/>
        <v>1.1770764890969225</v>
      </c>
      <c r="AU44" s="5">
        <f t="shared" si="56"/>
        <v>1.6800663680459347</v>
      </c>
      <c r="AV44" s="5">
        <f t="shared" si="96"/>
        <v>1.7056852518245222</v>
      </c>
      <c r="AW44" s="153">
        <f t="shared" si="57"/>
        <v>0.4119767711839229</v>
      </c>
      <c r="AX44" s="153">
        <f t="shared" si="97"/>
        <v>3.3193333333333341</v>
      </c>
      <c r="AY44" s="153">
        <f t="shared" si="98"/>
        <v>0.21341239795203151</v>
      </c>
      <c r="AZ44" s="153">
        <f t="shared" si="58"/>
        <v>15.553610592386566</v>
      </c>
      <c r="BA44" s="147">
        <f t="shared" si="99"/>
        <v>16.670079701628925</v>
      </c>
      <c r="BB44" s="147">
        <f t="shared" si="100"/>
        <v>3.1700570840029223</v>
      </c>
      <c r="BC44" s="5">
        <f t="shared" si="101"/>
        <v>0.88632670986921314</v>
      </c>
      <c r="BD44" s="147">
        <f t="shared" si="102"/>
        <v>23.237984013715348</v>
      </c>
      <c r="BE44" s="5"/>
      <c r="BF44" s="153">
        <f t="shared" si="59"/>
        <v>0.5379735107166238</v>
      </c>
      <c r="BG44" s="153">
        <f t="shared" si="103"/>
        <v>0.32135996597985989</v>
      </c>
      <c r="BH44" s="153"/>
      <c r="BI44" s="463">
        <f t="shared" si="104"/>
        <v>3.1835704805604631E-2</v>
      </c>
      <c r="BJ44" s="463">
        <f t="shared" si="105"/>
        <v>4.7660219402364083E-2</v>
      </c>
      <c r="BK44" s="463">
        <f t="shared" si="106"/>
        <v>1.7499999999999998E-2</v>
      </c>
      <c r="BL44" s="463">
        <f t="shared" si="107"/>
        <v>2.7715085999999993E-2</v>
      </c>
      <c r="BM44">
        <f t="shared" si="108"/>
        <v>3.2190000000000001E-3</v>
      </c>
      <c r="BN44">
        <f t="shared" si="109"/>
        <v>2.1350000000000001E-5</v>
      </c>
      <c r="BO44" s="463">
        <f t="shared" si="110"/>
        <v>0.13303056030075533</v>
      </c>
      <c r="BP44" s="147">
        <f t="shared" si="60"/>
        <v>133.03056030075533</v>
      </c>
      <c r="BQ44" s="463">
        <f t="shared" si="111"/>
        <v>9.0269996397843333E-2</v>
      </c>
      <c r="BR44" s="463"/>
      <c r="BT44" s="147">
        <f t="shared" si="61"/>
        <v>90.269996397843329</v>
      </c>
      <c r="BU44" s="463">
        <f t="shared" si="112"/>
        <v>2.4600317349785395E-2</v>
      </c>
      <c r="BV44" s="463">
        <f t="shared" si="113"/>
        <v>1.9621723269569572E-2</v>
      </c>
      <c r="BW44" s="463">
        <f t="shared" si="114"/>
        <v>0</v>
      </c>
      <c r="BX44" s="463">
        <f t="shared" si="115"/>
        <v>4.970452834740114E-2</v>
      </c>
      <c r="BY44" s="463">
        <f t="shared" si="116"/>
        <v>0.36881481481481504</v>
      </c>
      <c r="BZ44" s="147">
        <f t="shared" si="62"/>
        <v>418.51934316221616</v>
      </c>
      <c r="CA44" s="153">
        <f t="shared" si="63"/>
        <v>0.64181989986081489</v>
      </c>
      <c r="CB44" s="5">
        <f t="shared" si="64"/>
        <v>2.9250000000000003</v>
      </c>
      <c r="CC44" s="153">
        <f t="shared" si="65"/>
        <v>0.82005822612858592</v>
      </c>
      <c r="CD44" s="5">
        <f t="shared" si="66"/>
        <v>82.005822612858594</v>
      </c>
      <c r="CG44" s="59">
        <f t="shared" si="117"/>
        <v>-50</v>
      </c>
      <c r="CH44">
        <f t="shared" si="118"/>
        <v>-50</v>
      </c>
    </row>
    <row r="45" spans="5:86" x14ac:dyDescent="0.25">
      <c r="E45" s="150">
        <v>40</v>
      </c>
      <c r="F45" s="191">
        <f t="shared" si="119"/>
        <v>0.2</v>
      </c>
      <c r="G45" s="191"/>
      <c r="H45" s="191">
        <f t="shared" si="67"/>
        <v>3</v>
      </c>
      <c r="I45" s="472">
        <f t="shared" si="68"/>
        <v>11.1</v>
      </c>
      <c r="J45" s="152">
        <f t="shared" si="69"/>
        <v>7.66</v>
      </c>
      <c r="K45" s="386">
        <f t="shared" si="70"/>
        <v>18.759999999999998</v>
      </c>
      <c r="L45" s="386"/>
      <c r="M45" s="191">
        <f t="shared" si="71"/>
        <v>0.40831556503198302</v>
      </c>
      <c r="N45" s="152">
        <f t="shared" si="72"/>
        <v>8.3620986140724956</v>
      </c>
      <c r="O45" s="152">
        <f t="shared" si="53"/>
        <v>3</v>
      </c>
      <c r="P45" s="191">
        <f t="shared" si="73"/>
        <v>0.55747324093816641</v>
      </c>
      <c r="Q45" s="191">
        <f t="shared" si="74"/>
        <v>15</v>
      </c>
      <c r="R45" s="191">
        <f t="shared" si="75"/>
        <v>0.61941471215351818</v>
      </c>
      <c r="S45" s="152">
        <f t="shared" si="76"/>
        <v>80.28563279858183</v>
      </c>
      <c r="T45" s="152">
        <f t="shared" si="77"/>
        <v>15</v>
      </c>
      <c r="U45" s="191">
        <f t="shared" si="78"/>
        <v>1.4709226197476846</v>
      </c>
      <c r="V45" s="191">
        <f t="shared" si="79"/>
        <v>1.1926399619575823</v>
      </c>
      <c r="W45" s="191">
        <f t="shared" si="80"/>
        <v>1.7282380649776974</v>
      </c>
      <c r="X45" s="175">
        <f t="shared" si="81"/>
        <v>350</v>
      </c>
      <c r="Y45" s="386">
        <f t="shared" si="54"/>
        <v>342.36280692941023</v>
      </c>
      <c r="AA45" s="191">
        <f t="shared" si="82"/>
        <v>1.4388262767793685</v>
      </c>
      <c r="AB45" s="153">
        <f t="shared" si="83"/>
        <v>1.6905269570514774</v>
      </c>
      <c r="AC45" s="153">
        <f t="shared" si="84"/>
        <v>0.21283277814833412</v>
      </c>
      <c r="AD45" s="153"/>
      <c r="AE45" s="153">
        <f t="shared" si="85"/>
        <v>0.96344647519582249</v>
      </c>
      <c r="AF45" s="317">
        <f t="shared" si="86"/>
        <v>1012.6247603939456</v>
      </c>
      <c r="AG45" s="463">
        <f t="shared" si="87"/>
        <v>6.9127284595300251E-2</v>
      </c>
      <c r="AI45" s="153">
        <f t="shared" si="88"/>
        <v>1.4702217615784003</v>
      </c>
      <c r="AJ45" s="153">
        <f t="shared" si="89"/>
        <v>1.4702217615784003</v>
      </c>
      <c r="AK45" s="153">
        <f t="shared" si="90"/>
        <v>1.6334811743856004</v>
      </c>
      <c r="AM45" s="317">
        <f t="shared" si="91"/>
        <v>200</v>
      </c>
      <c r="AN45" s="147">
        <f t="shared" si="92"/>
        <v>342.36280692941023</v>
      </c>
      <c r="AP45">
        <f t="shared" si="93"/>
        <v>200</v>
      </c>
      <c r="AQ45" s="147">
        <f t="shared" si="94"/>
        <v>342.36280692941023</v>
      </c>
      <c r="AR45" s="147"/>
      <c r="AS45" s="5">
        <f t="shared" si="55"/>
        <v>2.9208780269352799</v>
      </c>
      <c r="AT45" s="5">
        <f t="shared" si="95"/>
        <v>1.1920716985770814</v>
      </c>
      <c r="AU45" s="5">
        <f t="shared" si="56"/>
        <v>1.7288063283581985</v>
      </c>
      <c r="AV45" s="5">
        <f t="shared" si="96"/>
        <v>1.7274146023767105</v>
      </c>
      <c r="AW45" s="153">
        <f t="shared" si="57"/>
        <v>0.40812101278595947</v>
      </c>
      <c r="AX45" s="153">
        <f t="shared" si="97"/>
        <v>3.3301575886721042</v>
      </c>
      <c r="AY45" s="153">
        <f t="shared" si="98"/>
        <v>0.21754834180576654</v>
      </c>
      <c r="AZ45" s="153">
        <f t="shared" si="58"/>
        <v>15.307667073120536</v>
      </c>
      <c r="BA45" s="147">
        <f t="shared" si="99"/>
        <v>16.670079701628925</v>
      </c>
      <c r="BB45" s="147">
        <f t="shared" si="100"/>
        <v>3.3193236912588269</v>
      </c>
      <c r="BC45" s="5">
        <f t="shared" si="101"/>
        <v>0.93542533255320104</v>
      </c>
      <c r="BD45" s="147">
        <f t="shared" si="102"/>
        <v>24.499130881220296</v>
      </c>
      <c r="BE45" s="5"/>
      <c r="BF45" s="153">
        <f t="shared" si="59"/>
        <v>0.54227139667210877</v>
      </c>
      <c r="BG45" s="153">
        <f t="shared" si="103"/>
        <v>0.32651917060520558</v>
      </c>
      <c r="BH45" s="153"/>
      <c r="BI45" s="463">
        <f t="shared" si="104"/>
        <v>3.234640944135915E-2</v>
      </c>
      <c r="BJ45" s="463">
        <f t="shared" si="105"/>
        <v>4.7214159565831686E-2</v>
      </c>
      <c r="BK45" s="463">
        <f t="shared" si="106"/>
        <v>1.7118140346470509E-2</v>
      </c>
      <c r="BL45" s="463">
        <f t="shared" si="107"/>
        <v>2.7110327534999992E-2</v>
      </c>
      <c r="BM45">
        <f t="shared" si="108"/>
        <v>3.2190000000000001E-3</v>
      </c>
      <c r="BN45">
        <f t="shared" si="109"/>
        <v>2.0884131222694025E-5</v>
      </c>
      <c r="BO45" s="463">
        <f t="shared" si="110"/>
        <v>0.13218455214103952</v>
      </c>
      <c r="BP45" s="147">
        <f t="shared" si="60"/>
        <v>132.18455214103952</v>
      </c>
      <c r="BQ45" s="463">
        <f t="shared" si="111"/>
        <v>9.2690736668470317E-2</v>
      </c>
      <c r="BR45" s="463"/>
      <c r="BT45" s="147">
        <f t="shared" si="61"/>
        <v>92.690736668470322</v>
      </c>
      <c r="BU45" s="463">
        <f t="shared" si="112"/>
        <v>2.4994952750141165E-2</v>
      </c>
      <c r="BV45" s="463">
        <f t="shared" si="113"/>
        <v>2.0256806066815156E-2</v>
      </c>
      <c r="BW45" s="463">
        <f t="shared" si="114"/>
        <v>0</v>
      </c>
      <c r="BX45" s="463">
        <f t="shared" si="115"/>
        <v>5.0866112358864651E-2</v>
      </c>
      <c r="BY45" s="463">
        <f t="shared" si="116"/>
        <v>0.37001750985245613</v>
      </c>
      <c r="BZ45" s="147">
        <f t="shared" si="62"/>
        <v>420.88362221132081</v>
      </c>
      <c r="CA45" s="153">
        <f t="shared" si="63"/>
        <v>0.64575891102083061</v>
      </c>
      <c r="CB45" s="5">
        <f t="shared" si="64"/>
        <v>3</v>
      </c>
      <c r="CC45" s="153">
        <f t="shared" si="65"/>
        <v>0.82287394016407545</v>
      </c>
      <c r="CD45" s="5">
        <f t="shared" si="66"/>
        <v>82.287394016407546</v>
      </c>
      <c r="CG45" s="59">
        <f t="shared" si="117"/>
        <v>-50</v>
      </c>
      <c r="CH45">
        <f t="shared" si="118"/>
        <v>-50</v>
      </c>
    </row>
    <row r="46" spans="5:86" x14ac:dyDescent="0.25">
      <c r="E46" s="150">
        <v>41</v>
      </c>
      <c r="F46" s="191">
        <f t="shared" si="119"/>
        <v>0.20499999999999999</v>
      </c>
      <c r="G46" s="191"/>
      <c r="H46" s="191">
        <f t="shared" si="67"/>
        <v>3.0749999999999997</v>
      </c>
      <c r="I46" s="472">
        <f t="shared" si="68"/>
        <v>11.1</v>
      </c>
      <c r="J46" s="152">
        <f t="shared" si="69"/>
        <v>7.66</v>
      </c>
      <c r="K46" s="386">
        <f t="shared" si="70"/>
        <v>18.759999999999998</v>
      </c>
      <c r="L46" s="386"/>
      <c r="M46" s="191">
        <f t="shared" si="71"/>
        <v>0.40831556503198302</v>
      </c>
      <c r="N46" s="152">
        <f t="shared" si="72"/>
        <v>8.3620986140724956</v>
      </c>
      <c r="O46" s="152">
        <f t="shared" si="53"/>
        <v>3.0749999999999997</v>
      </c>
      <c r="P46" s="191">
        <f t="shared" si="73"/>
        <v>0.55747324093816641</v>
      </c>
      <c r="Q46" s="191">
        <f t="shared" si="74"/>
        <v>15</v>
      </c>
      <c r="R46" s="191">
        <f t="shared" si="75"/>
        <v>0.61941471215351818</v>
      </c>
      <c r="S46" s="152">
        <f t="shared" si="76"/>
        <v>77.790947558850803</v>
      </c>
      <c r="T46" s="152">
        <f t="shared" si="77"/>
        <v>15</v>
      </c>
      <c r="U46" s="191">
        <f t="shared" si="78"/>
        <v>1.5076956852413765</v>
      </c>
      <c r="V46" s="191">
        <f t="shared" si="79"/>
        <v>1.2224559610065218</v>
      </c>
      <c r="W46" s="191">
        <f t="shared" si="80"/>
        <v>1.7714440166021397</v>
      </c>
      <c r="X46" s="175">
        <f t="shared" si="81"/>
        <v>350</v>
      </c>
      <c r="Y46" s="386">
        <f t="shared" si="54"/>
        <v>334.01249456527836</v>
      </c>
      <c r="AA46" s="191">
        <f t="shared" si="82"/>
        <v>1.4388262767793685</v>
      </c>
      <c r="AB46" s="153">
        <f t="shared" si="83"/>
        <v>1.6905269570514774</v>
      </c>
      <c r="AC46" s="153">
        <f t="shared" si="84"/>
        <v>0.21283277814833412</v>
      </c>
      <c r="AD46" s="153"/>
      <c r="AE46" s="153">
        <f t="shared" si="85"/>
        <v>0.96344647519582249</v>
      </c>
      <c r="AF46" s="317">
        <f t="shared" si="86"/>
        <v>1037.9403794037942</v>
      </c>
      <c r="AG46" s="463">
        <f t="shared" si="87"/>
        <v>6.9127284595300251E-2</v>
      </c>
      <c r="AI46" s="153">
        <f t="shared" si="88"/>
        <v>1.4884860862380145</v>
      </c>
      <c r="AJ46" s="153">
        <f t="shared" si="89"/>
        <v>1.4884860862380145</v>
      </c>
      <c r="AK46" s="153">
        <f t="shared" si="90"/>
        <v>1.6456573908253431</v>
      </c>
      <c r="AM46" s="317">
        <f t="shared" si="91"/>
        <v>205</v>
      </c>
      <c r="AN46" s="147">
        <f t="shared" si="92"/>
        <v>334.01249456527836</v>
      </c>
      <c r="AP46">
        <f t="shared" si="93"/>
        <v>205</v>
      </c>
      <c r="AQ46" s="147">
        <f t="shared" si="94"/>
        <v>334.01249456527836</v>
      </c>
      <c r="AR46" s="147"/>
      <c r="AS46" s="5">
        <f t="shared" si="55"/>
        <v>2.9938999776086614</v>
      </c>
      <c r="AT46" s="5">
        <f t="shared" si="95"/>
        <v>1.206880610463255</v>
      </c>
      <c r="AU46" s="5">
        <f t="shared" si="56"/>
        <v>1.7870193671454064</v>
      </c>
      <c r="AV46" s="5">
        <f t="shared" si="96"/>
        <v>1.7488739916634635</v>
      </c>
      <c r="AW46" s="153">
        <f t="shared" si="57"/>
        <v>0.40311320334329775</v>
      </c>
      <c r="AX46" s="153">
        <f t="shared" si="97"/>
        <v>3.3301575886721051</v>
      </c>
      <c r="AY46" s="153">
        <f t="shared" si="98"/>
        <v>0.22211442297067005</v>
      </c>
      <c r="AZ46" s="153">
        <f t="shared" si="58"/>
        <v>14.992982194190283</v>
      </c>
      <c r="BA46" s="147">
        <f t="shared" si="99"/>
        <v>16.670079701628925</v>
      </c>
      <c r="BB46" s="147">
        <f t="shared" si="100"/>
        <v>3.4719894531288036</v>
      </c>
      <c r="BC46" s="5">
        <f t="shared" si="101"/>
        <v>0.99109642146148369</v>
      </c>
      <c r="BD46" s="147">
        <f t="shared" si="102"/>
        <v>25.926083146656314</v>
      </c>
      <c r="BE46" s="5"/>
      <c r="BF46" s="153">
        <f t="shared" si="59"/>
        <v>0.54562927473564915</v>
      </c>
      <c r="BG46" s="153">
        <f t="shared" si="103"/>
        <v>0.33197099679772607</v>
      </c>
      <c r="BH46" s="153"/>
      <c r="BI46" s="463">
        <f t="shared" si="104"/>
        <v>3.274824359934056E-2</v>
      </c>
      <c r="BJ46" s="463">
        <f t="shared" si="105"/>
        <v>4.6634822784108305E-2</v>
      </c>
      <c r="BK46" s="463">
        <f t="shared" si="106"/>
        <v>1.6700624728263919E-2</v>
      </c>
      <c r="BL46" s="463">
        <f t="shared" si="107"/>
        <v>2.6449100034146342E-2</v>
      </c>
      <c r="BM46">
        <f t="shared" si="108"/>
        <v>3.2190000000000001E-3</v>
      </c>
      <c r="BN46">
        <f t="shared" si="109"/>
        <v>2.0374762168481981E-5</v>
      </c>
      <c r="BO46" s="463">
        <f t="shared" si="110"/>
        <v>0.13098459438610888</v>
      </c>
      <c r="BP46" s="147">
        <f t="shared" si="60"/>
        <v>130.98459438610888</v>
      </c>
      <c r="BQ46" s="463">
        <f t="shared" si="111"/>
        <v>9.5149284686833022E-2</v>
      </c>
      <c r="BR46" s="463"/>
      <c r="BT46" s="147">
        <f t="shared" si="61"/>
        <v>95.149284686833028</v>
      </c>
      <c r="BU46" s="463">
        <f t="shared" si="112"/>
        <v>2.5305460963126795E-2</v>
      </c>
      <c r="BV46" s="463">
        <f t="shared" si="113"/>
        <v>2.093890111582641E-2</v>
      </c>
      <c r="BW46" s="463">
        <f t="shared" si="114"/>
        <v>0</v>
      </c>
      <c r="BX46" s="463">
        <f t="shared" si="115"/>
        <v>5.1986010319166776E-2</v>
      </c>
      <c r="BY46" s="463">
        <f t="shared" si="116"/>
        <v>0.37001750985245613</v>
      </c>
      <c r="BZ46" s="147">
        <f t="shared" si="62"/>
        <v>422.00352017162288</v>
      </c>
      <c r="CA46" s="153">
        <f t="shared" si="63"/>
        <v>0.64813739924456482</v>
      </c>
      <c r="CB46" s="5">
        <f t="shared" si="64"/>
        <v>3.0749999999999997</v>
      </c>
      <c r="CC46" s="153">
        <f t="shared" si="65"/>
        <v>0.82591633621255189</v>
      </c>
      <c r="CD46" s="5">
        <f t="shared" si="66"/>
        <v>82.591633621255184</v>
      </c>
      <c r="CG46" s="59">
        <f t="shared" si="117"/>
        <v>-50</v>
      </c>
      <c r="CH46">
        <f t="shared" si="118"/>
        <v>-50</v>
      </c>
    </row>
    <row r="47" spans="5:86" x14ac:dyDescent="0.25">
      <c r="E47" s="150">
        <v>42</v>
      </c>
      <c r="F47" s="191">
        <f t="shared" si="119"/>
        <v>0.21</v>
      </c>
      <c r="G47" s="191"/>
      <c r="H47" s="191">
        <f t="shared" si="67"/>
        <v>3.15</v>
      </c>
      <c r="I47" s="472">
        <f t="shared" si="68"/>
        <v>11.1</v>
      </c>
      <c r="J47" s="152">
        <f t="shared" si="69"/>
        <v>7.66</v>
      </c>
      <c r="K47" s="386">
        <f t="shared" si="70"/>
        <v>18.759999999999998</v>
      </c>
      <c r="L47" s="386"/>
      <c r="M47" s="191">
        <f t="shared" si="71"/>
        <v>0.40831556503198302</v>
      </c>
      <c r="N47" s="152">
        <f t="shared" si="72"/>
        <v>8.3620986140724956</v>
      </c>
      <c r="O47" s="152">
        <f t="shared" si="53"/>
        <v>3.15</v>
      </c>
      <c r="P47" s="191">
        <f t="shared" si="73"/>
        <v>0.55747324093816641</v>
      </c>
      <c r="Q47" s="191">
        <f t="shared" si="74"/>
        <v>15</v>
      </c>
      <c r="R47" s="191">
        <f t="shared" si="75"/>
        <v>0.61941471215351818</v>
      </c>
      <c r="S47" s="152">
        <f t="shared" si="76"/>
        <v>75.415229040378279</v>
      </c>
      <c r="T47" s="152">
        <f t="shared" si="77"/>
        <v>15</v>
      </c>
      <c r="U47" s="191">
        <f t="shared" si="78"/>
        <v>1.5444687507350687</v>
      </c>
      <c r="V47" s="191">
        <f t="shared" si="79"/>
        <v>1.2522719600554613</v>
      </c>
      <c r="W47" s="191">
        <f t="shared" si="80"/>
        <v>1.8146499682265822</v>
      </c>
      <c r="X47" s="175">
        <f t="shared" si="81"/>
        <v>350</v>
      </c>
      <c r="Y47" s="386">
        <f t="shared" si="54"/>
        <v>326.05981612324791</v>
      </c>
      <c r="AA47" s="191">
        <f t="shared" si="82"/>
        <v>1.4388262767793685</v>
      </c>
      <c r="AB47" s="153">
        <f t="shared" si="83"/>
        <v>1.6905269570514774</v>
      </c>
      <c r="AC47" s="153">
        <f t="shared" si="84"/>
        <v>0.21283277814833412</v>
      </c>
      <c r="AD47" s="153"/>
      <c r="AE47" s="153">
        <f t="shared" si="85"/>
        <v>0.96344647519582249</v>
      </c>
      <c r="AF47" s="317">
        <f t="shared" si="86"/>
        <v>1063.2559984136428</v>
      </c>
      <c r="AG47" s="463">
        <f t="shared" si="87"/>
        <v>6.9127284595300251E-2</v>
      </c>
      <c r="AI47" s="153">
        <f t="shared" si="88"/>
        <v>1.506529000593626</v>
      </c>
      <c r="AJ47" s="153">
        <f t="shared" si="89"/>
        <v>1.506529000593626</v>
      </c>
      <c r="AK47" s="153">
        <f t="shared" si="90"/>
        <v>1.6576860003957508</v>
      </c>
      <c r="AM47" s="317">
        <f t="shared" si="91"/>
        <v>210</v>
      </c>
      <c r="AN47" s="147">
        <f t="shared" si="92"/>
        <v>326.05981612324791</v>
      </c>
      <c r="AP47">
        <f t="shared" si="93"/>
        <v>210</v>
      </c>
      <c r="AQ47" s="147">
        <f t="shared" si="94"/>
        <v>326.05981612324791</v>
      </c>
      <c r="AR47" s="147"/>
      <c r="AS47" s="5">
        <f t="shared" si="55"/>
        <v>3.0669219282820435</v>
      </c>
      <c r="AT47" s="5">
        <f t="shared" si="95"/>
        <v>1.2215100004813186</v>
      </c>
      <c r="AU47" s="5">
        <f t="shared" si="56"/>
        <v>1.8454119278007248</v>
      </c>
      <c r="AV47" s="5">
        <f t="shared" si="96"/>
        <v>1.7700732382953832</v>
      </c>
      <c r="AW47" s="153">
        <f t="shared" si="57"/>
        <v>0.39828532614964723</v>
      </c>
      <c r="AX47" s="153">
        <f t="shared" si="97"/>
        <v>3.3301575886721055</v>
      </c>
      <c r="AY47" s="153">
        <f t="shared" si="98"/>
        <v>0.22662515155957288</v>
      </c>
      <c r="AZ47" s="153">
        <f t="shared" si="58"/>
        <v>14.694563095732594</v>
      </c>
      <c r="BA47" s="147">
        <f t="shared" si="99"/>
        <v>16.670079701628925</v>
      </c>
      <c r="BB47" s="147">
        <f t="shared" si="100"/>
        <v>3.628054369612856</v>
      </c>
      <c r="BC47" s="5">
        <f t="shared" si="101"/>
        <v>1.0484444034254583</v>
      </c>
      <c r="BD47" s="147">
        <f t="shared" si="102"/>
        <v>27.395338850542739</v>
      </c>
      <c r="BE47" s="5"/>
      <c r="BF47" s="153">
        <f t="shared" si="59"/>
        <v>0.54892627837623154</v>
      </c>
      <c r="BG47" s="153">
        <f t="shared" si="103"/>
        <v>0.33735113412606277</v>
      </c>
      <c r="BH47" s="153"/>
      <c r="BI47" s="463">
        <f t="shared" si="104"/>
        <v>3.3145206500117805E-2</v>
      </c>
      <c r="BJ47" s="463">
        <f t="shared" si="105"/>
        <v>4.6076301764498839E-2</v>
      </c>
      <c r="BK47" s="463">
        <f t="shared" si="106"/>
        <v>1.6302990806162394E-2</v>
      </c>
      <c r="BL47" s="463">
        <f t="shared" si="107"/>
        <v>2.5819359557142856E-2</v>
      </c>
      <c r="BM47">
        <f t="shared" si="108"/>
        <v>3.2190000000000001E-3</v>
      </c>
      <c r="BN47">
        <f t="shared" si="109"/>
        <v>1.9889648783518126E-5</v>
      </c>
      <c r="BO47" s="463">
        <f t="shared" si="110"/>
        <v>0.12985143038576136</v>
      </c>
      <c r="BP47" s="147">
        <f t="shared" si="60"/>
        <v>129.85143038576135</v>
      </c>
      <c r="BQ47" s="463">
        <f t="shared" si="111"/>
        <v>9.7609524359970321E-2</v>
      </c>
      <c r="BR47" s="463"/>
      <c r="BT47" s="147">
        <f t="shared" si="61"/>
        <v>97.609524359970322</v>
      </c>
      <c r="BU47" s="463">
        <f t="shared" si="112"/>
        <v>2.5612205022818309E-2</v>
      </c>
      <c r="BV47" s="463">
        <f t="shared" si="113"/>
        <v>2.1623099662266752E-2</v>
      </c>
      <c r="BW47" s="463">
        <f t="shared" si="114"/>
        <v>0</v>
      </c>
      <c r="BX47" s="463">
        <f t="shared" si="115"/>
        <v>5.3104212740805158E-2</v>
      </c>
      <c r="BY47" s="463">
        <f t="shared" si="116"/>
        <v>0.37001750985245624</v>
      </c>
      <c r="BZ47" s="147">
        <f t="shared" si="62"/>
        <v>423.12172259326144</v>
      </c>
      <c r="CA47" s="153">
        <f t="shared" si="63"/>
        <v>0.65058267733899311</v>
      </c>
      <c r="CB47" s="5">
        <f t="shared" si="64"/>
        <v>3.15</v>
      </c>
      <c r="CC47" s="153">
        <f t="shared" si="65"/>
        <v>0.82882028031698973</v>
      </c>
      <c r="CD47" s="5">
        <f t="shared" si="66"/>
        <v>82.882028031698979</v>
      </c>
      <c r="CG47" s="59">
        <f t="shared" si="117"/>
        <v>-50</v>
      </c>
      <c r="CH47">
        <f t="shared" si="118"/>
        <v>-50</v>
      </c>
    </row>
    <row r="48" spans="5:86" x14ac:dyDescent="0.25">
      <c r="E48" s="150">
        <v>43</v>
      </c>
      <c r="F48" s="191">
        <f t="shared" si="119"/>
        <v>0.215</v>
      </c>
      <c r="G48" s="191"/>
      <c r="H48" s="191">
        <f t="shared" si="67"/>
        <v>3.2250000000000001</v>
      </c>
      <c r="I48" s="472">
        <f t="shared" si="68"/>
        <v>11.1</v>
      </c>
      <c r="J48" s="152">
        <f t="shared" si="69"/>
        <v>7.66</v>
      </c>
      <c r="K48" s="386">
        <f t="shared" si="70"/>
        <v>18.759999999999998</v>
      </c>
      <c r="L48" s="386"/>
      <c r="M48" s="191">
        <f t="shared" si="71"/>
        <v>0.40831556503198302</v>
      </c>
      <c r="N48" s="152">
        <f t="shared" si="72"/>
        <v>8.3620986140724956</v>
      </c>
      <c r="O48" s="152">
        <f t="shared" si="53"/>
        <v>3.2250000000000001</v>
      </c>
      <c r="P48" s="191">
        <f t="shared" si="73"/>
        <v>0.55747324093816641</v>
      </c>
      <c r="Q48" s="191">
        <f t="shared" si="74"/>
        <v>15</v>
      </c>
      <c r="R48" s="191">
        <f t="shared" si="75"/>
        <v>0.61941471215351818</v>
      </c>
      <c r="S48" s="152">
        <f t="shared" si="76"/>
        <v>73.150180661890047</v>
      </c>
      <c r="T48" s="152">
        <f t="shared" si="77"/>
        <v>15</v>
      </c>
      <c r="U48" s="191">
        <f t="shared" si="78"/>
        <v>1.5812418162287609</v>
      </c>
      <c r="V48" s="191">
        <f t="shared" si="79"/>
        <v>1.2820879591044008</v>
      </c>
      <c r="W48" s="191">
        <f t="shared" si="80"/>
        <v>1.8578559198510247</v>
      </c>
      <c r="X48" s="175">
        <f t="shared" si="81"/>
        <v>350</v>
      </c>
      <c r="Y48" s="386">
        <f t="shared" si="54"/>
        <v>318.47702970177704</v>
      </c>
      <c r="AA48" s="191">
        <f t="shared" si="82"/>
        <v>1.4388262767793685</v>
      </c>
      <c r="AB48" s="153">
        <f t="shared" si="83"/>
        <v>1.6905269570514774</v>
      </c>
      <c r="AC48" s="153">
        <f t="shared" si="84"/>
        <v>0.21283277814833412</v>
      </c>
      <c r="AD48" s="153"/>
      <c r="AE48" s="153">
        <f t="shared" si="85"/>
        <v>0.96344647519582249</v>
      </c>
      <c r="AF48" s="317">
        <f t="shared" si="86"/>
        <v>1088.5716174234913</v>
      </c>
      <c r="AG48" s="463">
        <f t="shared" si="87"/>
        <v>6.9127284595300251E-2</v>
      </c>
      <c r="AI48" s="153">
        <f t="shared" si="88"/>
        <v>1.5243583667678335</v>
      </c>
      <c r="AJ48" s="153">
        <f t="shared" si="89"/>
        <v>1.5812418162287609</v>
      </c>
      <c r="AK48" s="153">
        <f t="shared" si="90"/>
        <v>1.7074945441525071</v>
      </c>
      <c r="AM48" s="317">
        <f t="shared" si="91"/>
        <v>215</v>
      </c>
      <c r="AN48" s="147">
        <f t="shared" si="92"/>
        <v>318.47702970177704</v>
      </c>
      <c r="AP48">
        <f t="shared" si="93"/>
        <v>215</v>
      </c>
      <c r="AQ48" s="147">
        <f t="shared" si="94"/>
        <v>318.47702970177704</v>
      </c>
      <c r="AR48" s="147"/>
      <c r="AS48" s="5">
        <f t="shared" si="55"/>
        <v>3.1399438789554255</v>
      </c>
      <c r="AT48" s="5">
        <f t="shared" si="95"/>
        <v>1.2820879591044008</v>
      </c>
      <c r="AU48" s="5">
        <f t="shared" si="56"/>
        <v>1.8578559198510247</v>
      </c>
      <c r="AV48" s="5">
        <f t="shared" si="96"/>
        <v>1.8578559198510247</v>
      </c>
      <c r="AW48" s="153">
        <f t="shared" si="57"/>
        <v>0.40831556503198291</v>
      </c>
      <c r="AX48" s="153">
        <f t="shared" si="97"/>
        <v>3.5833333333333326</v>
      </c>
      <c r="AY48" s="153">
        <f t="shared" si="98"/>
        <v>0.23389904264577885</v>
      </c>
      <c r="AZ48" s="153">
        <f t="shared" si="58"/>
        <v>15.320000000000002</v>
      </c>
      <c r="BA48" s="147">
        <f t="shared" si="99"/>
        <v>16.670079701628925</v>
      </c>
      <c r="BB48" s="147">
        <f t="shared" si="100"/>
        <v>3.787518440710981</v>
      </c>
      <c r="BC48" s="5">
        <f t="shared" si="101"/>
        <v>1.0806455719718915</v>
      </c>
      <c r="BD48" s="147">
        <f t="shared" si="102"/>
        <v>28.230209034123014</v>
      </c>
      <c r="BE48" s="5"/>
      <c r="BF48" s="153">
        <f t="shared" si="59"/>
        <v>0.58335863564960655</v>
      </c>
      <c r="BG48" s="153">
        <f t="shared" si="103"/>
        <v>0.3511177138830508</v>
      </c>
      <c r="BH48" s="153"/>
      <c r="BI48" s="463">
        <f t="shared" si="104"/>
        <v>3.7433802756566742E-2</v>
      </c>
      <c r="BJ48" s="463">
        <f t="shared" si="105"/>
        <v>4.7236666666666663E-2</v>
      </c>
      <c r="BK48" s="463">
        <f t="shared" si="106"/>
        <v>1.592385148508885E-2</v>
      </c>
      <c r="BL48" s="463">
        <f t="shared" si="107"/>
        <v>2.5218909334883723E-2</v>
      </c>
      <c r="BM48">
        <f t="shared" si="108"/>
        <v>3.2190000000000001E-3</v>
      </c>
      <c r="BN48">
        <f t="shared" si="109"/>
        <v>1.9427098811808401E-5</v>
      </c>
      <c r="BO48" s="463">
        <f t="shared" si="110"/>
        <v>0.13503786467004333</v>
      </c>
      <c r="BP48" s="147">
        <f t="shared" si="60"/>
        <v>135.03786467004335</v>
      </c>
      <c r="BQ48" s="463">
        <f t="shared" si="111"/>
        <v>0.10096774156757587</v>
      </c>
      <c r="BR48" s="463"/>
      <c r="BT48" s="147">
        <f t="shared" si="61"/>
        <v>100.96774156757587</v>
      </c>
      <c r="BU48" s="463">
        <f t="shared" si="112"/>
        <v>2.8926120311892484E-2</v>
      </c>
      <c r="BV48" s="463">
        <f t="shared" si="113"/>
        <v>2.3423893310467386E-2</v>
      </c>
      <c r="BW48" s="463">
        <f t="shared" si="114"/>
        <v>0</v>
      </c>
      <c r="BX48" s="463">
        <f t="shared" si="115"/>
        <v>5.8878598893373747E-2</v>
      </c>
      <c r="BY48" s="463">
        <f t="shared" si="116"/>
        <v>0.39814814814814808</v>
      </c>
      <c r="BZ48" s="147">
        <f t="shared" si="62"/>
        <v>457.02674704152184</v>
      </c>
      <c r="CA48" s="153">
        <f t="shared" si="63"/>
        <v>0.69303235327914103</v>
      </c>
      <c r="CB48" s="5">
        <f t="shared" si="64"/>
        <v>3.2250000000000001</v>
      </c>
      <c r="CC48" s="153">
        <f t="shared" si="65"/>
        <v>0.82311724590555824</v>
      </c>
      <c r="CD48" s="5">
        <f t="shared" si="66"/>
        <v>82.311724590555826</v>
      </c>
      <c r="CG48" s="59">
        <f t="shared" si="117"/>
        <v>-50</v>
      </c>
      <c r="CH48">
        <f t="shared" si="118"/>
        <v>-50</v>
      </c>
    </row>
    <row r="49" spans="5:86" x14ac:dyDescent="0.25">
      <c r="E49" s="150">
        <v>44</v>
      </c>
      <c r="F49" s="191">
        <f t="shared" si="119"/>
        <v>0.22</v>
      </c>
      <c r="G49" s="191"/>
      <c r="H49" s="191">
        <f t="shared" si="67"/>
        <v>3.3</v>
      </c>
      <c r="I49" s="472">
        <f t="shared" si="68"/>
        <v>11.1</v>
      </c>
      <c r="J49" s="152">
        <f t="shared" si="69"/>
        <v>7.66</v>
      </c>
      <c r="K49" s="386">
        <f t="shared" si="70"/>
        <v>18.759999999999998</v>
      </c>
      <c r="L49" s="386"/>
      <c r="M49" s="191">
        <f t="shared" si="71"/>
        <v>0.40831556503198302</v>
      </c>
      <c r="N49" s="152">
        <f t="shared" si="72"/>
        <v>8.3620986140724956</v>
      </c>
      <c r="O49" s="152">
        <f t="shared" si="53"/>
        <v>3.3</v>
      </c>
      <c r="P49" s="191">
        <f t="shared" si="73"/>
        <v>0.55747324093816641</v>
      </c>
      <c r="Q49" s="191">
        <f t="shared" si="74"/>
        <v>15</v>
      </c>
      <c r="R49" s="191">
        <f t="shared" si="75"/>
        <v>0.61941471215351818</v>
      </c>
      <c r="S49" s="152">
        <f t="shared" si="76"/>
        <v>70.988260165752507</v>
      </c>
      <c r="T49" s="152">
        <f t="shared" si="77"/>
        <v>15</v>
      </c>
      <c r="U49" s="191">
        <f t="shared" si="78"/>
        <v>1.6180148817224529</v>
      </c>
      <c r="V49" s="191">
        <f t="shared" si="79"/>
        <v>1.3119039581533403</v>
      </c>
      <c r="W49" s="191">
        <f t="shared" si="80"/>
        <v>1.9010618714754668</v>
      </c>
      <c r="X49" s="175">
        <f t="shared" si="81"/>
        <v>350</v>
      </c>
      <c r="Y49" s="386">
        <f t="shared" si="54"/>
        <v>311.23891539037299</v>
      </c>
      <c r="AA49" s="191">
        <f t="shared" si="82"/>
        <v>1.4388262767793685</v>
      </c>
      <c r="AB49" s="153">
        <f t="shared" si="83"/>
        <v>1.6905269570514774</v>
      </c>
      <c r="AC49" s="153">
        <f t="shared" si="84"/>
        <v>0.21283277814833412</v>
      </c>
      <c r="AD49" s="153"/>
      <c r="AE49" s="153">
        <f t="shared" si="85"/>
        <v>0.96344647519582249</v>
      </c>
      <c r="AF49" s="317">
        <f t="shared" si="86"/>
        <v>1113.8872364333399</v>
      </c>
      <c r="AG49" s="463">
        <f t="shared" si="87"/>
        <v>6.9127284595300251E-2</v>
      </c>
      <c r="AI49" s="153">
        <f t="shared" si="88"/>
        <v>1.5419815923157334</v>
      </c>
      <c r="AJ49" s="153">
        <f t="shared" si="89"/>
        <v>1.6180148817224529</v>
      </c>
      <c r="AK49" s="153">
        <f t="shared" si="90"/>
        <v>1.7320099211483018</v>
      </c>
      <c r="AM49" s="317">
        <f t="shared" si="91"/>
        <v>220</v>
      </c>
      <c r="AN49" s="147">
        <f t="shared" si="92"/>
        <v>311.23891539037299</v>
      </c>
      <c r="AP49">
        <f t="shared" si="93"/>
        <v>220</v>
      </c>
      <c r="AQ49" s="147">
        <f t="shared" si="94"/>
        <v>311.23891539037299</v>
      </c>
      <c r="AR49" s="147"/>
      <c r="AS49" s="5">
        <f t="shared" si="55"/>
        <v>3.2129658296288075</v>
      </c>
      <c r="AT49" s="5">
        <f t="shared" si="95"/>
        <v>1.3119039581533403</v>
      </c>
      <c r="AU49" s="5">
        <f t="shared" si="56"/>
        <v>1.9010618714754672</v>
      </c>
      <c r="AV49" s="5">
        <f t="shared" si="96"/>
        <v>1.9010618714754668</v>
      </c>
      <c r="AW49" s="153">
        <f t="shared" si="57"/>
        <v>0.40831556503198291</v>
      </c>
      <c r="AX49" s="153">
        <f t="shared" si="97"/>
        <v>3.6666666666666652</v>
      </c>
      <c r="AY49" s="153">
        <f t="shared" si="98"/>
        <v>0.23933855526544812</v>
      </c>
      <c r="AZ49" s="153">
        <f t="shared" si="58"/>
        <v>15.32</v>
      </c>
      <c r="BA49" s="147">
        <f t="shared" si="99"/>
        <v>16.670079701628925</v>
      </c>
      <c r="BB49" s="147">
        <f t="shared" si="100"/>
        <v>3.9503816664231799</v>
      </c>
      <c r="BC49" s="5">
        <f t="shared" si="101"/>
        <v>1.1314926053745713</v>
      </c>
      <c r="BD49" s="147">
        <f t="shared" si="102"/>
        <v>29.535463535667674</v>
      </c>
      <c r="BE49" s="5"/>
      <c r="BF49" s="153">
        <f t="shared" si="59"/>
        <v>0.59692511554843464</v>
      </c>
      <c r="BG49" s="153">
        <f t="shared" si="103"/>
        <v>0.35928324211288915</v>
      </c>
      <c r="BH49" s="153"/>
      <c r="BI49" s="463">
        <f t="shared" si="104"/>
        <v>3.9195155292976326E-2</v>
      </c>
      <c r="BJ49" s="463">
        <f t="shared" si="105"/>
        <v>4.7236666666666663E-2</v>
      </c>
      <c r="BK49" s="463">
        <f t="shared" si="106"/>
        <v>1.5561945769518649E-2</v>
      </c>
      <c r="BL49" s="463">
        <f t="shared" si="107"/>
        <v>2.4645752304545455E-2</v>
      </c>
      <c r="BM49">
        <f t="shared" si="108"/>
        <v>3.2190000000000001E-3</v>
      </c>
      <c r="BN49">
        <f t="shared" si="109"/>
        <v>1.8985573838812753E-5</v>
      </c>
      <c r="BO49" s="463">
        <f t="shared" si="110"/>
        <v>0.13615344605479826</v>
      </c>
      <c r="BP49" s="147">
        <f t="shared" si="60"/>
        <v>136.15344605479825</v>
      </c>
      <c r="BQ49" s="463">
        <f t="shared" si="111"/>
        <v>0.10376410366404916</v>
      </c>
      <c r="BR49" s="463"/>
      <c r="BT49" s="147">
        <f t="shared" si="61"/>
        <v>103.76410366404916</v>
      </c>
      <c r="BU49" s="463">
        <f t="shared" si="112"/>
        <v>3.0287165453663525E-2</v>
      </c>
      <c r="BV49" s="463">
        <f t="shared" si="113"/>
        <v>2.4526045131998294E-2</v>
      </c>
      <c r="BW49" s="463">
        <f t="shared" si="114"/>
        <v>0</v>
      </c>
      <c r="BX49" s="463">
        <f t="shared" si="115"/>
        <v>6.1661183651497295E-2</v>
      </c>
      <c r="BY49" s="463">
        <f t="shared" si="116"/>
        <v>0.40740740740740727</v>
      </c>
      <c r="BZ49" s="147">
        <f t="shared" si="62"/>
        <v>469.06859105890459</v>
      </c>
      <c r="CA49" s="153">
        <f t="shared" si="63"/>
        <v>0.70898614077775202</v>
      </c>
      <c r="CB49" s="5">
        <f t="shared" si="64"/>
        <v>3.3</v>
      </c>
      <c r="CC49" s="153">
        <f t="shared" si="65"/>
        <v>0.82315076284094923</v>
      </c>
      <c r="CD49" s="5">
        <f t="shared" si="66"/>
        <v>82.315076284094928</v>
      </c>
      <c r="CG49" s="59">
        <f t="shared" si="117"/>
        <v>-50</v>
      </c>
      <c r="CH49">
        <f t="shared" si="118"/>
        <v>-50</v>
      </c>
    </row>
    <row r="50" spans="5:86" x14ac:dyDescent="0.25">
      <c r="E50" s="150">
        <v>45</v>
      </c>
      <c r="F50" s="191">
        <f t="shared" si="119"/>
        <v>0.22500000000000001</v>
      </c>
      <c r="G50" s="191"/>
      <c r="H50" s="191">
        <f t="shared" si="67"/>
        <v>3.375</v>
      </c>
      <c r="I50" s="472">
        <f t="shared" si="68"/>
        <v>11.1</v>
      </c>
      <c r="J50" s="152">
        <f t="shared" si="69"/>
        <v>7.66</v>
      </c>
      <c r="K50" s="386">
        <f t="shared" si="70"/>
        <v>18.759999999999998</v>
      </c>
      <c r="L50" s="386"/>
      <c r="M50" s="191">
        <f t="shared" si="71"/>
        <v>0.40831556503198302</v>
      </c>
      <c r="N50" s="152">
        <f t="shared" si="72"/>
        <v>8.3620986140724956</v>
      </c>
      <c r="O50" s="152">
        <f t="shared" si="53"/>
        <v>3.375</v>
      </c>
      <c r="P50" s="191">
        <f t="shared" si="73"/>
        <v>0.55747324093816641</v>
      </c>
      <c r="Q50" s="191">
        <f t="shared" si="74"/>
        <v>15</v>
      </c>
      <c r="R50" s="191">
        <f t="shared" si="75"/>
        <v>0.61941471215351818</v>
      </c>
      <c r="S50" s="152">
        <f t="shared" si="76"/>
        <v>68.92259580706353</v>
      </c>
      <c r="T50" s="152">
        <f t="shared" si="77"/>
        <v>15</v>
      </c>
      <c r="U50" s="191">
        <f t="shared" si="78"/>
        <v>1.6547879472161451</v>
      </c>
      <c r="V50" s="191">
        <f t="shared" si="79"/>
        <v>1.3417199572022798</v>
      </c>
      <c r="W50" s="191">
        <f t="shared" si="80"/>
        <v>1.9442678230999093</v>
      </c>
      <c r="X50" s="175">
        <f t="shared" si="81"/>
        <v>350</v>
      </c>
      <c r="Y50" s="386">
        <f t="shared" si="54"/>
        <v>304.32249504836471</v>
      </c>
      <c r="AA50" s="191">
        <f t="shared" si="82"/>
        <v>1.4388262767793685</v>
      </c>
      <c r="AB50" s="153">
        <f t="shared" si="83"/>
        <v>1.6905269570514774</v>
      </c>
      <c r="AC50" s="153">
        <f t="shared" si="84"/>
        <v>0.21283277814833412</v>
      </c>
      <c r="AD50" s="153"/>
      <c r="AE50" s="153">
        <f t="shared" si="85"/>
        <v>0.96344647519582249</v>
      </c>
      <c r="AF50" s="317">
        <f t="shared" si="86"/>
        <v>1139.2028554431886</v>
      </c>
      <c r="AG50" s="463">
        <f t="shared" si="87"/>
        <v>6.9127284595300251E-2</v>
      </c>
      <c r="AI50" s="153">
        <f t="shared" si="88"/>
        <v>1.5594056661901776</v>
      </c>
      <c r="AJ50" s="153">
        <f t="shared" si="89"/>
        <v>1.6547879472161451</v>
      </c>
      <c r="AK50" s="153">
        <f t="shared" si="90"/>
        <v>1.7565252981440969</v>
      </c>
      <c r="AM50" s="317">
        <f t="shared" si="91"/>
        <v>225</v>
      </c>
      <c r="AN50" s="147">
        <f t="shared" si="92"/>
        <v>304.32249504836471</v>
      </c>
      <c r="AP50">
        <f t="shared" si="93"/>
        <v>225</v>
      </c>
      <c r="AQ50" s="147">
        <f t="shared" si="94"/>
        <v>304.32249504836471</v>
      </c>
      <c r="AR50" s="147"/>
      <c r="AS50" s="5">
        <f t="shared" si="55"/>
        <v>3.2859877803021895</v>
      </c>
      <c r="AT50" s="5">
        <f t="shared" si="95"/>
        <v>1.3417199572022798</v>
      </c>
      <c r="AU50" s="5">
        <f t="shared" si="56"/>
        <v>1.9442678230999098</v>
      </c>
      <c r="AV50" s="5">
        <f t="shared" si="96"/>
        <v>1.9442678230999093</v>
      </c>
      <c r="AW50" s="153">
        <f t="shared" si="57"/>
        <v>0.40831556503198291</v>
      </c>
      <c r="AX50" s="153">
        <f t="shared" si="97"/>
        <v>3.7499999999999987</v>
      </c>
      <c r="AY50" s="153">
        <f t="shared" si="98"/>
        <v>0.24477806788511741</v>
      </c>
      <c r="AZ50" s="153">
        <f t="shared" si="58"/>
        <v>15.32</v>
      </c>
      <c r="BA50" s="147">
        <f t="shared" si="99"/>
        <v>16.670079701628925</v>
      </c>
      <c r="BB50" s="147">
        <f t="shared" si="100"/>
        <v>4.1166440467494523</v>
      </c>
      <c r="BC50" s="5">
        <f t="shared" si="101"/>
        <v>1.1835085360968527</v>
      </c>
      <c r="BD50" s="147">
        <f t="shared" si="102"/>
        <v>30.870206128684117</v>
      </c>
      <c r="BE50" s="5"/>
      <c r="BF50" s="153">
        <f t="shared" si="59"/>
        <v>0.61049159544726272</v>
      </c>
      <c r="BG50" s="153">
        <f t="shared" si="103"/>
        <v>0.36744877034272755</v>
      </c>
      <c r="BH50" s="153"/>
      <c r="BI50" s="463">
        <f t="shared" si="104"/>
        <v>4.0996998692291876E-2</v>
      </c>
      <c r="BJ50" s="463">
        <f t="shared" si="105"/>
        <v>4.7236666666666663E-2</v>
      </c>
      <c r="BK50" s="463">
        <f t="shared" si="106"/>
        <v>1.5216124752418235E-2</v>
      </c>
      <c r="BL50" s="463">
        <f t="shared" si="107"/>
        <v>2.409806892E-2</v>
      </c>
      <c r="BM50">
        <f t="shared" si="108"/>
        <v>3.2190000000000001E-3</v>
      </c>
      <c r="BN50">
        <f t="shared" si="109"/>
        <v>1.8563672197950248E-5</v>
      </c>
      <c r="BO50" s="463">
        <f t="shared" si="110"/>
        <v>0.13735899357256998</v>
      </c>
      <c r="BP50" s="147">
        <f t="shared" si="60"/>
        <v>137.35899357256997</v>
      </c>
      <c r="BQ50" s="463">
        <f t="shared" si="111"/>
        <v>0.10658084190067127</v>
      </c>
      <c r="BR50" s="463"/>
      <c r="BT50" s="147">
        <f t="shared" si="61"/>
        <v>106.58084190067127</v>
      </c>
      <c r="BU50" s="463">
        <f t="shared" si="112"/>
        <v>3.1679498989498268E-2</v>
      </c>
      <c r="BV50" s="463">
        <f t="shared" si="113"/>
        <v>2.5653533777012683E-2</v>
      </c>
      <c r="BW50" s="463">
        <f t="shared" si="114"/>
        <v>0</v>
      </c>
      <c r="BX50" s="463">
        <f t="shared" si="115"/>
        <v>6.4508875857955866E-2</v>
      </c>
      <c r="BY50" s="463">
        <f t="shared" si="116"/>
        <v>0.41666666666666652</v>
      </c>
      <c r="BZ50" s="147">
        <f t="shared" si="62"/>
        <v>481.17554252462236</v>
      </c>
      <c r="CA50" s="153">
        <f t="shared" si="63"/>
        <v>0.72511537799786363</v>
      </c>
      <c r="CB50" s="5">
        <f t="shared" si="64"/>
        <v>3.375</v>
      </c>
      <c r="CC50" s="153">
        <f t="shared" si="65"/>
        <v>0.82314756753212481</v>
      </c>
      <c r="CD50" s="5">
        <f t="shared" si="66"/>
        <v>82.314756753212478</v>
      </c>
      <c r="CG50" s="59">
        <f t="shared" si="117"/>
        <v>-50</v>
      </c>
      <c r="CH50">
        <f t="shared" si="118"/>
        <v>-50</v>
      </c>
    </row>
    <row r="51" spans="5:86" x14ac:dyDescent="0.25">
      <c r="E51" s="150">
        <v>46</v>
      </c>
      <c r="F51" s="191">
        <f t="shared" si="119"/>
        <v>0.23</v>
      </c>
      <c r="G51" s="191"/>
      <c r="H51" s="191">
        <f t="shared" si="67"/>
        <v>3.45</v>
      </c>
      <c r="I51" s="472">
        <f t="shared" si="68"/>
        <v>11.1</v>
      </c>
      <c r="J51" s="152">
        <f t="shared" si="69"/>
        <v>7.66</v>
      </c>
      <c r="K51" s="386">
        <f t="shared" si="70"/>
        <v>18.759999999999998</v>
      </c>
      <c r="L51" s="386"/>
      <c r="M51" s="191">
        <f t="shared" si="71"/>
        <v>0.40831556503198302</v>
      </c>
      <c r="N51" s="152">
        <f t="shared" si="72"/>
        <v>8.3620986140724956</v>
      </c>
      <c r="O51" s="152">
        <f t="shared" si="53"/>
        <v>3.45</v>
      </c>
      <c r="P51" s="191">
        <f t="shared" si="73"/>
        <v>0.55747324093816641</v>
      </c>
      <c r="Q51" s="191">
        <f t="shared" si="74"/>
        <v>15</v>
      </c>
      <c r="R51" s="191">
        <f t="shared" si="75"/>
        <v>0.61941471215351818</v>
      </c>
      <c r="S51" s="152">
        <f t="shared" si="76"/>
        <v>66.946913474706449</v>
      </c>
      <c r="T51" s="152">
        <f t="shared" si="77"/>
        <v>15</v>
      </c>
      <c r="U51" s="191">
        <f t="shared" si="78"/>
        <v>1.6915610127098375</v>
      </c>
      <c r="V51" s="191">
        <f t="shared" si="79"/>
        <v>1.3715359562512197</v>
      </c>
      <c r="W51" s="191">
        <f t="shared" si="80"/>
        <v>1.987473774724352</v>
      </c>
      <c r="X51" s="175">
        <f t="shared" si="81"/>
        <v>350</v>
      </c>
      <c r="Y51" s="386">
        <f t="shared" si="54"/>
        <v>297.7067886342698</v>
      </c>
      <c r="AA51" s="191">
        <f t="shared" si="82"/>
        <v>1.4388262767793685</v>
      </c>
      <c r="AB51" s="153">
        <f t="shared" si="83"/>
        <v>1.6905269570514774</v>
      </c>
      <c r="AC51" s="153">
        <f t="shared" si="84"/>
        <v>0.21283277814833412</v>
      </c>
      <c r="AD51" s="153"/>
      <c r="AE51" s="153">
        <f t="shared" si="85"/>
        <v>0.96344647519582249</v>
      </c>
      <c r="AF51" s="317">
        <f t="shared" si="86"/>
        <v>1164.5184744530375</v>
      </c>
      <c r="AG51" s="463">
        <f t="shared" si="87"/>
        <v>6.9127284595300251E-2</v>
      </c>
      <c r="AI51" s="153">
        <f t="shared" si="88"/>
        <v>1.576637191129113</v>
      </c>
      <c r="AJ51" s="153">
        <f t="shared" si="89"/>
        <v>1.6915610127098375</v>
      </c>
      <c r="AK51" s="153">
        <f t="shared" si="90"/>
        <v>1.7810406751398915</v>
      </c>
      <c r="AM51" s="317">
        <f t="shared" si="91"/>
        <v>230</v>
      </c>
      <c r="AN51" s="147">
        <f t="shared" si="92"/>
        <v>297.7067886342698</v>
      </c>
      <c r="AP51">
        <f t="shared" si="93"/>
        <v>230</v>
      </c>
      <c r="AQ51" s="147">
        <f t="shared" si="94"/>
        <v>297.7067886342698</v>
      </c>
      <c r="AR51" s="147"/>
      <c r="AS51" s="5">
        <f t="shared" si="55"/>
        <v>3.359009730975572</v>
      </c>
      <c r="AT51" s="5">
        <f t="shared" si="95"/>
        <v>1.3715359562512197</v>
      </c>
      <c r="AU51" s="5">
        <f t="shared" si="56"/>
        <v>1.9874737747243523</v>
      </c>
      <c r="AV51" s="5">
        <f t="shared" si="96"/>
        <v>1.987473774724352</v>
      </c>
      <c r="AW51" s="153">
        <f t="shared" si="57"/>
        <v>0.40831556503198296</v>
      </c>
      <c r="AX51" s="153">
        <f t="shared" si="97"/>
        <v>3.8333333333333326</v>
      </c>
      <c r="AY51" s="153">
        <f t="shared" si="98"/>
        <v>0.25021758050478671</v>
      </c>
      <c r="AZ51" s="153">
        <f t="shared" si="58"/>
        <v>15.32</v>
      </c>
      <c r="BA51" s="147">
        <f t="shared" si="99"/>
        <v>16.670079701628925</v>
      </c>
      <c r="BB51" s="147">
        <f t="shared" si="100"/>
        <v>4.2863055816897981</v>
      </c>
      <c r="BC51" s="5">
        <f t="shared" si="101"/>
        <v>1.2366933641387361</v>
      </c>
      <c r="BD51" s="147">
        <f t="shared" si="102"/>
        <v>32.234436813172337</v>
      </c>
      <c r="BE51" s="5"/>
      <c r="BF51" s="153">
        <f t="shared" si="59"/>
        <v>0.62405807534609081</v>
      </c>
      <c r="BG51" s="153">
        <f t="shared" si="103"/>
        <v>0.37561429857256601</v>
      </c>
      <c r="BH51" s="153"/>
      <c r="BI51" s="463">
        <f t="shared" si="104"/>
        <v>4.2839332954513386E-2</v>
      </c>
      <c r="BJ51" s="463">
        <f t="shared" si="105"/>
        <v>4.7236666666666663E-2</v>
      </c>
      <c r="BK51" s="463">
        <f t="shared" si="106"/>
        <v>1.4885339431713489E-2</v>
      </c>
      <c r="BL51" s="463">
        <f t="shared" si="107"/>
        <v>2.3574197856521737E-2</v>
      </c>
      <c r="BM51">
        <f t="shared" si="108"/>
        <v>3.2190000000000001E-3</v>
      </c>
      <c r="BN51">
        <f t="shared" si="109"/>
        <v>1.8160114106690458E-5</v>
      </c>
      <c r="BO51" s="463">
        <f t="shared" si="110"/>
        <v>0.13865189168736702</v>
      </c>
      <c r="BP51" s="147">
        <f t="shared" si="60"/>
        <v>138.65189168736703</v>
      </c>
      <c r="BQ51" s="463">
        <f t="shared" si="111"/>
        <v>0.10941795627744218</v>
      </c>
      <c r="BR51" s="463"/>
      <c r="BT51" s="147">
        <f t="shared" si="61"/>
        <v>109.41795627744217</v>
      </c>
      <c r="BU51" s="463">
        <f t="shared" si="112"/>
        <v>3.3103120919396711E-2</v>
      </c>
      <c r="BV51" s="463">
        <f t="shared" si="113"/>
        <v>2.6806359245510544E-2</v>
      </c>
      <c r="BW51" s="463">
        <f t="shared" si="114"/>
        <v>0</v>
      </c>
      <c r="BX51" s="463">
        <f t="shared" si="115"/>
        <v>6.7421753963235631E-2</v>
      </c>
      <c r="BY51" s="463">
        <f t="shared" si="116"/>
        <v>0.42592592592592587</v>
      </c>
      <c r="BZ51" s="147">
        <f t="shared" si="62"/>
        <v>493.3476798891615</v>
      </c>
      <c r="CA51" s="153">
        <f t="shared" si="63"/>
        <v>0.74141752785397075</v>
      </c>
      <c r="CB51" s="5">
        <f t="shared" si="64"/>
        <v>3.45</v>
      </c>
      <c r="CC51" s="153">
        <f t="shared" si="65"/>
        <v>0.82311055318948856</v>
      </c>
      <c r="CD51" s="5">
        <f t="shared" si="66"/>
        <v>82.31105531894886</v>
      </c>
      <c r="CG51" s="59">
        <f t="shared" si="117"/>
        <v>-50</v>
      </c>
      <c r="CH51">
        <f t="shared" si="118"/>
        <v>-50</v>
      </c>
    </row>
    <row r="52" spans="5:86" x14ac:dyDescent="0.25">
      <c r="E52" s="150">
        <v>47</v>
      </c>
      <c r="F52" s="191">
        <f t="shared" si="119"/>
        <v>0.23499999999999999</v>
      </c>
      <c r="G52" s="191"/>
      <c r="H52" s="191">
        <f t="shared" si="67"/>
        <v>3.5249999999999999</v>
      </c>
      <c r="I52" s="472">
        <f t="shared" si="68"/>
        <v>11.1</v>
      </c>
      <c r="J52" s="152">
        <f t="shared" si="69"/>
        <v>7.66</v>
      </c>
      <c r="K52" s="386">
        <f t="shared" si="70"/>
        <v>18.759999999999998</v>
      </c>
      <c r="L52" s="386"/>
      <c r="M52" s="191">
        <f t="shared" si="71"/>
        <v>0.40831556503198302</v>
      </c>
      <c r="N52" s="152">
        <f t="shared" si="72"/>
        <v>8.3620986140724956</v>
      </c>
      <c r="O52" s="152">
        <f t="shared" si="53"/>
        <v>3.5249999999999999</v>
      </c>
      <c r="P52" s="191">
        <f t="shared" si="73"/>
        <v>0.55747324093816641</v>
      </c>
      <c r="Q52" s="191">
        <f t="shared" si="74"/>
        <v>15</v>
      </c>
      <c r="R52" s="191">
        <f t="shared" si="75"/>
        <v>0.61941471215351818</v>
      </c>
      <c r="S52" s="152">
        <f t="shared" si="76"/>
        <v>65.0554731162064</v>
      </c>
      <c r="T52" s="152">
        <f t="shared" si="77"/>
        <v>15</v>
      </c>
      <c r="U52" s="191">
        <f t="shared" si="78"/>
        <v>1.7283340782035295</v>
      </c>
      <c r="V52" s="191">
        <f t="shared" si="79"/>
        <v>1.401351955300159</v>
      </c>
      <c r="W52" s="191">
        <f t="shared" si="80"/>
        <v>2.0306797263487941</v>
      </c>
      <c r="X52" s="175">
        <f t="shared" si="81"/>
        <v>350</v>
      </c>
      <c r="Y52" s="386">
        <f t="shared" si="54"/>
        <v>291.37260164205139</v>
      </c>
      <c r="AA52" s="191">
        <f t="shared" si="82"/>
        <v>1.4388262767793685</v>
      </c>
      <c r="AB52" s="153">
        <f t="shared" si="83"/>
        <v>1.6905269570514774</v>
      </c>
      <c r="AC52" s="153">
        <f t="shared" si="84"/>
        <v>0.21283277814833412</v>
      </c>
      <c r="AD52" s="153"/>
      <c r="AE52" s="153">
        <f t="shared" si="85"/>
        <v>0.96344647519582249</v>
      </c>
      <c r="AF52" s="317">
        <f t="shared" si="86"/>
        <v>1189.8340934628859</v>
      </c>
      <c r="AG52" s="463">
        <f t="shared" si="87"/>
        <v>6.9127284595300251E-2</v>
      </c>
      <c r="AI52" s="153">
        <f t="shared" si="88"/>
        <v>1.5936824128906506</v>
      </c>
      <c r="AJ52" s="153">
        <f t="shared" si="89"/>
        <v>1.7283340782035295</v>
      </c>
      <c r="AK52" s="153">
        <f t="shared" si="90"/>
        <v>1.8055560521356864</v>
      </c>
      <c r="AM52" s="317">
        <f t="shared" si="91"/>
        <v>235</v>
      </c>
      <c r="AN52" s="147">
        <f t="shared" si="92"/>
        <v>291.37260164205139</v>
      </c>
      <c r="AP52">
        <f t="shared" si="93"/>
        <v>235</v>
      </c>
      <c r="AQ52" s="147">
        <f t="shared" si="94"/>
        <v>291.37260164205139</v>
      </c>
      <c r="AR52" s="147"/>
      <c r="AS52" s="5">
        <f t="shared" si="55"/>
        <v>3.4320316816489522</v>
      </c>
      <c r="AT52" s="5">
        <f t="shared" si="95"/>
        <v>1.401351955300159</v>
      </c>
      <c r="AU52" s="5">
        <f t="shared" si="56"/>
        <v>2.0306797263487932</v>
      </c>
      <c r="AV52" s="5">
        <f t="shared" si="96"/>
        <v>2.0306797263487941</v>
      </c>
      <c r="AW52" s="153">
        <f t="shared" si="57"/>
        <v>0.40831556503198307</v>
      </c>
      <c r="AX52" s="153">
        <f t="shared" si="97"/>
        <v>3.9166666666666665</v>
      </c>
      <c r="AY52" s="153">
        <f t="shared" si="98"/>
        <v>0.25565709312445595</v>
      </c>
      <c r="AZ52" s="153">
        <f t="shared" si="58"/>
        <v>15.320000000000006</v>
      </c>
      <c r="BA52" s="147">
        <f t="shared" si="99"/>
        <v>16.670079701628925</v>
      </c>
      <c r="BB52" s="147">
        <f t="shared" si="100"/>
        <v>4.4593662712442166</v>
      </c>
      <c r="BC52" s="5">
        <f t="shared" si="101"/>
        <v>1.29104708950022</v>
      </c>
      <c r="BD52" s="147">
        <f t="shared" si="102"/>
        <v>33.628155589132298</v>
      </c>
      <c r="BE52" s="5"/>
      <c r="BF52" s="153">
        <f t="shared" si="59"/>
        <v>0.6376245552449189</v>
      </c>
      <c r="BG52" s="153">
        <f t="shared" si="103"/>
        <v>0.3837798268024043</v>
      </c>
      <c r="BH52" s="153"/>
      <c r="BI52" s="463">
        <f t="shared" si="104"/>
        <v>4.4722158079640868E-2</v>
      </c>
      <c r="BJ52" s="463">
        <f t="shared" si="105"/>
        <v>4.7236666666666677E-2</v>
      </c>
      <c r="BK52" s="463">
        <f t="shared" si="106"/>
        <v>1.4568630082102569E-2</v>
      </c>
      <c r="BL52" s="463">
        <f t="shared" si="107"/>
        <v>2.3072619178723407E-2</v>
      </c>
      <c r="BM52">
        <f t="shared" si="108"/>
        <v>3.2190000000000001E-3</v>
      </c>
      <c r="BN52">
        <f t="shared" si="109"/>
        <v>1.7773728700165138E-5</v>
      </c>
      <c r="BO52" s="463">
        <f t="shared" si="110"/>
        <v>0.14002975795979591</v>
      </c>
      <c r="BP52" s="147">
        <f t="shared" si="60"/>
        <v>140.02975795979592</v>
      </c>
      <c r="BQ52" s="463">
        <f t="shared" si="111"/>
        <v>0.11227544679436187</v>
      </c>
      <c r="BR52" s="463"/>
      <c r="BT52" s="147">
        <f t="shared" si="61"/>
        <v>112.27544679436187</v>
      </c>
      <c r="BU52" s="463">
        <f t="shared" si="112"/>
        <v>3.4558031243358857E-2</v>
      </c>
      <c r="BV52" s="463">
        <f t="shared" si="113"/>
        <v>2.7984521537491855E-2</v>
      </c>
      <c r="BW52" s="463">
        <f t="shared" si="114"/>
        <v>0</v>
      </c>
      <c r="BX52" s="463">
        <f t="shared" si="115"/>
        <v>7.0399898262782132E-2</v>
      </c>
      <c r="BY52" s="463">
        <f t="shared" si="116"/>
        <v>0.43518518518518529</v>
      </c>
      <c r="BZ52" s="147">
        <f t="shared" si="62"/>
        <v>505.58508344796735</v>
      </c>
      <c r="CA52" s="153">
        <f t="shared" si="63"/>
        <v>0.75789028820212523</v>
      </c>
      <c r="CB52" s="5">
        <f t="shared" si="64"/>
        <v>3.5249999999999999</v>
      </c>
      <c r="CC52" s="153">
        <f t="shared" si="65"/>
        <v>0.82304232954791068</v>
      </c>
      <c r="CD52" s="5">
        <f t="shared" si="66"/>
        <v>82.304232954791061</v>
      </c>
      <c r="CG52" s="59">
        <f t="shared" si="117"/>
        <v>-50</v>
      </c>
      <c r="CH52">
        <f t="shared" si="118"/>
        <v>-50</v>
      </c>
    </row>
    <row r="53" spans="5:86" x14ac:dyDescent="0.25">
      <c r="E53" s="150">
        <v>48</v>
      </c>
      <c r="F53" s="191">
        <f t="shared" si="119"/>
        <v>0.24</v>
      </c>
      <c r="G53" s="191"/>
      <c r="H53" s="191">
        <f t="shared" si="67"/>
        <v>3.5999999999999996</v>
      </c>
      <c r="I53" s="472">
        <f t="shared" si="68"/>
        <v>11.1</v>
      </c>
      <c r="J53" s="152">
        <f t="shared" si="69"/>
        <v>7.66</v>
      </c>
      <c r="K53" s="386">
        <f t="shared" si="70"/>
        <v>18.759999999999998</v>
      </c>
      <c r="L53" s="386"/>
      <c r="M53" s="191">
        <f t="shared" si="71"/>
        <v>0.40831556503198302</v>
      </c>
      <c r="N53" s="152">
        <f t="shared" si="72"/>
        <v>8.3620986140724956</v>
      </c>
      <c r="O53" s="152">
        <f t="shared" si="53"/>
        <v>3.5999999999999996</v>
      </c>
      <c r="P53" s="191">
        <f t="shared" si="73"/>
        <v>0.55747324093816641</v>
      </c>
      <c r="Q53" s="191">
        <f t="shared" si="74"/>
        <v>15</v>
      </c>
      <c r="R53" s="191">
        <f t="shared" si="75"/>
        <v>0.61941471215351818</v>
      </c>
      <c r="S53" s="152">
        <f t="shared" si="76"/>
        <v>63.243013109589398</v>
      </c>
      <c r="T53" s="152">
        <f t="shared" si="77"/>
        <v>15</v>
      </c>
      <c r="U53" s="191">
        <f t="shared" si="78"/>
        <v>1.7651071436972214</v>
      </c>
      <c r="V53" s="191">
        <f t="shared" si="79"/>
        <v>1.4311679543490985</v>
      </c>
      <c r="W53" s="191">
        <f t="shared" si="80"/>
        <v>2.0738856779732364</v>
      </c>
      <c r="X53" s="175">
        <f t="shared" si="81"/>
        <v>350</v>
      </c>
      <c r="Y53" s="386">
        <f t="shared" si="54"/>
        <v>285.30233910784193</v>
      </c>
      <c r="AA53" s="191">
        <f t="shared" si="82"/>
        <v>1.4388262767793685</v>
      </c>
      <c r="AB53" s="153">
        <f t="shared" si="83"/>
        <v>1.6905269570514774</v>
      </c>
      <c r="AC53" s="153">
        <f t="shared" si="84"/>
        <v>0.21283277814833412</v>
      </c>
      <c r="AD53" s="153"/>
      <c r="AE53" s="153">
        <f t="shared" si="85"/>
        <v>0.96344647519582249</v>
      </c>
      <c r="AF53" s="317">
        <f t="shared" si="86"/>
        <v>1215.1497124727346</v>
      </c>
      <c r="AG53" s="463">
        <f t="shared" si="87"/>
        <v>6.9127284595300251E-2</v>
      </c>
      <c r="AI53" s="153">
        <f t="shared" si="88"/>
        <v>1.610547246702944</v>
      </c>
      <c r="AJ53" s="153">
        <f t="shared" si="89"/>
        <v>1.7651071436972214</v>
      </c>
      <c r="AK53" s="153">
        <f t="shared" si="90"/>
        <v>1.830071429131481</v>
      </c>
      <c r="AM53" s="317">
        <f t="shared" si="91"/>
        <v>240</v>
      </c>
      <c r="AN53" s="147">
        <f t="shared" si="92"/>
        <v>285.30233910784193</v>
      </c>
      <c r="AP53">
        <f t="shared" si="93"/>
        <v>240</v>
      </c>
      <c r="AQ53" s="147">
        <f t="shared" si="94"/>
        <v>285.30233910784193</v>
      </c>
      <c r="AR53" s="147"/>
      <c r="AS53" s="5">
        <f t="shared" si="55"/>
        <v>3.5050536323223351</v>
      </c>
      <c r="AT53" s="5">
        <f t="shared" si="95"/>
        <v>1.4311679543490985</v>
      </c>
      <c r="AU53" s="5">
        <f t="shared" si="56"/>
        <v>2.0738856779732364</v>
      </c>
      <c r="AV53" s="5">
        <f t="shared" si="96"/>
        <v>2.0738856779732364</v>
      </c>
      <c r="AW53" s="153">
        <f t="shared" si="57"/>
        <v>0.40831556503198296</v>
      </c>
      <c r="AX53" s="153">
        <f t="shared" si="97"/>
        <v>3.9999999999999991</v>
      </c>
      <c r="AY53" s="153">
        <f t="shared" si="98"/>
        <v>0.26109660574412524</v>
      </c>
      <c r="AZ53" s="153">
        <f t="shared" si="58"/>
        <v>15.320000000000002</v>
      </c>
      <c r="BA53" s="147">
        <f t="shared" si="99"/>
        <v>16.670079701628925</v>
      </c>
      <c r="BB53" s="147">
        <f t="shared" si="100"/>
        <v>4.6358261154127094</v>
      </c>
      <c r="BC53" s="5">
        <f t="shared" si="101"/>
        <v>1.3465697121813074</v>
      </c>
      <c r="BD53" s="147">
        <f t="shared" si="102"/>
        <v>35.051362456564057</v>
      </c>
      <c r="BE53" s="5"/>
      <c r="BF53" s="153">
        <f t="shared" si="59"/>
        <v>0.65119103514374688</v>
      </c>
      <c r="BG53" s="153">
        <f t="shared" si="103"/>
        <v>0.3919453550322427</v>
      </c>
      <c r="BH53" s="153"/>
      <c r="BI53" s="463">
        <f t="shared" si="104"/>
        <v>4.6645474067674303E-2</v>
      </c>
      <c r="BJ53" s="463">
        <f t="shared" si="105"/>
        <v>4.7236666666666663E-2</v>
      </c>
      <c r="BK53" s="463">
        <f t="shared" si="106"/>
        <v>1.4265116955392095E-2</v>
      </c>
      <c r="BL53" s="463">
        <f t="shared" si="107"/>
        <v>2.25919396125E-2</v>
      </c>
      <c r="BM53">
        <f t="shared" si="108"/>
        <v>3.2190000000000001E-3</v>
      </c>
      <c r="BN53">
        <f t="shared" si="109"/>
        <v>1.7403442685578359E-5</v>
      </c>
      <c r="BO53" s="463">
        <f t="shared" si="110"/>
        <v>0.14149041901938986</v>
      </c>
      <c r="BP53" s="147">
        <f t="shared" si="60"/>
        <v>141.49041901938986</v>
      </c>
      <c r="BQ53" s="463">
        <f t="shared" si="111"/>
        <v>0.1151533134514304</v>
      </c>
      <c r="BR53" s="463"/>
      <c r="BT53" s="147">
        <f t="shared" si="61"/>
        <v>115.15331345143041</v>
      </c>
      <c r="BU53" s="463">
        <f t="shared" si="112"/>
        <v>3.6044229961384691E-2</v>
      </c>
      <c r="BV53" s="463">
        <f t="shared" si="113"/>
        <v>2.9188020652956649E-2</v>
      </c>
      <c r="BW53" s="463">
        <f t="shared" si="114"/>
        <v>0</v>
      </c>
      <c r="BX53" s="463">
        <f t="shared" si="115"/>
        <v>7.3443390902568198E-2</v>
      </c>
      <c r="BY53" s="463">
        <f t="shared" si="116"/>
        <v>0.44444444444444436</v>
      </c>
      <c r="BZ53" s="147">
        <f t="shared" si="62"/>
        <v>517.88783534701258</v>
      </c>
      <c r="CA53" s="153">
        <f t="shared" si="63"/>
        <v>0.77453156781783283</v>
      </c>
      <c r="CB53" s="5">
        <f t="shared" si="64"/>
        <v>3.5999999999999996</v>
      </c>
      <c r="CC53" s="153">
        <f t="shared" si="65"/>
        <v>0.82294525578102151</v>
      </c>
      <c r="CD53" s="5">
        <f t="shared" si="66"/>
        <v>82.294525578102153</v>
      </c>
      <c r="CG53" s="59">
        <f t="shared" si="117"/>
        <v>-50</v>
      </c>
      <c r="CH53">
        <f t="shared" si="118"/>
        <v>-50</v>
      </c>
    </row>
    <row r="54" spans="5:86" x14ac:dyDescent="0.25">
      <c r="E54" s="150">
        <v>49</v>
      </c>
      <c r="F54" s="191">
        <f t="shared" si="119"/>
        <v>0.245</v>
      </c>
      <c r="G54" s="191"/>
      <c r="H54" s="191">
        <f t="shared" si="67"/>
        <v>3.6749999999999998</v>
      </c>
      <c r="I54" s="472">
        <f t="shared" si="68"/>
        <v>11.1</v>
      </c>
      <c r="J54" s="152">
        <f t="shared" si="69"/>
        <v>7.66</v>
      </c>
      <c r="K54" s="386">
        <f t="shared" si="70"/>
        <v>18.759999999999998</v>
      </c>
      <c r="L54" s="386"/>
      <c r="M54" s="191">
        <f t="shared" si="71"/>
        <v>0.40831556503198302</v>
      </c>
      <c r="N54" s="152">
        <f t="shared" si="72"/>
        <v>8.3620986140724956</v>
      </c>
      <c r="O54" s="152">
        <f t="shared" si="53"/>
        <v>3.6749999999999998</v>
      </c>
      <c r="P54" s="191">
        <f t="shared" si="73"/>
        <v>0.55747324093816641</v>
      </c>
      <c r="Q54" s="191">
        <f t="shared" si="74"/>
        <v>15</v>
      </c>
      <c r="R54" s="191">
        <f t="shared" si="75"/>
        <v>0.61941471215351818</v>
      </c>
      <c r="S54" s="152">
        <f t="shared" si="76"/>
        <v>61.504701446962493</v>
      </c>
      <c r="T54" s="152">
        <f t="shared" si="77"/>
        <v>15</v>
      </c>
      <c r="U54" s="191">
        <f t="shared" si="78"/>
        <v>1.8018802091909136</v>
      </c>
      <c r="V54" s="191">
        <f t="shared" si="79"/>
        <v>1.4609839533980382</v>
      </c>
      <c r="W54" s="191">
        <f t="shared" si="80"/>
        <v>2.1170916295976792</v>
      </c>
      <c r="X54" s="175">
        <f t="shared" si="81"/>
        <v>350</v>
      </c>
      <c r="Y54" s="386">
        <f t="shared" si="54"/>
        <v>279.47984239135531</v>
      </c>
      <c r="AA54" s="191">
        <f t="shared" si="82"/>
        <v>1.4388262767793685</v>
      </c>
      <c r="AB54" s="153">
        <f t="shared" si="83"/>
        <v>1.6905269570514774</v>
      </c>
      <c r="AC54" s="153">
        <f t="shared" si="84"/>
        <v>0.21283277814833412</v>
      </c>
      <c r="AD54" s="153"/>
      <c r="AE54" s="153">
        <f t="shared" si="85"/>
        <v>0.96344647519582249</v>
      </c>
      <c r="AF54" s="317">
        <f t="shared" si="86"/>
        <v>1240.4653314825832</v>
      </c>
      <c r="AG54" s="463">
        <f t="shared" si="87"/>
        <v>6.9127284595300251E-2</v>
      </c>
      <c r="AI54" s="153">
        <f t="shared" si="88"/>
        <v>1.6272373012464718</v>
      </c>
      <c r="AJ54" s="153">
        <f t="shared" si="89"/>
        <v>1.8018802091909136</v>
      </c>
      <c r="AK54" s="153">
        <f t="shared" si="90"/>
        <v>1.8545868061272759</v>
      </c>
      <c r="AM54" s="317">
        <f t="shared" si="91"/>
        <v>245</v>
      </c>
      <c r="AN54" s="147">
        <f t="shared" si="92"/>
        <v>279.47984239135531</v>
      </c>
      <c r="AP54">
        <f t="shared" si="93"/>
        <v>245</v>
      </c>
      <c r="AQ54" s="147">
        <f t="shared" si="94"/>
        <v>279.47984239135531</v>
      </c>
      <c r="AR54" s="147"/>
      <c r="AS54" s="5">
        <f t="shared" si="55"/>
        <v>3.578075582995718</v>
      </c>
      <c r="AT54" s="5">
        <f t="shared" si="95"/>
        <v>1.4609839533980382</v>
      </c>
      <c r="AU54" s="5">
        <f t="shared" si="56"/>
        <v>2.11709162959768</v>
      </c>
      <c r="AV54" s="5">
        <f t="shared" si="96"/>
        <v>2.1170916295976792</v>
      </c>
      <c r="AW54" s="153">
        <f t="shared" si="57"/>
        <v>0.40831556503198291</v>
      </c>
      <c r="AX54" s="153">
        <f t="shared" si="97"/>
        <v>4.0833333333333313</v>
      </c>
      <c r="AY54" s="153">
        <f t="shared" si="98"/>
        <v>0.26653611836379454</v>
      </c>
      <c r="AZ54" s="153">
        <f t="shared" si="58"/>
        <v>15.319999999999997</v>
      </c>
      <c r="BA54" s="147">
        <f t="shared" si="99"/>
        <v>16.670079701628925</v>
      </c>
      <c r="BB54" s="147">
        <f t="shared" si="100"/>
        <v>4.8156851141952766</v>
      </c>
      <c r="BC54" s="5">
        <f t="shared" si="101"/>
        <v>1.4032612321819971</v>
      </c>
      <c r="BD54" s="147">
        <f t="shared" si="102"/>
        <v>36.504057415467628</v>
      </c>
      <c r="BE54" s="5"/>
      <c r="BF54" s="153">
        <f t="shared" si="59"/>
        <v>0.66475751504257496</v>
      </c>
      <c r="BG54" s="153">
        <f t="shared" si="103"/>
        <v>0.40011088326208111</v>
      </c>
      <c r="BH54" s="153"/>
      <c r="BI54" s="463">
        <f t="shared" si="104"/>
        <v>4.8609280918613725E-2</v>
      </c>
      <c r="BJ54" s="463">
        <f t="shared" si="105"/>
        <v>4.7236666666666663E-2</v>
      </c>
      <c r="BK54" s="463">
        <f t="shared" si="106"/>
        <v>1.3973992119567765E-2</v>
      </c>
      <c r="BL54" s="463">
        <f t="shared" si="107"/>
        <v>2.2130879620408158E-2</v>
      </c>
      <c r="BM54">
        <f t="shared" si="108"/>
        <v>3.2190000000000001E-3</v>
      </c>
      <c r="BN54">
        <f t="shared" si="109"/>
        <v>1.7048270385872675E-5</v>
      </c>
      <c r="BO54" s="463">
        <f t="shared" si="110"/>
        <v>0.14303188948078394</v>
      </c>
      <c r="BP54" s="147">
        <f t="shared" si="60"/>
        <v>143.03188948078395</v>
      </c>
      <c r="BQ54" s="463">
        <f t="shared" si="111"/>
        <v>0.11805155624864774</v>
      </c>
      <c r="BR54" s="463"/>
      <c r="BT54" s="147">
        <f t="shared" si="61"/>
        <v>118.05155624864774</v>
      </c>
      <c r="BU54" s="463">
        <f t="shared" si="112"/>
        <v>3.7561717073474242E-2</v>
      </c>
      <c r="BV54" s="463">
        <f t="shared" si="113"/>
        <v>3.0416856591904913E-2</v>
      </c>
      <c r="BW54" s="463">
        <f t="shared" si="114"/>
        <v>0</v>
      </c>
      <c r="BX54" s="463">
        <f t="shared" si="115"/>
        <v>7.6552315884795052E-2</v>
      </c>
      <c r="BY54" s="463">
        <f t="shared" si="116"/>
        <v>0.4537037037037035</v>
      </c>
      <c r="BZ54" s="147">
        <f t="shared" si="62"/>
        <v>530.25601958849859</v>
      </c>
      <c r="CA54" s="153">
        <f t="shared" si="63"/>
        <v>0.7913394653179302</v>
      </c>
      <c r="CB54" s="5">
        <f t="shared" si="64"/>
        <v>3.6749999999999998</v>
      </c>
      <c r="CC54" s="153">
        <f t="shared" si="65"/>
        <v>0.82282146902114184</v>
      </c>
      <c r="CD54" s="5">
        <f t="shared" si="66"/>
        <v>82.282146902114178</v>
      </c>
      <c r="CG54" s="59">
        <f t="shared" si="117"/>
        <v>-50</v>
      </c>
      <c r="CH54">
        <f t="shared" si="118"/>
        <v>-50</v>
      </c>
    </row>
    <row r="55" spans="5:86" x14ac:dyDescent="0.25">
      <c r="E55" s="150">
        <v>50</v>
      </c>
      <c r="F55" s="191">
        <f t="shared" si="119"/>
        <v>0.25</v>
      </c>
      <c r="G55" s="191"/>
      <c r="H55" s="191">
        <f t="shared" si="67"/>
        <v>3.75</v>
      </c>
      <c r="I55" s="472">
        <f t="shared" si="68"/>
        <v>11.1</v>
      </c>
      <c r="J55" s="152">
        <f t="shared" si="69"/>
        <v>7.66</v>
      </c>
      <c r="K55" s="386">
        <f t="shared" si="70"/>
        <v>18.759999999999998</v>
      </c>
      <c r="L55" s="386"/>
      <c r="M55" s="191">
        <f t="shared" si="71"/>
        <v>0.40831556503198302</v>
      </c>
      <c r="N55" s="152">
        <f t="shared" si="72"/>
        <v>8.3620986140724956</v>
      </c>
      <c r="O55" s="152">
        <f t="shared" si="53"/>
        <v>3.75</v>
      </c>
      <c r="P55" s="191">
        <f t="shared" si="73"/>
        <v>0.55747324093816641</v>
      </c>
      <c r="Q55" s="191">
        <f t="shared" si="74"/>
        <v>15</v>
      </c>
      <c r="R55" s="191">
        <f t="shared" si="75"/>
        <v>0.61941471215351818</v>
      </c>
      <c r="S55" s="152">
        <f t="shared" si="76"/>
        <v>59.836092776178653</v>
      </c>
      <c r="T55" s="152">
        <f t="shared" si="77"/>
        <v>15</v>
      </c>
      <c r="U55" s="191">
        <f t="shared" si="78"/>
        <v>1.8386532746846058</v>
      </c>
      <c r="V55" s="191">
        <f t="shared" si="79"/>
        <v>1.4907999524469777</v>
      </c>
      <c r="W55" s="191">
        <f t="shared" si="80"/>
        <v>2.1602975812221219</v>
      </c>
      <c r="X55" s="175">
        <f t="shared" si="81"/>
        <v>350</v>
      </c>
      <c r="Y55" s="386">
        <f t="shared" si="54"/>
        <v>273.89024554352818</v>
      </c>
      <c r="AA55" s="191">
        <f t="shared" si="82"/>
        <v>1.4388262767793685</v>
      </c>
      <c r="AB55" s="153">
        <f t="shared" si="83"/>
        <v>1.6905269570514774</v>
      </c>
      <c r="AC55" s="153">
        <f t="shared" si="84"/>
        <v>0.21283277814833412</v>
      </c>
      <c r="AD55" s="153"/>
      <c r="AE55" s="153">
        <f t="shared" si="85"/>
        <v>0.96344647519582249</v>
      </c>
      <c r="AF55" s="317">
        <f t="shared" si="86"/>
        <v>1265.7809504924319</v>
      </c>
      <c r="AG55" s="463">
        <f t="shared" si="87"/>
        <v>6.9127284595300251E-2</v>
      </c>
      <c r="AI55" s="153">
        <f t="shared" si="88"/>
        <v>1.6437579004443958</v>
      </c>
      <c r="AJ55" s="153">
        <f t="shared" si="89"/>
        <v>1.8386532746846058</v>
      </c>
      <c r="AK55" s="153">
        <f t="shared" si="90"/>
        <v>1.8791021831230705</v>
      </c>
      <c r="AM55" s="317">
        <f t="shared" si="91"/>
        <v>250</v>
      </c>
      <c r="AN55" s="147">
        <f t="shared" si="92"/>
        <v>273.89024554352818</v>
      </c>
      <c r="AP55">
        <f t="shared" si="93"/>
        <v>250</v>
      </c>
      <c r="AQ55" s="147">
        <f t="shared" si="94"/>
        <v>273.89024554352818</v>
      </c>
      <c r="AR55" s="147"/>
      <c r="AS55" s="5">
        <f t="shared" si="55"/>
        <v>3.6510975336691001</v>
      </c>
      <c r="AT55" s="5">
        <f t="shared" si="95"/>
        <v>1.4907999524469777</v>
      </c>
      <c r="AU55" s="5">
        <f t="shared" si="56"/>
        <v>2.1602975812221223</v>
      </c>
      <c r="AV55" s="5">
        <f t="shared" si="96"/>
        <v>2.1602975812221219</v>
      </c>
      <c r="AW55" s="153">
        <f t="shared" si="57"/>
        <v>0.40831556503198285</v>
      </c>
      <c r="AX55" s="153">
        <f t="shared" si="97"/>
        <v>4.1666666666666652</v>
      </c>
      <c r="AY55" s="153">
        <f t="shared" si="98"/>
        <v>0.27197563098346383</v>
      </c>
      <c r="AZ55" s="153">
        <f t="shared" si="58"/>
        <v>15.319999999999997</v>
      </c>
      <c r="BA55" s="147">
        <f t="shared" si="99"/>
        <v>16.670079701628925</v>
      </c>
      <c r="BB55" s="147">
        <f t="shared" si="100"/>
        <v>4.9989432675919163</v>
      </c>
      <c r="BC55" s="5">
        <f t="shared" si="101"/>
        <v>1.4611216495022876</v>
      </c>
      <c r="BD55" s="147">
        <f t="shared" si="102"/>
        <v>37.986240465842933</v>
      </c>
      <c r="BE55" s="5"/>
      <c r="BF55" s="153">
        <f t="shared" si="59"/>
        <v>0.67832399494140305</v>
      </c>
      <c r="BG55" s="153">
        <f t="shared" si="103"/>
        <v>0.40827641149191957</v>
      </c>
      <c r="BH55" s="153"/>
      <c r="BI55" s="463">
        <f t="shared" si="104"/>
        <v>5.0613578632459105E-2</v>
      </c>
      <c r="BJ55" s="463">
        <f t="shared" si="105"/>
        <v>4.7236666666666649E-2</v>
      </c>
      <c r="BK55" s="463">
        <f t="shared" si="106"/>
        <v>1.3694512277176408E-2</v>
      </c>
      <c r="BL55" s="463">
        <f t="shared" si="107"/>
        <v>2.1688262027999995E-2</v>
      </c>
      <c r="BM55">
        <f t="shared" si="108"/>
        <v>3.2190000000000001E-3</v>
      </c>
      <c r="BN55">
        <f t="shared" si="109"/>
        <v>1.6707304978155219E-5</v>
      </c>
      <c r="BO55" s="463">
        <f t="shared" si="110"/>
        <v>0.14465235339164115</v>
      </c>
      <c r="BP55" s="147">
        <f t="shared" si="60"/>
        <v>144.65235339164116</v>
      </c>
      <c r="BQ55" s="463">
        <f t="shared" si="111"/>
        <v>0.12097017518601391</v>
      </c>
      <c r="BR55" s="463"/>
      <c r="BT55" s="147">
        <f t="shared" si="61"/>
        <v>120.97017518601392</v>
      </c>
      <c r="BU55" s="463">
        <f t="shared" si="112"/>
        <v>3.9110492579627495E-2</v>
      </c>
      <c r="BV55" s="463">
        <f t="shared" si="113"/>
        <v>3.1671029354336654E-2</v>
      </c>
      <c r="BW55" s="463">
        <f t="shared" si="114"/>
        <v>0</v>
      </c>
      <c r="BX55" s="463">
        <f t="shared" si="115"/>
        <v>7.9726759073727921E-2</v>
      </c>
      <c r="BY55" s="463">
        <f t="shared" si="116"/>
        <v>0.46296296296296285</v>
      </c>
      <c r="BZ55" s="147">
        <f t="shared" si="62"/>
        <v>542.6897220366908</v>
      </c>
      <c r="CA55" s="153">
        <f t="shared" si="63"/>
        <v>0.80831225061434586</v>
      </c>
      <c r="CB55" s="5">
        <f t="shared" si="64"/>
        <v>3.75</v>
      </c>
      <c r="CC55" s="153">
        <f t="shared" si="65"/>
        <v>0.82267290914407942</v>
      </c>
      <c r="CD55" s="5">
        <f t="shared" si="66"/>
        <v>82.267290914407937</v>
      </c>
      <c r="CG55" s="59">
        <f t="shared" si="117"/>
        <v>-50</v>
      </c>
      <c r="CH55">
        <f t="shared" si="118"/>
        <v>-50</v>
      </c>
    </row>
    <row r="56" spans="5:86" x14ac:dyDescent="0.25">
      <c r="E56" s="150">
        <v>51</v>
      </c>
      <c r="F56" s="191">
        <f t="shared" si="119"/>
        <v>0.255</v>
      </c>
      <c r="G56" s="191"/>
      <c r="H56" s="191">
        <f t="shared" si="67"/>
        <v>3.8250000000000002</v>
      </c>
      <c r="I56" s="472">
        <f t="shared" si="68"/>
        <v>11.1</v>
      </c>
      <c r="J56" s="152">
        <f t="shared" si="69"/>
        <v>7.66</v>
      </c>
      <c r="K56" s="386">
        <f t="shared" si="70"/>
        <v>18.759999999999998</v>
      </c>
      <c r="L56" s="386"/>
      <c r="M56" s="191">
        <f t="shared" si="71"/>
        <v>0.40831556503198302</v>
      </c>
      <c r="N56" s="152">
        <f t="shared" si="72"/>
        <v>8.3620986140724956</v>
      </c>
      <c r="O56" s="152">
        <f t="shared" si="53"/>
        <v>3.8250000000000002</v>
      </c>
      <c r="P56" s="191">
        <f t="shared" si="73"/>
        <v>0.55747324093816641</v>
      </c>
      <c r="Q56" s="191">
        <f t="shared" si="74"/>
        <v>15</v>
      </c>
      <c r="R56" s="191">
        <f t="shared" si="75"/>
        <v>0.61941471215351818</v>
      </c>
      <c r="S56" s="152">
        <f t="shared" si="76"/>
        <v>58.233090496540996</v>
      </c>
      <c r="T56" s="152">
        <f t="shared" si="77"/>
        <v>15</v>
      </c>
      <c r="U56" s="191">
        <f t="shared" si="78"/>
        <v>1.875426340178298</v>
      </c>
      <c r="V56" s="191">
        <f t="shared" si="79"/>
        <v>1.5206159514959172</v>
      </c>
      <c r="W56" s="191">
        <f t="shared" si="80"/>
        <v>2.2035035328465642</v>
      </c>
      <c r="X56" s="175">
        <f t="shared" si="81"/>
        <v>350</v>
      </c>
      <c r="Y56" s="386">
        <f t="shared" si="54"/>
        <v>268.51984857208652</v>
      </c>
      <c r="AA56" s="191">
        <f t="shared" si="82"/>
        <v>1.4388262767793685</v>
      </c>
      <c r="AB56" s="153">
        <f t="shared" si="83"/>
        <v>1.6905269570514774</v>
      </c>
      <c r="AC56" s="153">
        <f t="shared" si="84"/>
        <v>0.21283277814833412</v>
      </c>
      <c r="AD56" s="153"/>
      <c r="AE56" s="153">
        <f t="shared" si="85"/>
        <v>0.96344647519582249</v>
      </c>
      <c r="AF56" s="317">
        <f t="shared" si="86"/>
        <v>1291.0965695022805</v>
      </c>
      <c r="AG56" s="463">
        <f t="shared" si="87"/>
        <v>6.9127284595300251E-2</v>
      </c>
      <c r="AI56" s="153">
        <f t="shared" si="88"/>
        <v>1.6601141033009856</v>
      </c>
      <c r="AJ56" s="153">
        <f t="shared" si="89"/>
        <v>1.875426340178298</v>
      </c>
      <c r="AK56" s="153">
        <f t="shared" si="90"/>
        <v>1.9036175601188654</v>
      </c>
      <c r="AM56" s="317">
        <f t="shared" si="91"/>
        <v>255</v>
      </c>
      <c r="AN56" s="147">
        <f t="shared" si="92"/>
        <v>268.51984857208652</v>
      </c>
      <c r="AP56">
        <f t="shared" si="93"/>
        <v>255</v>
      </c>
      <c r="AQ56" s="147">
        <f t="shared" si="94"/>
        <v>268.51984857208652</v>
      </c>
      <c r="AR56" s="147"/>
      <c r="AS56" s="5">
        <f t="shared" si="55"/>
        <v>3.7241194843424812</v>
      </c>
      <c r="AT56" s="5">
        <f t="shared" si="95"/>
        <v>1.5206159514959172</v>
      </c>
      <c r="AU56" s="5">
        <f t="shared" si="56"/>
        <v>2.2035035328465638</v>
      </c>
      <c r="AV56" s="5">
        <f t="shared" si="96"/>
        <v>2.2035035328465642</v>
      </c>
      <c r="AW56" s="153">
        <f t="shared" si="57"/>
        <v>0.40831556503198296</v>
      </c>
      <c r="AX56" s="153">
        <f t="shared" si="97"/>
        <v>4.25</v>
      </c>
      <c r="AY56" s="153">
        <f t="shared" si="98"/>
        <v>0.27741514360313307</v>
      </c>
      <c r="AZ56" s="153">
        <f t="shared" si="58"/>
        <v>15.320000000000004</v>
      </c>
      <c r="BA56" s="147">
        <f t="shared" si="99"/>
        <v>16.670079701628925</v>
      </c>
      <c r="BB56" s="147">
        <f t="shared" si="100"/>
        <v>5.1856005756026295</v>
      </c>
      <c r="BC56" s="5">
        <f t="shared" si="101"/>
        <v>1.5201509641421793</v>
      </c>
      <c r="BD56" s="147">
        <f t="shared" si="102"/>
        <v>39.49791160769</v>
      </c>
      <c r="BE56" s="5"/>
      <c r="BF56" s="153">
        <f t="shared" si="59"/>
        <v>0.69189047484023114</v>
      </c>
      <c r="BG56" s="153">
        <f t="shared" si="103"/>
        <v>0.41644193972175797</v>
      </c>
      <c r="BH56" s="153"/>
      <c r="BI56" s="463">
        <f t="shared" si="104"/>
        <v>5.2658367209210459E-2</v>
      </c>
      <c r="BJ56" s="463">
        <f t="shared" si="105"/>
        <v>4.723666666666667E-2</v>
      </c>
      <c r="BK56" s="463">
        <f t="shared" si="106"/>
        <v>1.3425992428604325E-2</v>
      </c>
      <c r="BL56" s="463">
        <f t="shared" si="107"/>
        <v>2.1263001988235292E-2</v>
      </c>
      <c r="BM56">
        <f t="shared" si="108"/>
        <v>3.2190000000000001E-3</v>
      </c>
      <c r="BN56">
        <f t="shared" si="109"/>
        <v>1.6379710762897279E-5</v>
      </c>
      <c r="BO56" s="463">
        <f t="shared" si="110"/>
        <v>0.14635014786487668</v>
      </c>
      <c r="BP56" s="147">
        <f t="shared" si="60"/>
        <v>146.35014786487667</v>
      </c>
      <c r="BQ56" s="463">
        <f t="shared" si="111"/>
        <v>0.12390917026352888</v>
      </c>
      <c r="BR56" s="463"/>
      <c r="BT56" s="147">
        <f t="shared" si="61"/>
        <v>123.90917026352888</v>
      </c>
      <c r="BU56" s="463">
        <f t="shared" si="112"/>
        <v>4.0690556479844445E-2</v>
      </c>
      <c r="BV56" s="463">
        <f t="shared" si="113"/>
        <v>3.2950538940251857E-2</v>
      </c>
      <c r="BW56" s="463">
        <f t="shared" si="114"/>
        <v>0</v>
      </c>
      <c r="BX56" s="463">
        <f t="shared" si="115"/>
        <v>8.2966808201666242E-2</v>
      </c>
      <c r="BY56" s="463">
        <f t="shared" si="116"/>
        <v>0.47222222222222227</v>
      </c>
      <c r="BZ56" s="147">
        <f t="shared" si="62"/>
        <v>555.18903042388843</v>
      </c>
      <c r="CA56" s="153">
        <f t="shared" si="63"/>
        <v>0.8254483485522941</v>
      </c>
      <c r="CB56" s="5">
        <f t="shared" si="64"/>
        <v>3.8250000000000002</v>
      </c>
      <c r="CC56" s="153">
        <f t="shared" si="65"/>
        <v>0.82250134036877109</v>
      </c>
      <c r="CD56" s="5">
        <f t="shared" si="66"/>
        <v>82.250134036877114</v>
      </c>
      <c r="CG56" s="59">
        <f t="shared" si="117"/>
        <v>-50</v>
      </c>
      <c r="CH56">
        <f t="shared" si="118"/>
        <v>-50</v>
      </c>
    </row>
    <row r="57" spans="5:86" x14ac:dyDescent="0.25">
      <c r="E57" s="150">
        <v>52</v>
      </c>
      <c r="F57" s="191">
        <f t="shared" si="119"/>
        <v>0.26</v>
      </c>
      <c r="G57" s="191"/>
      <c r="H57" s="191">
        <f t="shared" si="67"/>
        <v>3.9000000000000004</v>
      </c>
      <c r="I57" s="472">
        <f t="shared" si="68"/>
        <v>11.1</v>
      </c>
      <c r="J57" s="152">
        <f t="shared" si="69"/>
        <v>7.66</v>
      </c>
      <c r="K57" s="386">
        <f t="shared" si="70"/>
        <v>18.759999999999998</v>
      </c>
      <c r="L57" s="386"/>
      <c r="M57" s="191">
        <f t="shared" si="71"/>
        <v>0.40831556503198302</v>
      </c>
      <c r="N57" s="152">
        <f t="shared" si="72"/>
        <v>8.3620986140724956</v>
      </c>
      <c r="O57" s="152">
        <f t="shared" si="53"/>
        <v>3.9000000000000004</v>
      </c>
      <c r="P57" s="191">
        <f t="shared" si="73"/>
        <v>0.55747324093816641</v>
      </c>
      <c r="Q57" s="191">
        <f t="shared" si="74"/>
        <v>15</v>
      </c>
      <c r="R57" s="191">
        <f t="shared" si="75"/>
        <v>0.61941471215351818</v>
      </c>
      <c r="S57" s="152">
        <f t="shared" si="76"/>
        <v>56.691913228199191</v>
      </c>
      <c r="T57" s="152">
        <f t="shared" si="77"/>
        <v>15</v>
      </c>
      <c r="U57" s="191">
        <f t="shared" si="78"/>
        <v>1.9121994056719902</v>
      </c>
      <c r="V57" s="191">
        <f t="shared" si="79"/>
        <v>1.5504319505448572</v>
      </c>
      <c r="W57" s="191">
        <f t="shared" si="80"/>
        <v>2.2467094844710069</v>
      </c>
      <c r="X57" s="175">
        <f t="shared" si="81"/>
        <v>350</v>
      </c>
      <c r="Y57" s="386">
        <f t="shared" si="54"/>
        <v>263.35600533031555</v>
      </c>
      <c r="AA57" s="191">
        <f t="shared" si="82"/>
        <v>1.4388262767793685</v>
      </c>
      <c r="AB57" s="153">
        <f t="shared" si="83"/>
        <v>1.6905269570514774</v>
      </c>
      <c r="AC57" s="153">
        <f t="shared" si="84"/>
        <v>0.21283277814833412</v>
      </c>
      <c r="AD57" s="153"/>
      <c r="AE57" s="153">
        <f t="shared" si="85"/>
        <v>0.96344647519582249</v>
      </c>
      <c r="AF57" s="317">
        <f t="shared" si="86"/>
        <v>1316.4121885121292</v>
      </c>
      <c r="AG57" s="463">
        <f t="shared" si="87"/>
        <v>6.9127284595300251E-2</v>
      </c>
      <c r="AI57" s="153">
        <f t="shared" si="88"/>
        <v>1.6763107219976563</v>
      </c>
      <c r="AJ57" s="153">
        <f t="shared" si="89"/>
        <v>1.9121994056719902</v>
      </c>
      <c r="AK57" s="153">
        <f t="shared" si="90"/>
        <v>1.9281329371146601</v>
      </c>
      <c r="AM57" s="317">
        <f t="shared" si="91"/>
        <v>260</v>
      </c>
      <c r="AN57" s="147">
        <f t="shared" si="92"/>
        <v>263.35600533031555</v>
      </c>
      <c r="AP57">
        <f t="shared" si="93"/>
        <v>260</v>
      </c>
      <c r="AQ57" s="147">
        <f t="shared" si="94"/>
        <v>263.35600533031555</v>
      </c>
      <c r="AR57" s="147"/>
      <c r="AS57" s="5">
        <f t="shared" si="55"/>
        <v>3.7971414350158645</v>
      </c>
      <c r="AT57" s="5">
        <f t="shared" si="95"/>
        <v>1.5504319505448572</v>
      </c>
      <c r="AU57" s="5">
        <f t="shared" si="56"/>
        <v>2.2467094844710074</v>
      </c>
      <c r="AV57" s="5">
        <f t="shared" si="96"/>
        <v>2.2467094844710069</v>
      </c>
      <c r="AW57" s="153">
        <f t="shared" si="57"/>
        <v>0.40831556503198291</v>
      </c>
      <c r="AX57" s="153">
        <f t="shared" si="97"/>
        <v>4.3333333333333321</v>
      </c>
      <c r="AY57" s="153">
        <f t="shared" si="98"/>
        <v>0.28285465622280237</v>
      </c>
      <c r="AZ57" s="153">
        <f t="shared" si="58"/>
        <v>15.32</v>
      </c>
      <c r="BA57" s="147">
        <f t="shared" si="99"/>
        <v>16.670079701628925</v>
      </c>
      <c r="BB57" s="147">
        <f t="shared" si="100"/>
        <v>5.3756570382274171</v>
      </c>
      <c r="BC57" s="5">
        <f t="shared" si="101"/>
        <v>1.5803491761016746</v>
      </c>
      <c r="BD57" s="147">
        <f t="shared" si="102"/>
        <v>41.039070841008872</v>
      </c>
      <c r="BE57" s="5"/>
      <c r="BF57" s="153">
        <f t="shared" si="59"/>
        <v>0.70545695473905923</v>
      </c>
      <c r="BG57" s="153">
        <f t="shared" si="103"/>
        <v>0.42460746795159637</v>
      </c>
      <c r="BH57" s="153"/>
      <c r="BI57" s="463">
        <f t="shared" si="104"/>
        <v>5.4743646648867779E-2</v>
      </c>
      <c r="BJ57" s="463">
        <f t="shared" si="105"/>
        <v>4.7236666666666649E-2</v>
      </c>
      <c r="BK57" s="463">
        <f t="shared" si="106"/>
        <v>1.3167800266515777E-2</v>
      </c>
      <c r="BL57" s="463">
        <f t="shared" si="107"/>
        <v>2.0854098103846148E-2</v>
      </c>
      <c r="BM57">
        <f t="shared" si="108"/>
        <v>3.2190000000000001E-3</v>
      </c>
      <c r="BN57">
        <f t="shared" si="109"/>
        <v>1.6064716325149249E-5</v>
      </c>
      <c r="BO57" s="463">
        <f t="shared" si="110"/>
        <v>0.14812374860118163</v>
      </c>
      <c r="BP57" s="147">
        <f t="shared" si="60"/>
        <v>148.12374860118163</v>
      </c>
      <c r="BQ57" s="463">
        <f t="shared" si="111"/>
        <v>0.12686854148119264</v>
      </c>
      <c r="BR57" s="463"/>
      <c r="BT57" s="147">
        <f t="shared" si="61"/>
        <v>126.86854148119264</v>
      </c>
      <c r="BU57" s="463">
        <f t="shared" si="112"/>
        <v>4.2301908774125103E-2</v>
      </c>
      <c r="BV57" s="463">
        <f t="shared" si="113"/>
        <v>3.425538534965053E-2</v>
      </c>
      <c r="BW57" s="463">
        <f t="shared" si="114"/>
        <v>0</v>
      </c>
      <c r="BX57" s="463">
        <f t="shared" si="115"/>
        <v>8.627255287504984E-2</v>
      </c>
      <c r="BY57" s="463">
        <f t="shared" si="116"/>
        <v>0.4814814814814814</v>
      </c>
      <c r="BZ57" s="147">
        <f t="shared" si="62"/>
        <v>567.75403435653129</v>
      </c>
      <c r="CA57" s="153">
        <f t="shared" si="63"/>
        <v>0.84274632443890551</v>
      </c>
      <c r="CB57" s="5">
        <f t="shared" si="64"/>
        <v>3.9000000000000004</v>
      </c>
      <c r="CC57" s="153">
        <f t="shared" si="65"/>
        <v>0.82230837013223401</v>
      </c>
      <c r="CD57" s="5">
        <f t="shared" si="66"/>
        <v>82.230837013223407</v>
      </c>
      <c r="CG57" s="59">
        <f t="shared" si="117"/>
        <v>-50</v>
      </c>
      <c r="CH57">
        <f t="shared" si="118"/>
        <v>-50</v>
      </c>
    </row>
    <row r="58" spans="5:86" x14ac:dyDescent="0.25">
      <c r="E58" s="150">
        <v>53</v>
      </c>
      <c r="F58" s="191">
        <f t="shared" si="119"/>
        <v>0.26500000000000001</v>
      </c>
      <c r="G58" s="191"/>
      <c r="H58" s="191">
        <f t="shared" si="67"/>
        <v>3.9750000000000001</v>
      </c>
      <c r="I58" s="472">
        <f t="shared" si="68"/>
        <v>11.1</v>
      </c>
      <c r="J58" s="152">
        <f t="shared" si="69"/>
        <v>7.66</v>
      </c>
      <c r="K58" s="386">
        <f t="shared" si="70"/>
        <v>18.759999999999998</v>
      </c>
      <c r="L58" s="386"/>
      <c r="M58" s="191">
        <f t="shared" si="71"/>
        <v>0.40831556503198302</v>
      </c>
      <c r="N58" s="152">
        <f t="shared" si="72"/>
        <v>8.3620986140724956</v>
      </c>
      <c r="O58" s="152">
        <f t="shared" si="53"/>
        <v>3.9750000000000001</v>
      </c>
      <c r="P58" s="191">
        <f t="shared" si="73"/>
        <v>0.55747324093816641</v>
      </c>
      <c r="Q58" s="191">
        <f t="shared" si="74"/>
        <v>15</v>
      </c>
      <c r="R58" s="191">
        <f t="shared" si="75"/>
        <v>0.61941471215351818</v>
      </c>
      <c r="S58" s="152">
        <f t="shared" si="76"/>
        <v>55.209065077586423</v>
      </c>
      <c r="T58" s="152">
        <f t="shared" si="77"/>
        <v>15</v>
      </c>
      <c r="U58" s="191">
        <f t="shared" si="78"/>
        <v>1.9489724711656822</v>
      </c>
      <c r="V58" s="191">
        <f t="shared" si="79"/>
        <v>1.5802479495937964</v>
      </c>
      <c r="W58" s="191">
        <f t="shared" si="80"/>
        <v>2.2899154360954492</v>
      </c>
      <c r="X58" s="175">
        <f t="shared" si="81"/>
        <v>350</v>
      </c>
      <c r="Y58" s="386">
        <f t="shared" si="54"/>
        <v>258.38702409766813</v>
      </c>
      <c r="AA58" s="191">
        <f t="shared" si="82"/>
        <v>1.4388262767793685</v>
      </c>
      <c r="AB58" s="153">
        <f t="shared" si="83"/>
        <v>1.6905269570514774</v>
      </c>
      <c r="AC58" s="153">
        <f t="shared" si="84"/>
        <v>0.21283277814833412</v>
      </c>
      <c r="AD58" s="153"/>
      <c r="AE58" s="153">
        <f t="shared" si="85"/>
        <v>0.96344647519582249</v>
      </c>
      <c r="AF58" s="317">
        <f t="shared" si="86"/>
        <v>1341.7278075219779</v>
      </c>
      <c r="AG58" s="463">
        <f t="shared" si="87"/>
        <v>6.9127284595300251E-2</v>
      </c>
      <c r="AI58" s="153">
        <f t="shared" si="88"/>
        <v>1.6923523384300831</v>
      </c>
      <c r="AJ58" s="153">
        <f t="shared" si="89"/>
        <v>1.9489724711656822</v>
      </c>
      <c r="AK58" s="153">
        <f t="shared" si="90"/>
        <v>1.9526483141104547</v>
      </c>
      <c r="AM58" s="317">
        <f t="shared" si="91"/>
        <v>265</v>
      </c>
      <c r="AN58" s="147">
        <f t="shared" si="92"/>
        <v>258.38702409766813</v>
      </c>
      <c r="AP58">
        <f t="shared" si="93"/>
        <v>265</v>
      </c>
      <c r="AQ58" s="147">
        <f t="shared" si="94"/>
        <v>258.38702409766813</v>
      </c>
      <c r="AR58" s="147"/>
      <c r="AS58" s="5">
        <f t="shared" si="55"/>
        <v>3.8701633856892457</v>
      </c>
      <c r="AT58" s="5">
        <f t="shared" si="95"/>
        <v>1.5802479495937964</v>
      </c>
      <c r="AU58" s="5">
        <f t="shared" si="56"/>
        <v>2.2899154360954492</v>
      </c>
      <c r="AV58" s="5">
        <f t="shared" si="96"/>
        <v>2.2899154360954492</v>
      </c>
      <c r="AW58" s="153">
        <f t="shared" si="57"/>
        <v>0.40831556503198291</v>
      </c>
      <c r="AX58" s="153">
        <f t="shared" si="97"/>
        <v>4.4166666666666652</v>
      </c>
      <c r="AY58" s="153">
        <f t="shared" si="98"/>
        <v>0.28829416884247161</v>
      </c>
      <c r="AZ58" s="153">
        <f t="shared" si="58"/>
        <v>15.32</v>
      </c>
      <c r="BA58" s="147">
        <f t="shared" si="99"/>
        <v>16.670079701628925</v>
      </c>
      <c r="BB58" s="147">
        <f t="shared" si="100"/>
        <v>5.5691126554662773</v>
      </c>
      <c r="BC58" s="5">
        <f t="shared" si="101"/>
        <v>1.6417162853807701</v>
      </c>
      <c r="BD58" s="147">
        <f t="shared" si="102"/>
        <v>42.609718165799485</v>
      </c>
      <c r="BE58" s="5"/>
      <c r="BF58" s="153">
        <f t="shared" si="59"/>
        <v>0.7190234346378872</v>
      </c>
      <c r="BG58" s="153">
        <f t="shared" si="103"/>
        <v>0.43277299618143472</v>
      </c>
      <c r="BH58" s="153"/>
      <c r="BI58" s="463">
        <f t="shared" si="104"/>
        <v>5.6869416951431037E-2</v>
      </c>
      <c r="BJ58" s="463">
        <f t="shared" si="105"/>
        <v>4.7236666666666663E-2</v>
      </c>
      <c r="BK58" s="463">
        <f t="shared" si="106"/>
        <v>1.2919351204883406E-2</v>
      </c>
      <c r="BL58" s="463">
        <f t="shared" si="107"/>
        <v>2.0460624554716977E-2</v>
      </c>
      <c r="BM58">
        <f t="shared" si="108"/>
        <v>3.2190000000000001E-3</v>
      </c>
      <c r="BN58">
        <f t="shared" si="109"/>
        <v>1.5761608469957756E-5</v>
      </c>
      <c r="BO58" s="463">
        <f t="shared" si="110"/>
        <v>0.14997175705222707</v>
      </c>
      <c r="BP58" s="147">
        <f t="shared" si="60"/>
        <v>149.97175705222708</v>
      </c>
      <c r="BQ58" s="463">
        <f t="shared" si="111"/>
        <v>0.12984828883900523</v>
      </c>
      <c r="BR58" s="463"/>
      <c r="BT58" s="147">
        <f t="shared" si="61"/>
        <v>129.84828883900522</v>
      </c>
      <c r="BU58" s="463">
        <f t="shared" si="112"/>
        <v>4.3944549462469444E-2</v>
      </c>
      <c r="BV58" s="463">
        <f t="shared" si="113"/>
        <v>3.5585568582532666E-2</v>
      </c>
      <c r="BW58" s="463">
        <f t="shared" si="114"/>
        <v>0</v>
      </c>
      <c r="BX58" s="463">
        <f t="shared" si="115"/>
        <v>8.9644084580701514E-2</v>
      </c>
      <c r="BY58" s="463">
        <f t="shared" si="116"/>
        <v>0.4907407407407407</v>
      </c>
      <c r="BZ58" s="147">
        <f t="shared" si="62"/>
        <v>580.38482532144224</v>
      </c>
      <c r="CA58" s="153">
        <f t="shared" si="63"/>
        <v>0.86020487121267453</v>
      </c>
      <c r="CB58" s="5">
        <f t="shared" si="64"/>
        <v>3.9750000000000001</v>
      </c>
      <c r="CC58" s="153">
        <f t="shared" si="65"/>
        <v>0.82209546562668523</v>
      </c>
      <c r="CD58" s="5">
        <f t="shared" si="66"/>
        <v>82.209546562668521</v>
      </c>
      <c r="CG58" s="59">
        <f t="shared" si="117"/>
        <v>-50</v>
      </c>
      <c r="CH58">
        <f t="shared" si="118"/>
        <v>-50</v>
      </c>
    </row>
    <row r="59" spans="5:86" x14ac:dyDescent="0.25">
      <c r="E59" s="150">
        <v>54</v>
      </c>
      <c r="F59" s="191">
        <f t="shared" si="119"/>
        <v>0.27</v>
      </c>
      <c r="G59" s="191"/>
      <c r="H59" s="191">
        <f t="shared" si="67"/>
        <v>4.0500000000000007</v>
      </c>
      <c r="I59" s="472">
        <f t="shared" si="68"/>
        <v>11.1</v>
      </c>
      <c r="J59" s="152">
        <f t="shared" si="69"/>
        <v>7.66</v>
      </c>
      <c r="K59" s="386">
        <f t="shared" si="70"/>
        <v>18.759999999999998</v>
      </c>
      <c r="L59" s="386"/>
      <c r="M59" s="191">
        <f t="shared" si="71"/>
        <v>0.40831556503198302</v>
      </c>
      <c r="N59" s="152">
        <f t="shared" si="72"/>
        <v>8.3620986140724956</v>
      </c>
      <c r="O59" s="152">
        <f t="shared" si="53"/>
        <v>4.0500000000000007</v>
      </c>
      <c r="P59" s="191">
        <f t="shared" si="73"/>
        <v>0.55747324093816641</v>
      </c>
      <c r="Q59" s="191">
        <f t="shared" si="74"/>
        <v>15</v>
      </c>
      <c r="R59" s="191">
        <f t="shared" si="75"/>
        <v>0.61941471215351818</v>
      </c>
      <c r="S59" s="152">
        <f t="shared" si="76"/>
        <v>53.781309206822364</v>
      </c>
      <c r="T59" s="152">
        <f t="shared" si="77"/>
        <v>15</v>
      </c>
      <c r="U59" s="191">
        <f t="shared" si="78"/>
        <v>1.9857455366593746</v>
      </c>
      <c r="V59" s="191">
        <f t="shared" si="79"/>
        <v>1.6100639486427364</v>
      </c>
      <c r="W59" s="191">
        <f t="shared" si="80"/>
        <v>2.333121387719892</v>
      </c>
      <c r="X59" s="175">
        <f t="shared" si="81"/>
        <v>350</v>
      </c>
      <c r="Y59" s="386">
        <f t="shared" si="54"/>
        <v>253.60207920697053</v>
      </c>
      <c r="AA59" s="191">
        <f t="shared" si="82"/>
        <v>1.4388262767793685</v>
      </c>
      <c r="AB59" s="153">
        <f t="shared" si="83"/>
        <v>1.6905269570514774</v>
      </c>
      <c r="AC59" s="153">
        <f t="shared" si="84"/>
        <v>0.21283277814833412</v>
      </c>
      <c r="AD59" s="153"/>
      <c r="AE59" s="153">
        <f t="shared" si="85"/>
        <v>0.96344647519582249</v>
      </c>
      <c r="AF59" s="317">
        <f t="shared" si="86"/>
        <v>1367.0434265318265</v>
      </c>
      <c r="AG59" s="463">
        <f t="shared" si="87"/>
        <v>6.9127284595300251E-2</v>
      </c>
      <c r="AI59" s="153">
        <f t="shared" si="88"/>
        <v>1.7082433193474629</v>
      </c>
      <c r="AJ59" s="153">
        <f t="shared" si="89"/>
        <v>1.9857455366593746</v>
      </c>
      <c r="AK59" s="153">
        <f t="shared" si="90"/>
        <v>1.9771636911062498</v>
      </c>
      <c r="AM59" s="317">
        <f t="shared" si="91"/>
        <v>270</v>
      </c>
      <c r="AN59" s="147">
        <f t="shared" si="92"/>
        <v>253.60207920697053</v>
      </c>
      <c r="AP59">
        <f t="shared" si="93"/>
        <v>270</v>
      </c>
      <c r="AQ59" s="147">
        <f t="shared" si="94"/>
        <v>253.60207920697053</v>
      </c>
      <c r="AR59" s="147"/>
      <c r="AS59" s="5">
        <f t="shared" si="55"/>
        <v>3.9431853363626281</v>
      </c>
      <c r="AT59" s="5">
        <f t="shared" si="95"/>
        <v>1.6100639486427364</v>
      </c>
      <c r="AU59" s="5">
        <f t="shared" si="56"/>
        <v>2.333121387719892</v>
      </c>
      <c r="AV59" s="5">
        <f t="shared" si="96"/>
        <v>2.333121387719892</v>
      </c>
      <c r="AW59" s="153">
        <f t="shared" si="57"/>
        <v>0.40831556503198296</v>
      </c>
      <c r="AX59" s="153">
        <f t="shared" si="97"/>
        <v>4.5</v>
      </c>
      <c r="AY59" s="153">
        <f t="shared" si="98"/>
        <v>0.29373368146214096</v>
      </c>
      <c r="AZ59" s="153">
        <f t="shared" si="58"/>
        <v>15.320000000000002</v>
      </c>
      <c r="BA59" s="147">
        <f t="shared" si="99"/>
        <v>16.670079701628925</v>
      </c>
      <c r="BB59" s="147">
        <f t="shared" si="100"/>
        <v>5.7659674273192127</v>
      </c>
      <c r="BC59" s="5">
        <f t="shared" si="101"/>
        <v>1.7042522919794685</v>
      </c>
      <c r="BD59" s="147">
        <f t="shared" si="102"/>
        <v>44.209853582061889</v>
      </c>
      <c r="BE59" s="5"/>
      <c r="BF59" s="153">
        <f t="shared" si="59"/>
        <v>0.7325899145367154</v>
      </c>
      <c r="BG59" s="153">
        <f t="shared" si="103"/>
        <v>0.44093852441127318</v>
      </c>
      <c r="BH59" s="153"/>
      <c r="BI59" s="463">
        <f t="shared" si="104"/>
        <v>5.9035678116900324E-2</v>
      </c>
      <c r="BJ59" s="463">
        <f t="shared" si="105"/>
        <v>4.7236666666666649E-2</v>
      </c>
      <c r="BK59" s="463">
        <f t="shared" si="106"/>
        <v>1.2680103960348526E-2</v>
      </c>
      <c r="BL59" s="463">
        <f t="shared" si="107"/>
        <v>2.0081724099999997E-2</v>
      </c>
      <c r="BM59">
        <f t="shared" si="108"/>
        <v>3.2190000000000001E-3</v>
      </c>
      <c r="BN59">
        <f t="shared" si="109"/>
        <v>1.5469726831625204E-5</v>
      </c>
      <c r="BO59" s="463">
        <f t="shared" si="110"/>
        <v>0.15189288901190801</v>
      </c>
      <c r="BP59" s="147">
        <f t="shared" si="60"/>
        <v>151.89288901190801</v>
      </c>
      <c r="BQ59" s="463">
        <f t="shared" si="111"/>
        <v>0.13284841233696662</v>
      </c>
      <c r="BR59" s="463"/>
      <c r="BT59" s="147">
        <f t="shared" si="61"/>
        <v>132.84841233696662</v>
      </c>
      <c r="BU59" s="463">
        <f t="shared" si="112"/>
        <v>4.5618478544877522E-2</v>
      </c>
      <c r="BV59" s="463">
        <f t="shared" si="113"/>
        <v>3.6941088638898278E-2</v>
      </c>
      <c r="BW59" s="463">
        <f t="shared" si="114"/>
        <v>0</v>
      </c>
      <c r="BX59" s="463">
        <f t="shared" si="115"/>
        <v>9.3081496692207041E-2</v>
      </c>
      <c r="BY59" s="463">
        <f t="shared" si="116"/>
        <v>0.5</v>
      </c>
      <c r="BZ59" s="147">
        <f t="shared" si="62"/>
        <v>593.081496692207</v>
      </c>
      <c r="CA59" s="153">
        <f t="shared" si="63"/>
        <v>0.87782279804108176</v>
      </c>
      <c r="CB59" s="5">
        <f t="shared" si="64"/>
        <v>4.0500000000000007</v>
      </c>
      <c r="CC59" s="153">
        <f t="shared" si="65"/>
        <v>0.82186396832490893</v>
      </c>
      <c r="CD59" s="5">
        <f t="shared" si="66"/>
        <v>82.1863968324909</v>
      </c>
      <c r="CG59" s="59">
        <f t="shared" si="117"/>
        <v>-50</v>
      </c>
      <c r="CH59">
        <f t="shared" si="118"/>
        <v>-50</v>
      </c>
    </row>
    <row r="60" spans="5:86" x14ac:dyDescent="0.25">
      <c r="E60" s="150">
        <v>55</v>
      </c>
      <c r="F60" s="191">
        <f t="shared" si="119"/>
        <v>0.27500000000000002</v>
      </c>
      <c r="G60" s="191"/>
      <c r="H60" s="191">
        <f t="shared" si="67"/>
        <v>4.125</v>
      </c>
      <c r="I60" s="472">
        <f t="shared" si="68"/>
        <v>11.1</v>
      </c>
      <c r="J60" s="152">
        <f t="shared" si="69"/>
        <v>7.66</v>
      </c>
      <c r="K60" s="386">
        <f t="shared" si="70"/>
        <v>18.759999999999998</v>
      </c>
      <c r="L60" s="386"/>
      <c r="M60" s="191">
        <f t="shared" si="71"/>
        <v>0.40831556503198302</v>
      </c>
      <c r="N60" s="152">
        <f t="shared" si="72"/>
        <v>8.3620986140724956</v>
      </c>
      <c r="O60" s="152">
        <f t="shared" si="53"/>
        <v>4.125</v>
      </c>
      <c r="P60" s="191">
        <f t="shared" si="73"/>
        <v>0.55747324093816641</v>
      </c>
      <c r="Q60" s="191">
        <f t="shared" si="74"/>
        <v>15</v>
      </c>
      <c r="R60" s="191">
        <f t="shared" si="75"/>
        <v>0.61941471215351818</v>
      </c>
      <c r="S60" s="152">
        <f t="shared" si="76"/>
        <v>52.405644286583254</v>
      </c>
      <c r="T60" s="152">
        <f t="shared" si="77"/>
        <v>15</v>
      </c>
      <c r="U60" s="191">
        <f t="shared" si="78"/>
        <v>2.0225186021530663</v>
      </c>
      <c r="V60" s="191">
        <f t="shared" si="79"/>
        <v>1.6398799476916754</v>
      </c>
      <c r="W60" s="191">
        <f t="shared" si="80"/>
        <v>2.3763273393443338</v>
      </c>
      <c r="X60" s="175">
        <f t="shared" si="81"/>
        <v>350</v>
      </c>
      <c r="Y60" s="386">
        <f t="shared" si="54"/>
        <v>248.99113231229845</v>
      </c>
      <c r="AA60" s="191">
        <f t="shared" si="82"/>
        <v>1.4388262767793685</v>
      </c>
      <c r="AB60" s="153">
        <f t="shared" si="83"/>
        <v>1.6905269570514774</v>
      </c>
      <c r="AC60" s="153">
        <f t="shared" si="84"/>
        <v>0.21283277814833412</v>
      </c>
      <c r="AD60" s="153"/>
      <c r="AE60" s="153">
        <f t="shared" si="85"/>
        <v>0.96344647519582249</v>
      </c>
      <c r="AF60" s="317">
        <f t="shared" si="86"/>
        <v>1392.3590455416752</v>
      </c>
      <c r="AG60" s="463">
        <f t="shared" si="87"/>
        <v>6.9127284595300251E-2</v>
      </c>
      <c r="AI60" s="153">
        <f t="shared" si="88"/>
        <v>1.7239878302356737</v>
      </c>
      <c r="AJ60" s="153">
        <f t="shared" si="89"/>
        <v>2.0225186021530663</v>
      </c>
      <c r="AK60" s="153">
        <f t="shared" si="90"/>
        <v>2.0016790681020442</v>
      </c>
      <c r="AM60" s="317">
        <f t="shared" si="91"/>
        <v>275</v>
      </c>
      <c r="AN60" s="147">
        <f t="shared" si="92"/>
        <v>248.99113231229845</v>
      </c>
      <c r="AP60">
        <f t="shared" si="93"/>
        <v>275</v>
      </c>
      <c r="AQ60">
        <f t="shared" si="94"/>
        <v>248.99113231229845</v>
      </c>
      <c r="AS60" s="5">
        <f t="shared" si="55"/>
        <v>4.0162072870360088</v>
      </c>
      <c r="AT60" s="5">
        <f t="shared" si="95"/>
        <v>1.6398799476916754</v>
      </c>
      <c r="AU60" s="5">
        <f t="shared" si="56"/>
        <v>2.3763273393443334</v>
      </c>
      <c r="AV60" s="5">
        <f t="shared" si="96"/>
        <v>2.3763273393443338</v>
      </c>
      <c r="AW60" s="153">
        <f t="shared" si="57"/>
        <v>0.40831556503198302</v>
      </c>
      <c r="AX60" s="153">
        <f t="shared" si="97"/>
        <v>4.583333333333333</v>
      </c>
      <c r="AY60" s="153">
        <f t="shared" si="98"/>
        <v>0.2991731940818102</v>
      </c>
      <c r="AZ60" s="153">
        <f t="shared" si="58"/>
        <v>15.320000000000002</v>
      </c>
      <c r="BA60" s="147">
        <f t="shared" si="99"/>
        <v>16.670079701628925</v>
      </c>
      <c r="BB60" s="147">
        <f t="shared" si="100"/>
        <v>5.9662213537862199</v>
      </c>
      <c r="BC60" s="5">
        <f t="shared" si="101"/>
        <v>1.7679571958977669</v>
      </c>
      <c r="BD60" s="147">
        <f t="shared" si="102"/>
        <v>45.839477089796048</v>
      </c>
      <c r="BE60" s="5"/>
      <c r="BF60" s="153">
        <f t="shared" si="59"/>
        <v>0.74615639443554338</v>
      </c>
      <c r="BG60" s="153">
        <f t="shared" si="103"/>
        <v>0.44910405264111147</v>
      </c>
      <c r="BH60" s="153"/>
      <c r="BI60" s="463">
        <f t="shared" si="104"/>
        <v>6.1242430145275521E-2</v>
      </c>
      <c r="BJ60" s="463">
        <f t="shared" si="105"/>
        <v>4.723666666666667E-2</v>
      </c>
      <c r="BK60" s="463">
        <f t="shared" si="106"/>
        <v>1.2449556615614921E-2</v>
      </c>
      <c r="BL60" s="463">
        <f t="shared" si="107"/>
        <v>1.9716601843636369E-2</v>
      </c>
      <c r="BM60">
        <f t="shared" si="108"/>
        <v>3.2190000000000001E-3</v>
      </c>
      <c r="BN60">
        <f t="shared" si="109"/>
        <v>1.5188459071050206E-5</v>
      </c>
      <c r="BO60" s="463">
        <f t="shared" si="110"/>
        <v>0.15388596445391789</v>
      </c>
      <c r="BP60" s="147">
        <f t="shared" si="60"/>
        <v>153.88596445391789</v>
      </c>
      <c r="BQ60" s="463">
        <f t="shared" si="111"/>
        <v>0.13586891197507683</v>
      </c>
      <c r="BR60" s="463"/>
      <c r="BT60" s="147">
        <f t="shared" si="61"/>
        <v>135.86891197507683</v>
      </c>
      <c r="BU60" s="463">
        <f t="shared" si="112"/>
        <v>4.7323696021349268E-2</v>
      </c>
      <c r="BV60" s="463">
        <f t="shared" si="113"/>
        <v>3.8321945518747347E-2</v>
      </c>
      <c r="BW60" s="463">
        <f t="shared" si="114"/>
        <v>0</v>
      </c>
      <c r="BX60" s="463">
        <f t="shared" si="115"/>
        <v>9.6584884476433042E-2</v>
      </c>
      <c r="BY60" s="463">
        <f t="shared" si="116"/>
        <v>0.5092592592592593</v>
      </c>
      <c r="BZ60" s="147">
        <f t="shared" si="62"/>
        <v>605.84414373569234</v>
      </c>
      <c r="CA60" s="153">
        <f t="shared" si="63"/>
        <v>0.89559902016468707</v>
      </c>
      <c r="CB60" s="5">
        <f t="shared" si="64"/>
        <v>4.125</v>
      </c>
      <c r="CC60" s="153">
        <f t="shared" si="65"/>
        <v>0.82161510676960836</v>
      </c>
      <c r="CD60" s="5">
        <f t="shared" si="66"/>
        <v>82.16151067696083</v>
      </c>
      <c r="CG60" s="59">
        <f t="shared" si="117"/>
        <v>-50</v>
      </c>
      <c r="CH60">
        <f t="shared" si="118"/>
        <v>-50</v>
      </c>
    </row>
    <row r="61" spans="5:86" x14ac:dyDescent="0.25">
      <c r="E61" s="150">
        <v>56</v>
      </c>
      <c r="F61" s="191">
        <f t="shared" si="119"/>
        <v>0.28000000000000003</v>
      </c>
      <c r="G61" s="191"/>
      <c r="H61" s="191">
        <f t="shared" si="67"/>
        <v>4.2</v>
      </c>
      <c r="I61" s="472">
        <f t="shared" si="68"/>
        <v>11.1</v>
      </c>
      <c r="J61" s="152">
        <f t="shared" si="69"/>
        <v>7.66</v>
      </c>
      <c r="K61" s="386">
        <f t="shared" si="70"/>
        <v>18.759999999999998</v>
      </c>
      <c r="L61" s="386"/>
      <c r="M61" s="191">
        <f t="shared" si="71"/>
        <v>0.40831556503198302</v>
      </c>
      <c r="N61" s="152">
        <f t="shared" si="72"/>
        <v>8.3620986140724956</v>
      </c>
      <c r="O61" s="152">
        <f t="shared" si="53"/>
        <v>4.2</v>
      </c>
      <c r="P61" s="191">
        <f t="shared" si="73"/>
        <v>0.55747324093816641</v>
      </c>
      <c r="Q61" s="191">
        <f t="shared" si="74"/>
        <v>15</v>
      </c>
      <c r="R61" s="191">
        <f t="shared" si="75"/>
        <v>0.61941471215351818</v>
      </c>
      <c r="S61" s="152">
        <f t="shared" si="76"/>
        <v>51.07928347201107</v>
      </c>
      <c r="T61" s="152">
        <f t="shared" si="77"/>
        <v>15</v>
      </c>
      <c r="U61" s="191">
        <f t="shared" si="78"/>
        <v>2.0592916676467588</v>
      </c>
      <c r="V61" s="191">
        <f t="shared" si="79"/>
        <v>1.6696959467406154</v>
      </c>
      <c r="W61" s="191">
        <f t="shared" si="80"/>
        <v>2.4195332909687761</v>
      </c>
      <c r="X61" s="175">
        <f t="shared" si="81"/>
        <v>350</v>
      </c>
      <c r="Y61" s="386">
        <f t="shared" si="54"/>
        <v>244.54486209243592</v>
      </c>
      <c r="AA61" s="191">
        <f t="shared" si="82"/>
        <v>1.4388262767793685</v>
      </c>
      <c r="AB61" s="153">
        <f t="shared" si="83"/>
        <v>1.6905269570514774</v>
      </c>
      <c r="AC61" s="153">
        <f t="shared" si="84"/>
        <v>0.21283277814833412</v>
      </c>
      <c r="AD61" s="153"/>
      <c r="AE61" s="153">
        <f t="shared" si="85"/>
        <v>0.96344647519582249</v>
      </c>
      <c r="AF61" s="317">
        <f t="shared" si="86"/>
        <v>1417.6746645515238</v>
      </c>
      <c r="AG61" s="463">
        <f t="shared" si="87"/>
        <v>6.9127284595300251E-2</v>
      </c>
      <c r="AI61" s="153">
        <f t="shared" si="88"/>
        <v>1.7395898480694156</v>
      </c>
      <c r="AJ61" s="153">
        <f t="shared" si="89"/>
        <v>2.0592916676467588</v>
      </c>
      <c r="AK61" s="153">
        <f t="shared" si="90"/>
        <v>2.0261944450978393</v>
      </c>
      <c r="AM61" s="317">
        <f t="shared" si="91"/>
        <v>280</v>
      </c>
      <c r="AN61" s="147">
        <f t="shared" si="92"/>
        <v>244.54486209243592</v>
      </c>
      <c r="AP61">
        <f t="shared" si="93"/>
        <v>280</v>
      </c>
      <c r="AQ61">
        <f t="shared" si="94"/>
        <v>244.54486209243592</v>
      </c>
      <c r="AS61" s="5">
        <f t="shared" si="55"/>
        <v>4.0892292377093922</v>
      </c>
      <c r="AT61" s="5">
        <f t="shared" si="95"/>
        <v>1.6696959467406154</v>
      </c>
      <c r="AU61" s="5">
        <f t="shared" si="56"/>
        <v>2.4195332909687766</v>
      </c>
      <c r="AV61" s="5">
        <f t="shared" si="96"/>
        <v>2.4195332909687761</v>
      </c>
      <c r="AW61" s="153">
        <f t="shared" si="57"/>
        <v>0.40831556503198296</v>
      </c>
      <c r="AX61" s="153">
        <f t="shared" si="97"/>
        <v>4.666666666666667</v>
      </c>
      <c r="AY61" s="153">
        <f t="shared" si="98"/>
        <v>0.3046127067014795</v>
      </c>
      <c r="AZ61" s="153">
        <f t="shared" si="58"/>
        <v>15.320000000000004</v>
      </c>
      <c r="BA61" s="147">
        <f t="shared" si="99"/>
        <v>16.670079701628925</v>
      </c>
      <c r="BB61" s="147">
        <f t="shared" si="100"/>
        <v>6.1698744348673005</v>
      </c>
      <c r="BC61" s="5">
        <f t="shared" si="101"/>
        <v>1.8328309971356693</v>
      </c>
      <c r="BD61" s="147">
        <f t="shared" si="102"/>
        <v>47.49858868900202</v>
      </c>
      <c r="BE61" s="5"/>
      <c r="BF61" s="153">
        <f t="shared" si="59"/>
        <v>0.75972287433437147</v>
      </c>
      <c r="BG61" s="153">
        <f t="shared" si="103"/>
        <v>0.45726958087094993</v>
      </c>
      <c r="BH61" s="153"/>
      <c r="BI61" s="463">
        <f t="shared" si="104"/>
        <v>6.3489673036556712E-2</v>
      </c>
      <c r="BJ61" s="463">
        <f t="shared" si="105"/>
        <v>4.7236666666666663E-2</v>
      </c>
      <c r="BK61" s="463">
        <f t="shared" si="106"/>
        <v>1.2227243104621796E-2</v>
      </c>
      <c r="BL61" s="463">
        <f t="shared" si="107"/>
        <v>1.9364519667857145E-2</v>
      </c>
      <c r="BM61">
        <f t="shared" si="108"/>
        <v>3.2190000000000001E-3</v>
      </c>
      <c r="BN61">
        <f t="shared" si="109"/>
        <v>1.4917236587638592E-5</v>
      </c>
      <c r="BO61" s="463">
        <f t="shared" si="110"/>
        <v>0.15594989845990465</v>
      </c>
      <c r="BP61" s="147">
        <f t="shared" si="60"/>
        <v>155.94989845990466</v>
      </c>
      <c r="BQ61" s="463">
        <f t="shared" si="111"/>
        <v>0.13890978775333587</v>
      </c>
      <c r="BR61" s="463"/>
      <c r="BT61" s="147">
        <f t="shared" si="61"/>
        <v>138.90978775333588</v>
      </c>
      <c r="BU61" s="463">
        <f t="shared" si="112"/>
        <v>4.906020189188473E-2</v>
      </c>
      <c r="BV61" s="463">
        <f t="shared" si="113"/>
        <v>3.9728139222079906E-2</v>
      </c>
      <c r="BW61" s="463">
        <f t="shared" si="114"/>
        <v>0</v>
      </c>
      <c r="BX61" s="463">
        <f t="shared" si="115"/>
        <v>0.10015434510018446</v>
      </c>
      <c r="BY61" s="463">
        <f t="shared" si="116"/>
        <v>0.5185185185185186</v>
      </c>
      <c r="BZ61" s="147">
        <f t="shared" si="62"/>
        <v>618.6728636187031</v>
      </c>
      <c r="CA61" s="153">
        <f t="shared" si="63"/>
        <v>0.91353254983194354</v>
      </c>
      <c r="CB61" s="5">
        <f t="shared" si="64"/>
        <v>4.2</v>
      </c>
      <c r="CC61" s="153">
        <f t="shared" si="65"/>
        <v>0.8213500078606194</v>
      </c>
      <c r="CD61" s="5">
        <f t="shared" si="66"/>
        <v>82.135000786061937</v>
      </c>
      <c r="CG61" s="59">
        <f t="shared" si="117"/>
        <v>-50</v>
      </c>
      <c r="CH61">
        <f t="shared" si="118"/>
        <v>-50</v>
      </c>
    </row>
    <row r="62" spans="5:86" x14ac:dyDescent="0.25">
      <c r="E62" s="150">
        <v>57</v>
      </c>
      <c r="F62" s="191">
        <f t="shared" si="119"/>
        <v>0.28499999999999998</v>
      </c>
      <c r="G62" s="191"/>
      <c r="H62" s="191">
        <f t="shared" si="67"/>
        <v>4.2749999999999995</v>
      </c>
      <c r="I62" s="472">
        <f t="shared" si="68"/>
        <v>11.1</v>
      </c>
      <c r="J62" s="152">
        <f t="shared" si="69"/>
        <v>7.66</v>
      </c>
      <c r="K62" s="386">
        <f t="shared" si="70"/>
        <v>18.759999999999998</v>
      </c>
      <c r="L62" s="386"/>
      <c r="M62" s="191">
        <f t="shared" si="71"/>
        <v>0.40831556503198302</v>
      </c>
      <c r="N62" s="152">
        <f t="shared" si="72"/>
        <v>8.3620986140724956</v>
      </c>
      <c r="O62" s="152">
        <f t="shared" si="53"/>
        <v>4.2749999999999995</v>
      </c>
      <c r="P62" s="191">
        <f t="shared" si="73"/>
        <v>0.55747324093816641</v>
      </c>
      <c r="Q62" s="191">
        <f t="shared" si="74"/>
        <v>15</v>
      </c>
      <c r="R62" s="191">
        <f t="shared" si="75"/>
        <v>0.61941471215351818</v>
      </c>
      <c r="S62" s="152">
        <f t="shared" si="76"/>
        <v>49.799635591820689</v>
      </c>
      <c r="T62" s="152">
        <f t="shared" si="77"/>
        <v>15</v>
      </c>
      <c r="U62" s="191">
        <f t="shared" si="78"/>
        <v>2.0960647331404503</v>
      </c>
      <c r="V62" s="191">
        <f t="shared" si="79"/>
        <v>1.6995119457895544</v>
      </c>
      <c r="W62" s="191">
        <f t="shared" si="80"/>
        <v>2.4627392425932184</v>
      </c>
      <c r="X62" s="175">
        <f t="shared" si="81"/>
        <v>350</v>
      </c>
      <c r="Y62" s="386">
        <f t="shared" si="54"/>
        <v>240.25460135397216</v>
      </c>
      <c r="AA62" s="191">
        <f t="shared" si="82"/>
        <v>1.4388262767793685</v>
      </c>
      <c r="AB62" s="153">
        <f t="shared" si="83"/>
        <v>1.6905269570514774</v>
      </c>
      <c r="AC62" s="153">
        <f t="shared" si="84"/>
        <v>0.21283277814833412</v>
      </c>
      <c r="AD62" s="153"/>
      <c r="AE62" s="153">
        <f t="shared" si="85"/>
        <v>0.96344647519582249</v>
      </c>
      <c r="AF62" s="317">
        <f t="shared" si="86"/>
        <v>1442.9902835613723</v>
      </c>
      <c r="AG62" s="463">
        <f t="shared" si="87"/>
        <v>6.9127284595300251E-2</v>
      </c>
      <c r="AI62" s="153">
        <f t="shared" si="88"/>
        <v>1.7550531730439509</v>
      </c>
      <c r="AJ62" s="153">
        <f t="shared" si="89"/>
        <v>2.0960647331404503</v>
      </c>
      <c r="AK62" s="153">
        <f t="shared" si="90"/>
        <v>2.0507098220936335</v>
      </c>
      <c r="AM62" s="317">
        <f t="shared" si="91"/>
        <v>285</v>
      </c>
      <c r="AN62" s="147">
        <f t="shared" si="92"/>
        <v>240.25460135397216</v>
      </c>
      <c r="AP62">
        <f t="shared" si="93"/>
        <v>285</v>
      </c>
      <c r="AQ62">
        <f t="shared" si="94"/>
        <v>240.25460135397216</v>
      </c>
      <c r="AS62" s="5">
        <f t="shared" si="55"/>
        <v>4.1622511883827729</v>
      </c>
      <c r="AT62" s="5">
        <f t="shared" si="95"/>
        <v>1.6995119457895544</v>
      </c>
      <c r="AU62" s="5">
        <f t="shared" si="56"/>
        <v>2.4627392425932184</v>
      </c>
      <c r="AV62" s="5">
        <f t="shared" si="96"/>
        <v>2.4627392425932184</v>
      </c>
      <c r="AW62" s="153">
        <f t="shared" si="57"/>
        <v>0.40831556503198296</v>
      </c>
      <c r="AX62" s="153">
        <f t="shared" si="97"/>
        <v>4.7499999999999982</v>
      </c>
      <c r="AY62" s="153">
        <f t="shared" si="98"/>
        <v>0.31005221932114868</v>
      </c>
      <c r="AZ62" s="153">
        <f t="shared" si="58"/>
        <v>15.320000000000002</v>
      </c>
      <c r="BA62" s="147">
        <f t="shared" si="99"/>
        <v>16.670079701628925</v>
      </c>
      <c r="BB62" s="147">
        <f t="shared" si="100"/>
        <v>6.3769266705624545</v>
      </c>
      <c r="BC62" s="5">
        <f t="shared" si="101"/>
        <v>1.8988736956931718</v>
      </c>
      <c r="BD62" s="147">
        <f t="shared" si="102"/>
        <v>49.187188379679711</v>
      </c>
      <c r="BE62" s="5"/>
      <c r="BF62" s="153">
        <f t="shared" si="59"/>
        <v>0.77328935423319933</v>
      </c>
      <c r="BG62" s="153">
        <f t="shared" si="103"/>
        <v>0.46543510910078817</v>
      </c>
      <c r="BH62" s="153"/>
      <c r="BI62" s="463">
        <f t="shared" si="104"/>
        <v>6.5777406790743828E-2</v>
      </c>
      <c r="BJ62" s="463">
        <f t="shared" si="105"/>
        <v>4.7236666666666663E-2</v>
      </c>
      <c r="BK62" s="463">
        <f t="shared" si="106"/>
        <v>1.2012730067698608E-2</v>
      </c>
      <c r="BL62" s="463">
        <f t="shared" si="107"/>
        <v>1.9024791252631582E-2</v>
      </c>
      <c r="BM62">
        <f t="shared" si="108"/>
        <v>3.2190000000000001E-3</v>
      </c>
      <c r="BN62">
        <f t="shared" si="109"/>
        <v>1.4655530682592303E-5</v>
      </c>
      <c r="BO62" s="463">
        <f t="shared" si="110"/>
        <v>0.15808369310431614</v>
      </c>
      <c r="BP62" s="147">
        <f t="shared" si="60"/>
        <v>158.08369310431613</v>
      </c>
      <c r="BQ62" s="463">
        <f t="shared" si="111"/>
        <v>0.14197103967174363</v>
      </c>
      <c r="BR62" s="463"/>
      <c r="BT62" s="147">
        <f t="shared" si="61"/>
        <v>141.97103967174363</v>
      </c>
      <c r="BU62" s="463">
        <f t="shared" si="112"/>
        <v>5.0827996156483868E-2</v>
      </c>
      <c r="BV62" s="463">
        <f t="shared" si="113"/>
        <v>4.1159669748895893E-2</v>
      </c>
      <c r="BW62" s="463">
        <f t="shared" si="114"/>
        <v>0</v>
      </c>
      <c r="BX62" s="463">
        <f t="shared" si="115"/>
        <v>0.1037899776370013</v>
      </c>
      <c r="BY62" s="463">
        <f t="shared" si="116"/>
        <v>0.52777777777777757</v>
      </c>
      <c r="BZ62" s="147">
        <f t="shared" si="62"/>
        <v>631.56775541477884</v>
      </c>
      <c r="CA62" s="153">
        <f t="shared" si="63"/>
        <v>0.93162248819083859</v>
      </c>
      <c r="CB62" s="5">
        <f t="shared" si="64"/>
        <v>4.2749999999999995</v>
      </c>
      <c r="CC62" s="153">
        <f t="shared" si="65"/>
        <v>0.82106970683896219</v>
      </c>
      <c r="CD62" s="5">
        <f t="shared" si="66"/>
        <v>82.106970683896222</v>
      </c>
      <c r="CG62" s="59">
        <f t="shared" si="117"/>
        <v>-50</v>
      </c>
      <c r="CH62">
        <f t="shared" si="118"/>
        <v>-50</v>
      </c>
    </row>
    <row r="63" spans="5:86" x14ac:dyDescent="0.25">
      <c r="E63" s="150">
        <v>58</v>
      </c>
      <c r="F63" s="191">
        <f t="shared" si="119"/>
        <v>0.28999999999999998</v>
      </c>
      <c r="G63" s="191"/>
      <c r="H63" s="191">
        <f t="shared" si="67"/>
        <v>4.3499999999999996</v>
      </c>
      <c r="I63" s="472">
        <f t="shared" si="68"/>
        <v>11.1</v>
      </c>
      <c r="J63" s="152">
        <f t="shared" si="69"/>
        <v>7.66</v>
      </c>
      <c r="K63" s="386">
        <f t="shared" si="70"/>
        <v>18.759999999999998</v>
      </c>
      <c r="L63" s="386"/>
      <c r="M63" s="191">
        <f t="shared" si="71"/>
        <v>0.40831556503198302</v>
      </c>
      <c r="N63" s="152">
        <f t="shared" si="72"/>
        <v>8.3620986140724956</v>
      </c>
      <c r="O63" s="152">
        <f t="shared" si="53"/>
        <v>4.3499999999999996</v>
      </c>
      <c r="P63" s="191">
        <f t="shared" si="73"/>
        <v>0.55747324093816641</v>
      </c>
      <c r="Q63" s="191">
        <f t="shared" si="74"/>
        <v>15</v>
      </c>
      <c r="R63" s="191">
        <f t="shared" si="75"/>
        <v>0.61941471215351818</v>
      </c>
      <c r="S63" s="152">
        <f t="shared" si="76"/>
        <v>48.564288283501185</v>
      </c>
      <c r="T63" s="152">
        <f t="shared" si="77"/>
        <v>15</v>
      </c>
      <c r="U63" s="191">
        <f t="shared" si="78"/>
        <v>2.1328377986341427</v>
      </c>
      <c r="V63" s="191">
        <f t="shared" si="79"/>
        <v>1.7293279448384939</v>
      </c>
      <c r="W63" s="191">
        <f t="shared" si="80"/>
        <v>2.5059451942176612</v>
      </c>
      <c r="X63" s="175">
        <f t="shared" si="81"/>
        <v>350</v>
      </c>
      <c r="Y63" s="386">
        <f t="shared" si="54"/>
        <v>236.11228064097261</v>
      </c>
      <c r="AA63" s="191">
        <f t="shared" si="82"/>
        <v>1.4388262767793685</v>
      </c>
      <c r="AB63" s="153">
        <f t="shared" si="83"/>
        <v>1.6905269570514774</v>
      </c>
      <c r="AC63" s="153">
        <f t="shared" si="84"/>
        <v>0.21283277814833412</v>
      </c>
      <c r="AD63" s="153"/>
      <c r="AE63" s="153">
        <f t="shared" si="85"/>
        <v>0.96344647519582249</v>
      </c>
      <c r="AF63" s="317">
        <f t="shared" si="86"/>
        <v>1468.3059025712209</v>
      </c>
      <c r="AG63" s="463">
        <f t="shared" si="87"/>
        <v>6.9127284595300251E-2</v>
      </c>
      <c r="AI63" s="153">
        <f t="shared" si="88"/>
        <v>1.7703814393844923</v>
      </c>
      <c r="AJ63" s="153">
        <f t="shared" si="89"/>
        <v>2.1328377986341427</v>
      </c>
      <c r="AK63" s="153">
        <f t="shared" si="90"/>
        <v>2.0752251990894286</v>
      </c>
      <c r="AM63" s="317">
        <f t="shared" si="91"/>
        <v>290</v>
      </c>
      <c r="AN63" s="147">
        <f t="shared" si="92"/>
        <v>236.11228064097261</v>
      </c>
      <c r="AP63">
        <f t="shared" si="93"/>
        <v>290</v>
      </c>
      <c r="AQ63">
        <f t="shared" si="94"/>
        <v>236.11228064097261</v>
      </c>
      <c r="AS63" s="5">
        <f t="shared" si="55"/>
        <v>4.2352731390561562</v>
      </c>
      <c r="AT63" s="5">
        <f t="shared" si="95"/>
        <v>1.7293279448384939</v>
      </c>
      <c r="AU63" s="5">
        <f t="shared" si="56"/>
        <v>2.505945194217662</v>
      </c>
      <c r="AV63" s="5">
        <f t="shared" si="96"/>
        <v>2.5059451942176612</v>
      </c>
      <c r="AW63" s="153">
        <f t="shared" si="57"/>
        <v>0.4083155650319828</v>
      </c>
      <c r="AX63" s="153">
        <f t="shared" si="97"/>
        <v>4.8333333333333313</v>
      </c>
      <c r="AY63" s="153">
        <f t="shared" si="98"/>
        <v>0.31549173194081814</v>
      </c>
      <c r="AZ63" s="153">
        <f t="shared" si="58"/>
        <v>15.319999999999991</v>
      </c>
      <c r="BA63" s="147">
        <f t="shared" si="99"/>
        <v>16.670079701628925</v>
      </c>
      <c r="BB63" s="147">
        <f t="shared" si="100"/>
        <v>6.587378060871683</v>
      </c>
      <c r="BC63" s="5">
        <f t="shared" si="101"/>
        <v>1.9660852915702782</v>
      </c>
      <c r="BD63" s="147">
        <f t="shared" si="102"/>
        <v>50.905276161829228</v>
      </c>
      <c r="BE63" s="5"/>
      <c r="BF63" s="153">
        <f t="shared" si="59"/>
        <v>0.78685583413202742</v>
      </c>
      <c r="BG63" s="153">
        <f t="shared" si="103"/>
        <v>0.47360063733062679</v>
      </c>
      <c r="BH63" s="153"/>
      <c r="BI63" s="463">
        <f t="shared" si="104"/>
        <v>6.8105631407836958E-2</v>
      </c>
      <c r="BJ63" s="463">
        <f t="shared" si="105"/>
        <v>4.7236666666666663E-2</v>
      </c>
      <c r="BK63" s="463">
        <f t="shared" si="106"/>
        <v>1.180561403204863E-2</v>
      </c>
      <c r="BL63" s="463">
        <f t="shared" si="107"/>
        <v>1.8696777610344828E-2</v>
      </c>
      <c r="BM63">
        <f t="shared" si="108"/>
        <v>3.2190000000000001E-3</v>
      </c>
      <c r="BN63">
        <f t="shared" si="109"/>
        <v>1.440284911909933E-5</v>
      </c>
      <c r="BO63" s="463">
        <f t="shared" si="110"/>
        <v>0.16028643018051453</v>
      </c>
      <c r="BP63" s="147">
        <f t="shared" si="60"/>
        <v>160.28643018051451</v>
      </c>
      <c r="BQ63" s="463">
        <f t="shared" si="111"/>
        <v>0.14505266773030032</v>
      </c>
      <c r="BR63" s="463"/>
      <c r="BT63" s="147">
        <f t="shared" si="61"/>
        <v>145.05266773030033</v>
      </c>
      <c r="BU63" s="463">
        <f t="shared" si="112"/>
        <v>5.2627078815146743E-2</v>
      </c>
      <c r="BV63" s="463">
        <f t="shared" si="113"/>
        <v>4.2616537099195419E-2</v>
      </c>
      <c r="BW63" s="463">
        <f t="shared" si="114"/>
        <v>0</v>
      </c>
      <c r="BX63" s="463">
        <f t="shared" si="115"/>
        <v>0.10749188307409673</v>
      </c>
      <c r="BY63" s="463">
        <f t="shared" si="116"/>
        <v>0.53703703703703698</v>
      </c>
      <c r="BZ63" s="147">
        <f t="shared" si="62"/>
        <v>644.52892011113374</v>
      </c>
      <c r="CA63" s="153">
        <f t="shared" si="63"/>
        <v>0.94986801802194853</v>
      </c>
      <c r="CB63" s="5">
        <f t="shared" si="64"/>
        <v>4.3499999999999996</v>
      </c>
      <c r="CC63" s="153">
        <f t="shared" si="65"/>
        <v>0.82077515613747964</v>
      </c>
      <c r="CD63" s="5">
        <f t="shared" si="66"/>
        <v>82.077515613747963</v>
      </c>
      <c r="CG63" s="59">
        <f t="shared" si="117"/>
        <v>-50</v>
      </c>
      <c r="CH63">
        <f t="shared" si="118"/>
        <v>-50</v>
      </c>
    </row>
    <row r="64" spans="5:86" x14ac:dyDescent="0.25">
      <c r="E64" s="150">
        <v>59</v>
      </c>
      <c r="F64" s="191">
        <f t="shared" si="119"/>
        <v>0.29499999999999998</v>
      </c>
      <c r="G64" s="191"/>
      <c r="H64" s="191">
        <f t="shared" si="67"/>
        <v>4.4249999999999998</v>
      </c>
      <c r="I64" s="472">
        <f t="shared" si="68"/>
        <v>11.1</v>
      </c>
      <c r="J64" s="152">
        <f t="shared" si="69"/>
        <v>7.66</v>
      </c>
      <c r="K64" s="386">
        <f t="shared" si="70"/>
        <v>18.759999999999998</v>
      </c>
      <c r="L64" s="386"/>
      <c r="M64" s="191">
        <f t="shared" si="71"/>
        <v>0.40831556503198302</v>
      </c>
      <c r="N64" s="152">
        <f t="shared" si="72"/>
        <v>8.3620986140724956</v>
      </c>
      <c r="O64" s="152">
        <f t="shared" si="53"/>
        <v>4.4249999999999998</v>
      </c>
      <c r="P64" s="191">
        <f t="shared" si="73"/>
        <v>0.55747324093816641</v>
      </c>
      <c r="Q64" s="191">
        <f t="shared" si="74"/>
        <v>15</v>
      </c>
      <c r="R64" s="191">
        <f t="shared" si="75"/>
        <v>0.61941471215351818</v>
      </c>
      <c r="S64" s="152">
        <f t="shared" si="76"/>
        <v>47.370992843724366</v>
      </c>
      <c r="T64" s="152">
        <f t="shared" si="77"/>
        <v>15</v>
      </c>
      <c r="U64" s="191">
        <f t="shared" si="78"/>
        <v>2.1696108641278347</v>
      </c>
      <c r="V64" s="191">
        <f t="shared" si="79"/>
        <v>1.7591439438874334</v>
      </c>
      <c r="W64" s="191">
        <f t="shared" si="80"/>
        <v>2.5491511458421034</v>
      </c>
      <c r="X64" s="175">
        <f t="shared" si="81"/>
        <v>350</v>
      </c>
      <c r="Y64" s="386">
        <f t="shared" si="54"/>
        <v>232.11037757926124</v>
      </c>
      <c r="AA64" s="191">
        <f t="shared" si="82"/>
        <v>1.4388262767793685</v>
      </c>
      <c r="AB64" s="153">
        <f t="shared" si="83"/>
        <v>1.6905269570514774</v>
      </c>
      <c r="AC64" s="153">
        <f t="shared" si="84"/>
        <v>0.21283277814833412</v>
      </c>
      <c r="AD64" s="153"/>
      <c r="AE64" s="153">
        <f t="shared" si="85"/>
        <v>0.96344647519582249</v>
      </c>
      <c r="AF64" s="317">
        <f t="shared" si="86"/>
        <v>1493.6215215810696</v>
      </c>
      <c r="AG64" s="463">
        <f t="shared" si="87"/>
        <v>6.9127284595300251E-2</v>
      </c>
      <c r="AI64" s="153">
        <f t="shared" si="88"/>
        <v>1.7855781253203611</v>
      </c>
      <c r="AJ64" s="153">
        <f t="shared" si="89"/>
        <v>2.1696108641278347</v>
      </c>
      <c r="AK64" s="153">
        <f t="shared" si="90"/>
        <v>2.0997405760852232</v>
      </c>
      <c r="AM64" s="317">
        <f t="shared" si="91"/>
        <v>295</v>
      </c>
      <c r="AN64" s="147">
        <f t="shared" si="92"/>
        <v>232.11037757926124</v>
      </c>
      <c r="AP64">
        <f t="shared" si="93"/>
        <v>295</v>
      </c>
      <c r="AQ64">
        <f t="shared" si="94"/>
        <v>232.11037757926124</v>
      </c>
      <c r="AS64" s="5">
        <f t="shared" si="55"/>
        <v>4.3082950897295378</v>
      </c>
      <c r="AT64" s="5">
        <f t="shared" si="95"/>
        <v>1.7591439438874334</v>
      </c>
      <c r="AU64" s="5">
        <f t="shared" si="56"/>
        <v>2.5491511458421043</v>
      </c>
      <c r="AV64" s="5">
        <f t="shared" si="96"/>
        <v>2.5491511458421034</v>
      </c>
      <c r="AW64" s="153">
        <f t="shared" si="57"/>
        <v>0.40831556503198285</v>
      </c>
      <c r="AX64" s="153">
        <f t="shared" si="97"/>
        <v>4.9166666666666643</v>
      </c>
      <c r="AY64" s="153">
        <f t="shared" si="98"/>
        <v>0.32093124456048733</v>
      </c>
      <c r="AZ64" s="153">
        <f t="shared" si="58"/>
        <v>15.319999999999995</v>
      </c>
      <c r="BA64" s="147">
        <f t="shared" si="99"/>
        <v>16.670079701628925</v>
      </c>
      <c r="BB64" s="147">
        <f t="shared" si="100"/>
        <v>6.8012286057949831</v>
      </c>
      <c r="BC64" s="5">
        <f t="shared" si="101"/>
        <v>2.0344657847669851</v>
      </c>
      <c r="BD64" s="147">
        <f t="shared" si="102"/>
        <v>52.652852035450493</v>
      </c>
      <c r="BE64" s="5"/>
      <c r="BF64" s="153">
        <f t="shared" si="59"/>
        <v>0.80042231403085551</v>
      </c>
      <c r="BG64" s="153">
        <f t="shared" si="103"/>
        <v>0.48176616556046509</v>
      </c>
      <c r="BH64" s="153"/>
      <c r="BI64" s="463">
        <f t="shared" si="104"/>
        <v>7.0474346887836034E-2</v>
      </c>
      <c r="BJ64" s="463">
        <f t="shared" si="105"/>
        <v>4.7236666666666663E-2</v>
      </c>
      <c r="BK64" s="463">
        <f t="shared" si="106"/>
        <v>1.1605518878963062E-2</v>
      </c>
      <c r="BL64" s="463">
        <f t="shared" si="107"/>
        <v>1.8379883074576275E-2</v>
      </c>
      <c r="BM64">
        <f t="shared" si="108"/>
        <v>3.2190000000000001E-3</v>
      </c>
      <c r="BN64">
        <f t="shared" si="109"/>
        <v>1.4158733032334936E-5</v>
      </c>
      <c r="BO64" s="463">
        <f t="shared" si="110"/>
        <v>0.16255726466838744</v>
      </c>
      <c r="BP64" s="147">
        <f t="shared" si="60"/>
        <v>162.55726466838743</v>
      </c>
      <c r="BQ64" s="463">
        <f t="shared" si="111"/>
        <v>0.14815467192900575</v>
      </c>
      <c r="BR64" s="463"/>
      <c r="BT64" s="147">
        <f t="shared" si="61"/>
        <v>148.15467192900576</v>
      </c>
      <c r="BU64" s="463">
        <f t="shared" si="112"/>
        <v>5.4457449867873306E-2</v>
      </c>
      <c r="BV64" s="463">
        <f t="shared" si="113"/>
        <v>4.4098741272978359E-2</v>
      </c>
      <c r="BW64" s="463">
        <f t="shared" si="114"/>
        <v>0</v>
      </c>
      <c r="BX64" s="463">
        <f t="shared" si="115"/>
        <v>0.11126016431943618</v>
      </c>
      <c r="BY64" s="463">
        <f t="shared" si="116"/>
        <v>0.54629629629629628</v>
      </c>
      <c r="BZ64" s="147">
        <f t="shared" si="62"/>
        <v>657.55646061573248</v>
      </c>
      <c r="CA64" s="153">
        <f t="shared" si="63"/>
        <v>0.96826839721312563</v>
      </c>
      <c r="CB64" s="5">
        <f t="shared" si="64"/>
        <v>4.4249999999999998</v>
      </c>
      <c r="CC64" s="153">
        <f t="shared" si="65"/>
        <v>0.82046723324330362</v>
      </c>
      <c r="CD64" s="5">
        <f t="shared" si="66"/>
        <v>82.046723324330358</v>
      </c>
      <c r="CG64" s="59">
        <f t="shared" si="117"/>
        <v>-50</v>
      </c>
      <c r="CH64">
        <f t="shared" si="118"/>
        <v>-50</v>
      </c>
    </row>
    <row r="65" spans="5:86" x14ac:dyDescent="0.25">
      <c r="E65" s="150">
        <v>60</v>
      </c>
      <c r="F65" s="191">
        <f t="shared" si="119"/>
        <v>0.3</v>
      </c>
      <c r="G65" s="191"/>
      <c r="H65" s="191">
        <f t="shared" si="67"/>
        <v>4.5</v>
      </c>
      <c r="I65" s="472">
        <f t="shared" si="68"/>
        <v>11.1</v>
      </c>
      <c r="J65" s="152">
        <f t="shared" si="69"/>
        <v>7.66</v>
      </c>
      <c r="K65" s="386">
        <f t="shared" si="70"/>
        <v>18.759999999999998</v>
      </c>
      <c r="L65" s="386"/>
      <c r="M65" s="191">
        <f t="shared" si="71"/>
        <v>0.40831556503198302</v>
      </c>
      <c r="N65" s="152">
        <f t="shared" si="72"/>
        <v>8.3620986140724956</v>
      </c>
      <c r="O65" s="152">
        <f t="shared" si="53"/>
        <v>4.5</v>
      </c>
      <c r="P65" s="191">
        <f t="shared" si="73"/>
        <v>0.55747324093816641</v>
      </c>
      <c r="Q65" s="191">
        <f t="shared" si="74"/>
        <v>15</v>
      </c>
      <c r="R65" s="191">
        <f t="shared" si="75"/>
        <v>0.61941471215351818</v>
      </c>
      <c r="S65" s="152">
        <f t="shared" si="76"/>
        <v>46.217650593859958</v>
      </c>
      <c r="T65" s="152">
        <f t="shared" si="77"/>
        <v>15</v>
      </c>
      <c r="U65" s="191">
        <f t="shared" si="78"/>
        <v>2.2063839296215271</v>
      </c>
      <c r="V65" s="191">
        <f t="shared" si="79"/>
        <v>1.7889599429363732</v>
      </c>
      <c r="W65" s="191">
        <f t="shared" si="80"/>
        <v>2.5923570974665462</v>
      </c>
      <c r="X65" s="175">
        <f t="shared" si="81"/>
        <v>350</v>
      </c>
      <c r="Y65" s="386">
        <f t="shared" si="54"/>
        <v>228.24187128627352</v>
      </c>
      <c r="AA65" s="191">
        <f t="shared" si="82"/>
        <v>1.4388262767793685</v>
      </c>
      <c r="AB65" s="153">
        <f t="shared" si="83"/>
        <v>1.6905269570514774</v>
      </c>
      <c r="AC65" s="153">
        <f t="shared" si="84"/>
        <v>0.21283277814833412</v>
      </c>
      <c r="AD65" s="153"/>
      <c r="AE65" s="153">
        <f t="shared" si="85"/>
        <v>0.96344647519582249</v>
      </c>
      <c r="AF65" s="317">
        <f t="shared" si="86"/>
        <v>1518.9371405909183</v>
      </c>
      <c r="AG65" s="463">
        <f t="shared" si="87"/>
        <v>6.9127284595300251E-2</v>
      </c>
      <c r="AI65" s="153">
        <f t="shared" si="88"/>
        <v>1.8006465623014534</v>
      </c>
      <c r="AJ65" s="153">
        <f t="shared" si="89"/>
        <v>2.2063839296215271</v>
      </c>
      <c r="AK65" s="153">
        <f t="shared" si="90"/>
        <v>2.1242559530810183</v>
      </c>
      <c r="AM65" s="317">
        <f t="shared" si="91"/>
        <v>300</v>
      </c>
      <c r="AN65" s="147">
        <f t="shared" si="92"/>
        <v>228.24187128627352</v>
      </c>
      <c r="AP65">
        <f t="shared" si="93"/>
        <v>300</v>
      </c>
      <c r="AQ65">
        <f t="shared" si="94"/>
        <v>228.24187128627352</v>
      </c>
      <c r="AS65" s="5">
        <f t="shared" si="55"/>
        <v>4.3813170404029194</v>
      </c>
      <c r="AT65" s="5">
        <f t="shared" si="95"/>
        <v>1.7889599429363732</v>
      </c>
      <c r="AU65" s="5">
        <f t="shared" si="56"/>
        <v>2.5923570974665462</v>
      </c>
      <c r="AV65" s="5">
        <f t="shared" si="96"/>
        <v>2.5923570974665462</v>
      </c>
      <c r="AW65" s="153">
        <f t="shared" si="57"/>
        <v>0.40831556503198291</v>
      </c>
      <c r="AX65" s="153">
        <f t="shared" si="97"/>
        <v>4.9999999999999991</v>
      </c>
      <c r="AY65" s="153">
        <f t="shared" si="98"/>
        <v>0.32637075718015657</v>
      </c>
      <c r="AZ65" s="153">
        <f t="shared" si="58"/>
        <v>15.320000000000002</v>
      </c>
      <c r="BA65" s="147">
        <f t="shared" si="99"/>
        <v>16.670079701628925</v>
      </c>
      <c r="BB65" s="147">
        <f t="shared" si="100"/>
        <v>7.0184783053323603</v>
      </c>
      <c r="BC65" s="5">
        <f t="shared" si="101"/>
        <v>2.1040151752832936</v>
      </c>
      <c r="BD65" s="147">
        <f t="shared" si="102"/>
        <v>54.429916000543535</v>
      </c>
      <c r="BE65" s="5"/>
      <c r="BF65" s="153">
        <f t="shared" si="59"/>
        <v>0.81398879392968371</v>
      </c>
      <c r="BG65" s="153">
        <f t="shared" si="103"/>
        <v>0.48993169379030349</v>
      </c>
      <c r="BH65" s="153"/>
      <c r="BI65" s="463">
        <f t="shared" si="104"/>
        <v>7.288355323074111E-2</v>
      </c>
      <c r="BJ65" s="463">
        <f t="shared" si="105"/>
        <v>4.7236666666666663E-2</v>
      </c>
      <c r="BK65" s="463">
        <f t="shared" si="106"/>
        <v>1.1412093564313676E-2</v>
      </c>
      <c r="BL65" s="463">
        <f t="shared" si="107"/>
        <v>1.8073551689999998E-2</v>
      </c>
      <c r="BM65">
        <f t="shared" si="108"/>
        <v>3.2190000000000001E-3</v>
      </c>
      <c r="BN65">
        <f t="shared" si="109"/>
        <v>1.3922754148462686E-5</v>
      </c>
      <c r="BO65" s="463">
        <f t="shared" si="110"/>
        <v>0.1648954188569883</v>
      </c>
      <c r="BP65" s="147">
        <f t="shared" si="60"/>
        <v>164.8954188569883</v>
      </c>
      <c r="BQ65" s="463">
        <f t="shared" si="111"/>
        <v>0.15127705226786003</v>
      </c>
      <c r="BR65" s="463"/>
      <c r="BT65" s="147">
        <f t="shared" si="61"/>
        <v>151.27705226786003</v>
      </c>
      <c r="BU65" s="463">
        <f t="shared" si="112"/>
        <v>5.6319109314663593E-2</v>
      </c>
      <c r="BV65" s="463">
        <f t="shared" si="113"/>
        <v>4.5606282270244783E-2</v>
      </c>
      <c r="BW65" s="463">
        <f t="shared" si="114"/>
        <v>0</v>
      </c>
      <c r="BX65" s="463">
        <f t="shared" si="115"/>
        <v>0.11509492620896014</v>
      </c>
      <c r="BY65" s="463">
        <f t="shared" si="116"/>
        <v>0.55555555555555558</v>
      </c>
      <c r="BZ65" s="147">
        <f t="shared" si="62"/>
        <v>670.65048176451569</v>
      </c>
      <c r="CA65" s="153">
        <f t="shared" si="63"/>
        <v>0.98682295288936406</v>
      </c>
      <c r="CB65" s="5">
        <f t="shared" si="64"/>
        <v>4.5</v>
      </c>
      <c r="CC65" s="153">
        <f t="shared" si="65"/>
        <v>0.82014674769673357</v>
      </c>
      <c r="CD65" s="5">
        <f t="shared" si="66"/>
        <v>82.014674769673363</v>
      </c>
      <c r="CG65" s="59">
        <f t="shared" si="117"/>
        <v>-50</v>
      </c>
      <c r="CH65">
        <f t="shared" si="118"/>
        <v>-50</v>
      </c>
    </row>
    <row r="66" spans="5:86" x14ac:dyDescent="0.25">
      <c r="E66" s="150">
        <v>61</v>
      </c>
      <c r="F66" s="191">
        <f t="shared" si="119"/>
        <v>0.30499999999999999</v>
      </c>
      <c r="G66" s="191"/>
      <c r="H66" s="191">
        <f t="shared" si="67"/>
        <v>4.5750000000000002</v>
      </c>
      <c r="I66" s="472">
        <f t="shared" si="68"/>
        <v>11.1</v>
      </c>
      <c r="J66" s="152">
        <f t="shared" si="69"/>
        <v>7.66</v>
      </c>
      <c r="K66" s="386">
        <f t="shared" si="70"/>
        <v>18.759999999999998</v>
      </c>
      <c r="L66" s="386"/>
      <c r="M66" s="191">
        <f t="shared" si="71"/>
        <v>0.40831556503198302</v>
      </c>
      <c r="N66" s="152">
        <f t="shared" si="72"/>
        <v>8.3620986140724956</v>
      </c>
      <c r="O66" s="152">
        <f t="shared" si="53"/>
        <v>4.5750000000000002</v>
      </c>
      <c r="P66" s="191">
        <f t="shared" si="73"/>
        <v>0.55747324093816641</v>
      </c>
      <c r="Q66" s="191">
        <f t="shared" si="74"/>
        <v>15</v>
      </c>
      <c r="R66" s="191">
        <f t="shared" si="75"/>
        <v>0.61941471215351818</v>
      </c>
      <c r="S66" s="152">
        <f t="shared" si="76"/>
        <v>45.102300586738707</v>
      </c>
      <c r="T66" s="152">
        <f t="shared" si="77"/>
        <v>15</v>
      </c>
      <c r="U66" s="191">
        <f t="shared" si="78"/>
        <v>2.243156995115219</v>
      </c>
      <c r="V66" s="191">
        <f t="shared" si="79"/>
        <v>1.8187759419853127</v>
      </c>
      <c r="W66" s="191">
        <f t="shared" si="80"/>
        <v>2.635563049090988</v>
      </c>
      <c r="X66" s="175">
        <f t="shared" si="81"/>
        <v>350</v>
      </c>
      <c r="Y66" s="386">
        <f t="shared" si="54"/>
        <v>224.50020126518712</v>
      </c>
      <c r="AA66" s="191">
        <f t="shared" si="82"/>
        <v>1.4388262767793685</v>
      </c>
      <c r="AB66" s="153">
        <f t="shared" si="83"/>
        <v>1.6905269570514774</v>
      </c>
      <c r="AC66" s="153">
        <f t="shared" si="84"/>
        <v>0.21283277814833412</v>
      </c>
      <c r="AD66" s="153"/>
      <c r="AE66" s="153">
        <f t="shared" si="85"/>
        <v>0.96344647519582249</v>
      </c>
      <c r="AF66" s="317">
        <f t="shared" si="86"/>
        <v>1544.2527596007669</v>
      </c>
      <c r="AG66" s="463">
        <f t="shared" si="87"/>
        <v>6.9127284595300251E-2</v>
      </c>
      <c r="AI66" s="153">
        <f t="shared" si="88"/>
        <v>1.8155899435262108</v>
      </c>
      <c r="AJ66" s="153">
        <f t="shared" si="89"/>
        <v>2.243156995115219</v>
      </c>
      <c r="AK66" s="153">
        <f t="shared" si="90"/>
        <v>2.148771330076813</v>
      </c>
      <c r="AM66" s="317">
        <f t="shared" si="91"/>
        <v>305</v>
      </c>
      <c r="AN66" s="147">
        <f t="shared" si="92"/>
        <v>224.50020126518712</v>
      </c>
      <c r="AP66">
        <f t="shared" si="93"/>
        <v>305</v>
      </c>
      <c r="AQ66">
        <f t="shared" si="94"/>
        <v>224.50020126518712</v>
      </c>
      <c r="AS66" s="5">
        <f t="shared" si="55"/>
        <v>4.4543389910763</v>
      </c>
      <c r="AT66" s="5">
        <f t="shared" si="95"/>
        <v>1.8187759419853127</v>
      </c>
      <c r="AU66" s="5">
        <f t="shared" si="56"/>
        <v>2.6355630490909876</v>
      </c>
      <c r="AV66" s="5">
        <f t="shared" si="96"/>
        <v>2.635563049090988</v>
      </c>
      <c r="AW66" s="153">
        <f t="shared" si="57"/>
        <v>0.40831556503198302</v>
      </c>
      <c r="AX66" s="153">
        <f t="shared" si="97"/>
        <v>5.083333333333333</v>
      </c>
      <c r="AY66" s="153">
        <f t="shared" si="98"/>
        <v>0.33181026979982581</v>
      </c>
      <c r="AZ66" s="153">
        <f t="shared" si="58"/>
        <v>15.320000000000006</v>
      </c>
      <c r="BA66" s="147">
        <f t="shared" si="99"/>
        <v>16.670079701628925</v>
      </c>
      <c r="BB66" s="147">
        <f t="shared" si="100"/>
        <v>7.2391271594838082</v>
      </c>
      <c r="BC66" s="5">
        <f t="shared" si="101"/>
        <v>2.1747334631192032</v>
      </c>
      <c r="BD66" s="147">
        <f t="shared" si="102"/>
        <v>56.236468057108326</v>
      </c>
      <c r="BE66" s="5"/>
      <c r="BF66" s="153">
        <f t="shared" si="59"/>
        <v>0.82755527382851179</v>
      </c>
      <c r="BG66" s="153">
        <f t="shared" si="103"/>
        <v>0.49809722202014184</v>
      </c>
      <c r="BH66" s="153"/>
      <c r="BI66" s="463">
        <f t="shared" si="104"/>
        <v>7.5333250436552146E-2</v>
      </c>
      <c r="BJ66" s="463">
        <f t="shared" si="105"/>
        <v>4.723666666666667E-2</v>
      </c>
      <c r="BK66" s="463">
        <f t="shared" si="106"/>
        <v>1.1225010063259355E-2</v>
      </c>
      <c r="BL66" s="463">
        <f t="shared" si="107"/>
        <v>1.7777263957377054E-2</v>
      </c>
      <c r="BM66">
        <f t="shared" si="108"/>
        <v>3.2190000000000001E-3</v>
      </c>
      <c r="BN66">
        <f t="shared" si="109"/>
        <v>1.3694512277176414E-5</v>
      </c>
      <c r="BO66" s="463">
        <f t="shared" si="110"/>
        <v>0.16730017704707906</v>
      </c>
      <c r="BP66" s="147">
        <f t="shared" si="60"/>
        <v>167.30017704707905</v>
      </c>
      <c r="BQ66" s="463">
        <f t="shared" si="111"/>
        <v>0.15441980874686309</v>
      </c>
      <c r="BR66" s="463"/>
      <c r="BT66" s="147">
        <f t="shared" si="61"/>
        <v>154.41980874686308</v>
      </c>
      <c r="BU66" s="463">
        <f t="shared" si="112"/>
        <v>5.8212057155517569E-2</v>
      </c>
      <c r="BV66" s="463">
        <f t="shared" si="113"/>
        <v>4.713916009099467E-2</v>
      </c>
      <c r="BW66" s="463">
        <f t="shared" si="114"/>
        <v>0</v>
      </c>
      <c r="BX66" s="463">
        <f t="shared" si="115"/>
        <v>0.1189962755139494</v>
      </c>
      <c r="BY66" s="463">
        <f t="shared" si="116"/>
        <v>0.56481481481481488</v>
      </c>
      <c r="BZ66" s="147">
        <f t="shared" si="62"/>
        <v>683.81109032876429</v>
      </c>
      <c r="CA66" s="153">
        <f t="shared" si="63"/>
        <v>1.0055310761227063</v>
      </c>
      <c r="CB66" s="5">
        <f t="shared" si="64"/>
        <v>4.5750000000000002</v>
      </c>
      <c r="CC66" s="153">
        <f t="shared" si="65"/>
        <v>0.81981444733368658</v>
      </c>
      <c r="CD66" s="5">
        <f t="shared" si="66"/>
        <v>81.981444733368662</v>
      </c>
      <c r="CG66" s="59">
        <f t="shared" si="117"/>
        <v>-50</v>
      </c>
      <c r="CH66">
        <f t="shared" si="118"/>
        <v>-50</v>
      </c>
    </row>
    <row r="67" spans="5:86" x14ac:dyDescent="0.25">
      <c r="E67" s="150">
        <v>62</v>
      </c>
      <c r="F67" s="191">
        <f t="shared" si="119"/>
        <v>0.31</v>
      </c>
      <c r="G67" s="191"/>
      <c r="H67" s="191">
        <f t="shared" si="67"/>
        <v>4.6500000000000004</v>
      </c>
      <c r="I67" s="472">
        <f t="shared" si="68"/>
        <v>11.1</v>
      </c>
      <c r="J67" s="152">
        <f t="shared" si="69"/>
        <v>7.66</v>
      </c>
      <c r="K67" s="386">
        <f t="shared" si="70"/>
        <v>18.759999999999998</v>
      </c>
      <c r="L67" s="386"/>
      <c r="M67" s="191">
        <f t="shared" si="71"/>
        <v>0.40831556503198302</v>
      </c>
      <c r="N67" s="152">
        <f t="shared" si="72"/>
        <v>8.3620986140724956</v>
      </c>
      <c r="O67" s="152">
        <f t="shared" si="53"/>
        <v>4.6500000000000004</v>
      </c>
      <c r="P67" s="191">
        <f t="shared" si="73"/>
        <v>0.55747324093816641</v>
      </c>
      <c r="Q67" s="191">
        <f t="shared" si="74"/>
        <v>15</v>
      </c>
      <c r="R67" s="191">
        <f t="shared" si="75"/>
        <v>0.61941471215351818</v>
      </c>
      <c r="S67" s="152">
        <f t="shared" si="76"/>
        <v>44.023108503239378</v>
      </c>
      <c r="T67" s="152">
        <f t="shared" si="77"/>
        <v>15</v>
      </c>
      <c r="U67" s="191">
        <f t="shared" si="78"/>
        <v>2.2799300606089115</v>
      </c>
      <c r="V67" s="191">
        <f t="shared" si="79"/>
        <v>1.8485919410342526</v>
      </c>
      <c r="W67" s="191">
        <f t="shared" si="80"/>
        <v>2.6787690007154308</v>
      </c>
      <c r="X67" s="175">
        <f t="shared" si="81"/>
        <v>350</v>
      </c>
      <c r="Y67" s="386">
        <f t="shared" si="54"/>
        <v>220.87923027703891</v>
      </c>
      <c r="AA67" s="191">
        <f t="shared" si="82"/>
        <v>1.4388262767793685</v>
      </c>
      <c r="AB67" s="153">
        <f t="shared" si="83"/>
        <v>1.6905269570514774</v>
      </c>
      <c r="AC67" s="153">
        <f t="shared" si="84"/>
        <v>0.21283277814833412</v>
      </c>
      <c r="AD67" s="153"/>
      <c r="AE67" s="153">
        <f t="shared" si="85"/>
        <v>0.96344647519582249</v>
      </c>
      <c r="AF67" s="317">
        <f t="shared" si="86"/>
        <v>1569.5683786106156</v>
      </c>
      <c r="AG67" s="463">
        <f t="shared" si="87"/>
        <v>6.9127284595300251E-2</v>
      </c>
      <c r="AI67" s="153">
        <f t="shared" si="88"/>
        <v>1.8304113318429214</v>
      </c>
      <c r="AJ67" s="153">
        <f t="shared" si="89"/>
        <v>2.2799300606089115</v>
      </c>
      <c r="AK67" s="153">
        <f t="shared" si="90"/>
        <v>2.1732867070726076</v>
      </c>
      <c r="AM67" s="317">
        <f t="shared" si="91"/>
        <v>310</v>
      </c>
      <c r="AN67" s="147">
        <f t="shared" si="92"/>
        <v>220.87923027703891</v>
      </c>
      <c r="AP67">
        <f t="shared" si="93"/>
        <v>310</v>
      </c>
      <c r="AQ67">
        <f t="shared" si="94"/>
        <v>220.87923027703891</v>
      </c>
      <c r="AS67" s="5">
        <f t="shared" si="55"/>
        <v>4.5273609417496825</v>
      </c>
      <c r="AT67" s="5">
        <f t="shared" si="95"/>
        <v>1.8485919410342526</v>
      </c>
      <c r="AU67" s="5">
        <f t="shared" si="56"/>
        <v>2.6787690007154299</v>
      </c>
      <c r="AV67" s="5">
        <f t="shared" si="96"/>
        <v>2.6787690007154308</v>
      </c>
      <c r="AW67" s="153">
        <f t="shared" si="57"/>
        <v>0.40831556503198307</v>
      </c>
      <c r="AX67" s="153">
        <f t="shared" si="97"/>
        <v>5.1666666666666679</v>
      </c>
      <c r="AY67" s="153">
        <f t="shared" si="98"/>
        <v>0.3372497824194951</v>
      </c>
      <c r="AZ67" s="153">
        <f t="shared" si="58"/>
        <v>15.320000000000009</v>
      </c>
      <c r="BA67" s="147">
        <f t="shared" si="99"/>
        <v>16.670079701628925</v>
      </c>
      <c r="BB67" s="147">
        <f t="shared" si="100"/>
        <v>7.4631751682493306</v>
      </c>
      <c r="BC67" s="5">
        <f t="shared" si="101"/>
        <v>2.2466206482747157</v>
      </c>
      <c r="BD67" s="147">
        <f t="shared" si="102"/>
        <v>58.072508205144914</v>
      </c>
      <c r="BE67" s="5"/>
      <c r="BF67" s="153">
        <f t="shared" si="59"/>
        <v>0.84112175372733999</v>
      </c>
      <c r="BG67" s="153">
        <f t="shared" si="103"/>
        <v>0.50626275024998024</v>
      </c>
      <c r="BH67" s="153"/>
      <c r="BI67" s="463">
        <f t="shared" si="104"/>
        <v>7.7823438505269155E-2</v>
      </c>
      <c r="BJ67" s="463">
        <f t="shared" si="105"/>
        <v>4.723666666666667E-2</v>
      </c>
      <c r="BK67" s="463">
        <f t="shared" si="106"/>
        <v>1.1043961513851945E-2</v>
      </c>
      <c r="BL67" s="463">
        <f t="shared" si="107"/>
        <v>1.7490533893548387E-2</v>
      </c>
      <c r="BM67">
        <f t="shared" si="108"/>
        <v>3.2190000000000001E-3</v>
      </c>
      <c r="BN67">
        <f t="shared" si="109"/>
        <v>1.3473633046899375E-5</v>
      </c>
      <c r="BO67" s="463">
        <f t="shared" si="110"/>
        <v>0.16977088076814198</v>
      </c>
      <c r="BP67" s="147">
        <f t="shared" si="60"/>
        <v>169.77088076814198</v>
      </c>
      <c r="BQ67" s="463">
        <f t="shared" si="111"/>
        <v>0.15758294136601497</v>
      </c>
      <c r="BR67" s="463"/>
      <c r="BT67" s="147">
        <f t="shared" si="61"/>
        <v>157.58294136601498</v>
      </c>
      <c r="BU67" s="463">
        <f t="shared" si="112"/>
        <v>6.0136293390435261E-2</v>
      </c>
      <c r="BV67" s="463">
        <f t="shared" si="113"/>
        <v>4.8697374735228033E-2</v>
      </c>
      <c r="BW67" s="463">
        <f t="shared" si="114"/>
        <v>0</v>
      </c>
      <c r="BX67" s="463">
        <f t="shared" si="115"/>
        <v>0.12296432094853574</v>
      </c>
      <c r="BY67" s="463">
        <f t="shared" si="116"/>
        <v>0.57407407407407418</v>
      </c>
      <c r="BZ67" s="147">
        <f t="shared" si="62"/>
        <v>697.03839502260985</v>
      </c>
      <c r="CA67" s="153">
        <f t="shared" si="63"/>
        <v>1.024392217156767</v>
      </c>
      <c r="CB67" s="5">
        <f t="shared" si="64"/>
        <v>4.6500000000000004</v>
      </c>
      <c r="CC67" s="153">
        <f t="shared" si="65"/>
        <v>0.81947102386411119</v>
      </c>
      <c r="CD67" s="5">
        <f t="shared" si="66"/>
        <v>81.947102386411117</v>
      </c>
      <c r="CG67" s="59">
        <f t="shared" si="117"/>
        <v>-50</v>
      </c>
      <c r="CH67">
        <f t="shared" si="118"/>
        <v>-50</v>
      </c>
    </row>
    <row r="68" spans="5:86" x14ac:dyDescent="0.25">
      <c r="E68" s="150">
        <v>63</v>
      </c>
      <c r="F68" s="191">
        <f t="shared" si="119"/>
        <v>0.315</v>
      </c>
      <c r="G68" s="191"/>
      <c r="H68" s="191">
        <f t="shared" si="67"/>
        <v>4.7249999999999996</v>
      </c>
      <c r="I68" s="472">
        <f t="shared" si="68"/>
        <v>11.1</v>
      </c>
      <c r="J68" s="152">
        <f t="shared" si="69"/>
        <v>7.66</v>
      </c>
      <c r="K68" s="386">
        <f t="shared" si="70"/>
        <v>18.759999999999998</v>
      </c>
      <c r="L68" s="386"/>
      <c r="M68" s="191">
        <f t="shared" si="71"/>
        <v>0.40831556503198302</v>
      </c>
      <c r="N68" s="152">
        <f t="shared" si="72"/>
        <v>8.3620986140724956</v>
      </c>
      <c r="O68" s="152">
        <f t="shared" si="53"/>
        <v>4.7249999999999996</v>
      </c>
      <c r="P68" s="191">
        <f t="shared" si="73"/>
        <v>0.55747324093816641</v>
      </c>
      <c r="Q68" s="191">
        <f t="shared" si="74"/>
        <v>15</v>
      </c>
      <c r="R68" s="191">
        <f t="shared" si="75"/>
        <v>0.61941471215351818</v>
      </c>
      <c r="S68" s="152">
        <f t="shared" si="76"/>
        <v>42.97835660650366</v>
      </c>
      <c r="T68" s="152">
        <f t="shared" si="77"/>
        <v>15</v>
      </c>
      <c r="U68" s="191">
        <f t="shared" si="78"/>
        <v>2.316703126102603</v>
      </c>
      <c r="V68" s="191">
        <f t="shared" si="79"/>
        <v>1.8784079400831917</v>
      </c>
      <c r="W68" s="191">
        <f t="shared" si="80"/>
        <v>2.7219749523398731</v>
      </c>
      <c r="X68" s="175">
        <f t="shared" si="81"/>
        <v>350</v>
      </c>
      <c r="Y68" s="386">
        <f t="shared" si="54"/>
        <v>217.37321074883195</v>
      </c>
      <c r="AA68" s="191">
        <f t="shared" si="82"/>
        <v>1.4388262767793685</v>
      </c>
      <c r="AB68" s="153">
        <f t="shared" si="83"/>
        <v>1.6905269570514774</v>
      </c>
      <c r="AC68" s="153">
        <f t="shared" si="84"/>
        <v>0.21283277814833412</v>
      </c>
      <c r="AD68" s="153"/>
      <c r="AE68" s="153">
        <f t="shared" si="85"/>
        <v>0.96344647519582249</v>
      </c>
      <c r="AF68" s="317">
        <f t="shared" si="86"/>
        <v>1594.8839976204642</v>
      </c>
      <c r="AG68" s="463">
        <f t="shared" si="87"/>
        <v>6.9127284595300251E-2</v>
      </c>
      <c r="AI68" s="153">
        <f t="shared" si="88"/>
        <v>1.8451136670797397</v>
      </c>
      <c r="AJ68" s="153">
        <f t="shared" si="89"/>
        <v>2.316703126102603</v>
      </c>
      <c r="AK68" s="153">
        <f t="shared" si="90"/>
        <v>2.1978020840684023</v>
      </c>
      <c r="AM68" s="317">
        <f t="shared" si="91"/>
        <v>315</v>
      </c>
      <c r="AN68" s="147">
        <f t="shared" si="92"/>
        <v>217.37321074883195</v>
      </c>
      <c r="AP68">
        <f t="shared" si="93"/>
        <v>315</v>
      </c>
      <c r="AQ68">
        <f t="shared" si="94"/>
        <v>217.37321074883195</v>
      </c>
      <c r="AS68" s="5">
        <f t="shared" si="55"/>
        <v>4.600382892423065</v>
      </c>
      <c r="AT68" s="5">
        <f t="shared" si="95"/>
        <v>1.8784079400831917</v>
      </c>
      <c r="AU68" s="5">
        <f t="shared" si="56"/>
        <v>2.7219749523398731</v>
      </c>
      <c r="AV68" s="5">
        <f t="shared" si="96"/>
        <v>2.7219749523398731</v>
      </c>
      <c r="AW68" s="153">
        <f t="shared" si="57"/>
        <v>0.40831556503198291</v>
      </c>
      <c r="AX68" s="153">
        <f t="shared" si="97"/>
        <v>5.2499999999999973</v>
      </c>
      <c r="AY68" s="153">
        <f t="shared" si="98"/>
        <v>0.34268929503916434</v>
      </c>
      <c r="AZ68" s="153">
        <f t="shared" si="58"/>
        <v>15.319999999999999</v>
      </c>
      <c r="BA68" s="147">
        <f t="shared" si="99"/>
        <v>16.670079701628925</v>
      </c>
      <c r="BB68" s="147">
        <f t="shared" si="100"/>
        <v>7.6906223316289282</v>
      </c>
      <c r="BC68" s="5">
        <f t="shared" si="101"/>
        <v>2.3196767307498303</v>
      </c>
      <c r="BD68" s="147">
        <f t="shared" si="102"/>
        <v>59.938036444653278</v>
      </c>
      <c r="BE68" s="5"/>
      <c r="BF68" s="153">
        <f t="shared" si="59"/>
        <v>0.85468823362616764</v>
      </c>
      <c r="BG68" s="153">
        <f t="shared" si="103"/>
        <v>0.51442827847981853</v>
      </c>
      <c r="BH68" s="153"/>
      <c r="BI68" s="463">
        <f t="shared" si="104"/>
        <v>8.0354117436892039E-2</v>
      </c>
      <c r="BJ68" s="463">
        <f t="shared" si="105"/>
        <v>4.7236666666666649E-2</v>
      </c>
      <c r="BK68" s="463">
        <f t="shared" si="106"/>
        <v>1.0868660537441597E-2</v>
      </c>
      <c r="BL68" s="463">
        <f t="shared" si="107"/>
        <v>1.7212906371428572E-2</v>
      </c>
      <c r="BM68">
        <f t="shared" si="108"/>
        <v>3.2190000000000001E-3</v>
      </c>
      <c r="BN68">
        <f t="shared" si="109"/>
        <v>1.325976585567875E-5</v>
      </c>
      <c r="BO68" s="463">
        <f t="shared" si="110"/>
        <v>0.17230692445273663</v>
      </c>
      <c r="BP68" s="147">
        <f t="shared" si="60"/>
        <v>172.30692445273664</v>
      </c>
      <c r="BQ68" s="463">
        <f t="shared" si="111"/>
        <v>0.16076645012531565</v>
      </c>
      <c r="BR68" s="463"/>
      <c r="BT68" s="147">
        <f t="shared" si="61"/>
        <v>160.76645012531566</v>
      </c>
      <c r="BU68" s="463">
        <f t="shared" si="112"/>
        <v>6.2091818019416579E-2</v>
      </c>
      <c r="BV68" s="463">
        <f t="shared" si="113"/>
        <v>5.0280926202944852E-2</v>
      </c>
      <c r="BW68" s="463">
        <f t="shared" si="114"/>
        <v>0</v>
      </c>
      <c r="BX68" s="463">
        <f t="shared" si="115"/>
        <v>0.12699917317735765</v>
      </c>
      <c r="BY68" s="463">
        <f t="shared" si="116"/>
        <v>0.58333333333333315</v>
      </c>
      <c r="BZ68" s="147">
        <f t="shared" si="62"/>
        <v>710.33250651069079</v>
      </c>
      <c r="CA68" s="153">
        <f t="shared" si="63"/>
        <v>1.0434058810887432</v>
      </c>
      <c r="CB68" s="5">
        <f t="shared" si="64"/>
        <v>4.7249999999999996</v>
      </c>
      <c r="CC68" s="153">
        <f t="shared" si="65"/>
        <v>0.8191171178662261</v>
      </c>
      <c r="CD68" s="5">
        <f t="shared" si="66"/>
        <v>81.911711786622604</v>
      </c>
      <c r="CG68" s="59">
        <f t="shared" si="117"/>
        <v>-50</v>
      </c>
      <c r="CH68">
        <f t="shared" si="118"/>
        <v>-50</v>
      </c>
    </row>
    <row r="69" spans="5:86" x14ac:dyDescent="0.25">
      <c r="E69" s="150">
        <v>64</v>
      </c>
      <c r="F69" s="191">
        <f t="shared" si="119"/>
        <v>0.32</v>
      </c>
      <c r="G69" s="191"/>
      <c r="H69" s="191">
        <f t="shared" ref="H69:H100" si="120">F69*Vout</f>
        <v>4.8</v>
      </c>
      <c r="I69" s="472">
        <f t="shared" ref="I69:I105" si="121">Vin</f>
        <v>11.1</v>
      </c>
      <c r="J69" s="152">
        <f t="shared" ref="J69:J105" si="122">(T69+Vfwd1)*Nps</f>
        <v>7.66</v>
      </c>
      <c r="K69" s="386">
        <f t="shared" ref="K69:K105" si="123">(Vout+Vfwd1)*Nps+I69</f>
        <v>18.759999999999998</v>
      </c>
      <c r="L69" s="386"/>
      <c r="M69" s="191">
        <f t="shared" ref="M69:M105" si="124">(Vout+Vfwd1)*Nps/((Vout+Vfwd1)*Nps+I69)</f>
        <v>0.40831556503198302</v>
      </c>
      <c r="N69" s="152">
        <f t="shared" ref="N69:N100" si="125">M69*I69*Isw_max*0.5*Efficiency</f>
        <v>8.3620986140724956</v>
      </c>
      <c r="O69" s="152">
        <f t="shared" si="53"/>
        <v>4.8</v>
      </c>
      <c r="P69" s="191">
        <f t="shared" ref="P69:P100" si="126">N69/Vout</f>
        <v>0.55747324093816641</v>
      </c>
      <c r="Q69" s="191">
        <f t="shared" ref="Q69:Q105" si="127">MIN(Vout,N69/F69)</f>
        <v>15</v>
      </c>
      <c r="R69" s="191">
        <f t="shared" ref="R69:R100" si="128">Isw_max/2*I69*Nps*(Q69+Vfwd1)/Q69/(I69+Nps*(Q69+Vfwd1))</f>
        <v>0.61941471215351818</v>
      </c>
      <c r="S69" s="152">
        <f t="shared" ref="S69:S105" si="129">(SQRT(Isw_max^2*Nps^2*I69^2+4*Isw_max*F69/Efficiency*(Nps^2*Vfwd1*I69-Nps*I69^2)+4*(F69/Efficiency)^2*Nps^2*Vfwd1^2+8*(F69/Efficiency)^2*Nps*Vfwd1*I69+4*(F69/Efficiency)^2*I69^2)-2*F69/Efficiency*I69-2*F69/Efficiency*Nps*Vfwd1+Isw_max*Nps*I69)/(4*F69/Efficiency*Nps)</f>
        <v>41.966434638108154</v>
      </c>
      <c r="T69" s="152">
        <f t="shared" ref="T69:T100" si="130">MIN(Vout, S69)</f>
        <v>15</v>
      </c>
      <c r="U69" s="191">
        <f t="shared" ref="U69:U105" si="131">MIN(2*Vout*F69/(Efficiency*I69*M69), Isw_max)</f>
        <v>2.3534761915962954</v>
      </c>
      <c r="V69" s="191">
        <f t="shared" ref="V69:V100" si="132">L*U69/I69*1000000</f>
        <v>1.9082239391321316</v>
      </c>
      <c r="W69" s="191">
        <f t="shared" ref="W69:W105" si="133">L*U69/J69*1000000</f>
        <v>2.7651809039643158</v>
      </c>
      <c r="X69" s="175">
        <f t="shared" ref="X69:X105" si="134">IF(1/((350000*L)*(1/I69+1/J69))&gt;Isw_min, 350, 0.001/((Isw_min*L)*(1/I69+1/J69)))</f>
        <v>350</v>
      </c>
      <c r="Y69" s="386">
        <f t="shared" si="54"/>
        <v>213.97675433088142</v>
      </c>
      <c r="AA69" s="191">
        <f t="shared" ref="AA69:AA105" si="135">1/((X69*1000*L)*(1/I69+1/J69))</f>
        <v>1.4388262767793685</v>
      </c>
      <c r="AB69" s="153">
        <f t="shared" ref="AB69:AB100" si="136">L*AA69/J69*1000000</f>
        <v>1.6905269570514774</v>
      </c>
      <c r="AC69" s="153">
        <f t="shared" ref="AC69:AC100" si="137">0.5*AB69*AA69*Nps*X69/1000</f>
        <v>0.21283277814833412</v>
      </c>
      <c r="AD69" s="153"/>
      <c r="AE69" s="153">
        <f t="shared" ref="AE69:AE105" si="138">L*Isw_min/J69*1000000</f>
        <v>0.96344647519582249</v>
      </c>
      <c r="AF69" s="317">
        <f t="shared" ref="AF69:AF100" si="139">MAX(12, F69/(0.5*AE69/1000000*Isw_min*Nps)/1000)</f>
        <v>1620.1996166303127</v>
      </c>
      <c r="AG69" s="463">
        <f t="shared" ref="AG69:AG105" si="140">0.5*AE69/1000000*Isw_min*Nps*X69*1000</f>
        <v>6.9127284595300251E-2</v>
      </c>
      <c r="AI69" s="153">
        <f t="shared" ref="AI69:AI105" si="141">SQRT(F69/Efficiency/(0.5*L/J69*Fsw_DCM*Nps))</f>
        <v>1.8596997728531108</v>
      </c>
      <c r="AJ69" s="153">
        <f t="shared" ref="AJ69:AJ100" si="142">MAX(IF(F69&gt;AC69,U69,AI69),Isw_min)</f>
        <v>2.3534761915962954</v>
      </c>
      <c r="AK69" s="153">
        <f t="shared" ref="AK69:AK100" si="143">IF(F69&gt;AG69, (AJ69-Isw_min)/1.2*0.8+1.2, AF69*0.2/350+1)</f>
        <v>2.2223174610641969</v>
      </c>
      <c r="AM69" s="317">
        <f t="shared" ref="AM69:AM105" si="144">F69*1000</f>
        <v>320</v>
      </c>
      <c r="AN69" s="147">
        <f t="shared" ref="AN69:AN105" si="145">IF(F69&gt;AG69, Y69, AF69)</f>
        <v>213.97675433088142</v>
      </c>
      <c r="AP69">
        <f t="shared" ref="AP69:AP105" si="146">IF(H69&gt;N69, "",AM69)</f>
        <v>320</v>
      </c>
      <c r="AQ69">
        <f t="shared" ref="AQ69:AQ105" si="147">IF(H69&gt;N69, "",AN69)</f>
        <v>213.97675433088142</v>
      </c>
      <c r="AS69" s="5">
        <f t="shared" si="55"/>
        <v>4.6734048430964474</v>
      </c>
      <c r="AT69" s="5">
        <f t="shared" ref="AT69:AT105" si="148">L*AJ69/I69*1000000</f>
        <v>1.9082239391321316</v>
      </c>
      <c r="AU69" s="5">
        <f t="shared" si="56"/>
        <v>2.7651809039643158</v>
      </c>
      <c r="AV69" s="5">
        <f t="shared" ref="AV69:AV105" si="149">L*AJ69/J69*1000000</f>
        <v>2.7651809039643158</v>
      </c>
      <c r="AW69" s="153">
        <f t="shared" si="57"/>
        <v>0.40831556503198296</v>
      </c>
      <c r="AX69" s="153">
        <f t="shared" ref="AX69:AX132" si="150">0.5*L*AJ69^2*AN69*1000</f>
        <v>5.3333333333333313</v>
      </c>
      <c r="AY69" s="153">
        <f t="shared" ref="AY69:AY132" si="151">AJ69*Nps/2*(1-AW69)</f>
        <v>0.34812880765883364</v>
      </c>
      <c r="AZ69" s="153">
        <f t="shared" si="58"/>
        <v>15.32</v>
      </c>
      <c r="BA69" s="147">
        <f t="shared" ref="BA69:BA105" si="152">L*Isw_max^2/(2*Vout_ripple*Vout)*1000000000*((1+M69)/2)^2</f>
        <v>16.670079701628925</v>
      </c>
      <c r="BB69" s="147">
        <f t="shared" ref="BB69:BB105" si="153">L*F69^2/(2*Cout*Vout*Nps^2)*1000000000*((1+M69)/(1-M69))^2+F69*RCoutEsr</f>
        <v>7.9214686496225966</v>
      </c>
      <c r="BC69" s="5">
        <f t="shared" ref="BC69:BC105" si="154">H69/Efficiency/I69*AU69/Vinripple1</f>
        <v>2.3939017105445473</v>
      </c>
      <c r="BD69" s="147">
        <f t="shared" ref="BD69:BD105" si="155">((CB69/I69/Efficiency)*AU69/Cin+(CB69/I69/Efficiency)*RCinEsr)*1000</f>
        <v>61.833052775633433</v>
      </c>
      <c r="BE69" s="5"/>
      <c r="BF69" s="153">
        <f t="shared" si="59"/>
        <v>0.86825471352499584</v>
      </c>
      <c r="BG69" s="153">
        <f t="shared" ref="BG69:BG132" si="156">AJ69*Nps*SQRT((1-AW69)/3)</f>
        <v>0.52259380670965705</v>
      </c>
      <c r="BH69" s="153"/>
      <c r="BI69" s="463">
        <f t="shared" ref="BI69:BI105" si="157">Rdson*BF69^2</f>
        <v>8.2925287231420994E-2</v>
      </c>
      <c r="BJ69" s="463">
        <f t="shared" ref="BJ69:BJ105" si="158">0.5*K69*AJ69*AN69*1000*Trise</f>
        <v>4.7236666666666649E-2</v>
      </c>
      <c r="BK69" s="463">
        <f t="shared" ref="BK69:BK105" si="159">Qg*Vdd*AN69*1000</f>
        <v>1.069883771654407E-2</v>
      </c>
      <c r="BL69" s="463">
        <f t="shared" ref="BL69:BL105" si="160">0.5*(Coss+Csw)*K69^2*AN69*1000</f>
        <v>1.6943954709375E-2</v>
      </c>
      <c r="BM69">
        <f t="shared" ref="BM69:BM105" si="161">I69*IQ</f>
        <v>3.2190000000000001E-3</v>
      </c>
      <c r="BN69">
        <f t="shared" ref="BN69:BN105" si="162">(I69-Vdd)*Qg*AN69</f>
        <v>1.3052582014183767E-5</v>
      </c>
      <c r="BO69" s="463">
        <f t="shared" ref="BO69:BO100" si="163">(BJ69+BK69+BL69+BM69+BN69+BI69*(1+RdsonTC*(Ta-25)))/(1-BI69*RdsonTC*ThetaJA)</f>
        <v>0.17490775151822124</v>
      </c>
      <c r="BP69" s="147">
        <f t="shared" si="60"/>
        <v>174.90775151822123</v>
      </c>
      <c r="BQ69" s="463">
        <f t="shared" ref="BQ69:BQ105" si="164">(Vfwd2*F69+BG69^2*Rdiode)*(1+Diode_TC/1000*(Ta-25))</f>
        <v>0.16397033502476516</v>
      </c>
      <c r="BR69" s="463"/>
      <c r="BT69" s="147">
        <f t="shared" si="61"/>
        <v>163.97033502476515</v>
      </c>
      <c r="BU69" s="463">
        <f t="shared" ref="BU69:BU105" si="165">Rdcr_pri*BF69^2</f>
        <v>6.407863104246167E-2</v>
      </c>
      <c r="BV69" s="463">
        <f t="shared" ref="BV69:BV105" si="166">Rdcr_sec*BG69^2</f>
        <v>5.1889814494145176E-2</v>
      </c>
      <c r="BW69" s="463">
        <f t="shared" ref="BW69:BW105" si="167">AJ69^2.5*AN69^2.5*k_core</f>
        <v>0</v>
      </c>
      <c r="BX69" s="463">
        <f t="shared" ref="BX69:BX100" si="168">(BW69+(BU69+BV69)*(1+Ltc*(Ta-25)))/(1-(BU69+BV69)*Ltc*ThetaCa)</f>
        <v>0.13110094482336337</v>
      </c>
      <c r="BY69" s="463">
        <f t="shared" ref="BY69:BY105" si="169">0.5*Lleak*0.000000001*AJ69^2*AN69*1000</f>
        <v>0.59259259259259245</v>
      </c>
      <c r="BZ69" s="147">
        <f t="shared" si="62"/>
        <v>723.69353741595592</v>
      </c>
      <c r="CA69" s="153">
        <f t="shared" si="63"/>
        <v>1.0625716239589422</v>
      </c>
      <c r="CB69" s="5">
        <f t="shared" si="64"/>
        <v>4.8</v>
      </c>
      <c r="CC69" s="153">
        <f t="shared" si="65"/>
        <v>0.81875332326577233</v>
      </c>
      <c r="CD69" s="5">
        <f t="shared" si="66"/>
        <v>81.875332326577237</v>
      </c>
      <c r="CG69" s="59">
        <f t="shared" ref="CG69:CG105" si="170">IF(ABS(F69-Ioutmax_Vinnom)&lt;Iout/200, AN69, -50)</f>
        <v>-50</v>
      </c>
      <c r="CH69">
        <f t="shared" ref="CH69:CH105" si="171">IF(ABS(F69-Ioutmax_Vinnom)&lt;Iout/200, N69*CC69, -50)</f>
        <v>-50</v>
      </c>
    </row>
    <row r="70" spans="5:86" x14ac:dyDescent="0.25">
      <c r="E70" s="150">
        <v>65</v>
      </c>
      <c r="F70" s="191">
        <f t="shared" ref="F70:F101" si="172">IF(PLOT_TYPE=1, E70/100*Iout_max, min_I*EXP(N70*rr/100))</f>
        <v>0.32500000000000001</v>
      </c>
      <c r="G70" s="191"/>
      <c r="H70" s="191">
        <f t="shared" si="120"/>
        <v>4.875</v>
      </c>
      <c r="I70" s="472">
        <f t="shared" si="121"/>
        <v>11.1</v>
      </c>
      <c r="J70" s="152">
        <f t="shared" si="122"/>
        <v>7.66</v>
      </c>
      <c r="K70" s="386">
        <f t="shared" si="123"/>
        <v>18.759999999999998</v>
      </c>
      <c r="L70" s="386"/>
      <c r="M70" s="191">
        <f t="shared" si="124"/>
        <v>0.40831556503198302</v>
      </c>
      <c r="N70" s="152">
        <f t="shared" si="125"/>
        <v>8.3620986140724956</v>
      </c>
      <c r="O70" s="152">
        <f t="shared" ref="O70:O133" si="173">T70*F70</f>
        <v>4.875</v>
      </c>
      <c r="P70" s="191">
        <f t="shared" si="126"/>
        <v>0.55747324093816641</v>
      </c>
      <c r="Q70" s="191">
        <f t="shared" si="127"/>
        <v>15</v>
      </c>
      <c r="R70" s="191">
        <f t="shared" si="128"/>
        <v>0.61941471215351818</v>
      </c>
      <c r="S70" s="152">
        <f t="shared" si="129"/>
        <v>40.985831554759386</v>
      </c>
      <c r="T70" s="152">
        <f t="shared" si="130"/>
        <v>15</v>
      </c>
      <c r="U70" s="191">
        <f t="shared" si="131"/>
        <v>2.3902492570899874</v>
      </c>
      <c r="V70" s="191">
        <f t="shared" si="132"/>
        <v>1.9380399381810709</v>
      </c>
      <c r="W70" s="191">
        <f t="shared" si="133"/>
        <v>2.8083868555887577</v>
      </c>
      <c r="X70" s="175">
        <f t="shared" si="134"/>
        <v>350</v>
      </c>
      <c r="Y70" s="386">
        <f t="shared" ref="Y70:Y105" si="174">MIN(1/(V70+W70)*1000, 350)</f>
        <v>210.68480426425253</v>
      </c>
      <c r="AA70" s="191">
        <f t="shared" si="135"/>
        <v>1.4388262767793685</v>
      </c>
      <c r="AB70" s="153">
        <f t="shared" si="136"/>
        <v>1.6905269570514774</v>
      </c>
      <c r="AC70" s="153">
        <f t="shared" si="137"/>
        <v>0.21283277814833412</v>
      </c>
      <c r="AD70" s="153"/>
      <c r="AE70" s="153">
        <f t="shared" si="138"/>
        <v>0.96344647519582249</v>
      </c>
      <c r="AF70" s="317">
        <f t="shared" si="139"/>
        <v>1645.5152356401613</v>
      </c>
      <c r="AG70" s="463">
        <f t="shared" si="140"/>
        <v>6.9127284595300251E-2</v>
      </c>
      <c r="AI70" s="153">
        <f t="shared" si="141"/>
        <v>1.8741723628992557</v>
      </c>
      <c r="AJ70" s="153">
        <f t="shared" si="89"/>
        <v>2.3902492570899874</v>
      </c>
      <c r="AK70" s="153">
        <f t="shared" si="143"/>
        <v>2.2468328380599916</v>
      </c>
      <c r="AM70" s="317">
        <f t="shared" si="144"/>
        <v>325</v>
      </c>
      <c r="AN70" s="147">
        <f t="shared" si="145"/>
        <v>210.68480426425253</v>
      </c>
      <c r="AP70">
        <f t="shared" si="146"/>
        <v>325</v>
      </c>
      <c r="AQ70">
        <f t="shared" si="147"/>
        <v>210.68480426425253</v>
      </c>
      <c r="AS70" s="5">
        <f t="shared" ref="AS70:AS133" si="175">1/AN70*1000</f>
        <v>4.7464267937698281</v>
      </c>
      <c r="AT70" s="5">
        <f t="shared" si="148"/>
        <v>1.9380399381810709</v>
      </c>
      <c r="AU70" s="5">
        <f t="shared" ref="AU70:AU105" si="176">AS70-AT70</f>
        <v>2.8083868555887572</v>
      </c>
      <c r="AV70" s="5">
        <f t="shared" si="149"/>
        <v>2.8083868555887577</v>
      </c>
      <c r="AW70" s="153">
        <f t="shared" ref="AW70:AW105" si="177">AT70/AS70</f>
        <v>0.40831556503198302</v>
      </c>
      <c r="AX70" s="153">
        <f t="shared" si="150"/>
        <v>5.4166666666666661</v>
      </c>
      <c r="AY70" s="153">
        <f t="shared" si="151"/>
        <v>0.35356832027850293</v>
      </c>
      <c r="AZ70" s="153">
        <f t="shared" ref="AZ70:AZ133" si="178">AX70/AY70</f>
        <v>15.320000000000004</v>
      </c>
      <c r="BA70" s="147">
        <f t="shared" si="152"/>
        <v>16.670079701628925</v>
      </c>
      <c r="BB70" s="147">
        <f t="shared" si="153"/>
        <v>8.1557141222303411</v>
      </c>
      <c r="BC70" s="5">
        <f t="shared" si="154"/>
        <v>2.4692955876588645</v>
      </c>
      <c r="BD70" s="147">
        <f t="shared" si="155"/>
        <v>63.757557198085316</v>
      </c>
      <c r="BE70" s="5"/>
      <c r="BF70" s="153">
        <f t="shared" ref="BF70:BF133" si="179">AJ70*SQRT(AW70/3)</f>
        <v>0.88182119342382403</v>
      </c>
      <c r="BG70" s="153">
        <f t="shared" si="156"/>
        <v>0.53075933493949534</v>
      </c>
      <c r="BH70" s="153"/>
      <c r="BI70" s="463">
        <f t="shared" si="157"/>
        <v>8.5536947888855894E-2</v>
      </c>
      <c r="BJ70" s="463">
        <f t="shared" si="158"/>
        <v>4.723666666666667E-2</v>
      </c>
      <c r="BK70" s="463">
        <f t="shared" si="159"/>
        <v>1.0534240213212625E-2</v>
      </c>
      <c r="BL70" s="463">
        <f t="shared" si="160"/>
        <v>1.6683278483076925E-2</v>
      </c>
      <c r="BM70">
        <f t="shared" si="161"/>
        <v>3.2190000000000001E-3</v>
      </c>
      <c r="BN70">
        <f t="shared" si="162"/>
        <v>1.2851773060119406E-5</v>
      </c>
      <c r="BO70" s="463">
        <f t="shared" si="163"/>
        <v>0.17757285081200527</v>
      </c>
      <c r="BP70" s="147">
        <f t="shared" ref="BP70:BP105" si="180">BO70*1000</f>
        <v>177.57285081200527</v>
      </c>
      <c r="BQ70" s="463">
        <f t="shared" si="164"/>
        <v>0.16719459606436349</v>
      </c>
      <c r="BR70" s="463"/>
      <c r="BT70" s="147">
        <f t="shared" ref="BT70:BT105" si="181">SUM(BQ70:BS70)*1000</f>
        <v>167.19459606436348</v>
      </c>
      <c r="BU70" s="463">
        <f t="shared" si="165"/>
        <v>6.609673245957047E-2</v>
      </c>
      <c r="BV70" s="463">
        <f t="shared" si="166"/>
        <v>5.3524039608828934E-2</v>
      </c>
      <c r="BW70" s="463">
        <f t="shared" si="167"/>
        <v>0</v>
      </c>
      <c r="BX70" s="463">
        <f t="shared" si="168"/>
        <v>0.13526975047576015</v>
      </c>
      <c r="BY70" s="463">
        <f t="shared" si="169"/>
        <v>0.60185185185185175</v>
      </c>
      <c r="BZ70" s="147">
        <f t="shared" ref="BZ70:BZ105" si="182">1000*(BX70+BY70)</f>
        <v>737.12160232761198</v>
      </c>
      <c r="CA70" s="153">
        <f t="shared" ref="CA70:CA105" si="183">SUM(BO70,BQ70:BS70,BX70, BY70)</f>
        <v>1.0818890492039808</v>
      </c>
      <c r="CB70" s="5">
        <f t="shared" ref="CB70:CB105" si="184">MIN(H70,O70)</f>
        <v>4.875</v>
      </c>
      <c r="CC70" s="153">
        <f t="shared" ref="CC70:CC105" si="185">CB70/(CB70+CA70)</f>
        <v>0.81838019136036222</v>
      </c>
      <c r="CD70" s="5">
        <f t="shared" ref="CD70:CD105" si="186">CC70*100</f>
        <v>81.838019136036223</v>
      </c>
      <c r="CG70" s="59">
        <f t="shared" si="170"/>
        <v>-50</v>
      </c>
      <c r="CH70">
        <f t="shared" si="171"/>
        <v>-50</v>
      </c>
    </row>
    <row r="71" spans="5:86" x14ac:dyDescent="0.25">
      <c r="E71" s="150">
        <v>66</v>
      </c>
      <c r="F71" s="191">
        <f t="shared" si="172"/>
        <v>0.33</v>
      </c>
      <c r="G71" s="191"/>
      <c r="H71" s="191">
        <f t="shared" si="120"/>
        <v>4.95</v>
      </c>
      <c r="I71" s="472">
        <f t="shared" si="121"/>
        <v>11.1</v>
      </c>
      <c r="J71" s="152">
        <f t="shared" si="122"/>
        <v>7.66</v>
      </c>
      <c r="K71" s="386">
        <f t="shared" si="123"/>
        <v>18.759999999999998</v>
      </c>
      <c r="L71" s="386"/>
      <c r="M71" s="191">
        <f t="shared" si="124"/>
        <v>0.40831556503198302</v>
      </c>
      <c r="N71" s="152">
        <f t="shared" si="125"/>
        <v>8.3620986140724956</v>
      </c>
      <c r="O71" s="152">
        <f t="shared" si="173"/>
        <v>4.95</v>
      </c>
      <c r="P71" s="191">
        <f t="shared" si="126"/>
        <v>0.55747324093816641</v>
      </c>
      <c r="Q71" s="191">
        <f t="shared" si="127"/>
        <v>15</v>
      </c>
      <c r="R71" s="191">
        <f t="shared" si="128"/>
        <v>0.61941471215351818</v>
      </c>
      <c r="S71" s="152">
        <f t="shared" si="129"/>
        <v>40.035128016372973</v>
      </c>
      <c r="T71" s="152">
        <f t="shared" si="130"/>
        <v>15</v>
      </c>
      <c r="U71" s="191">
        <f t="shared" si="131"/>
        <v>2.4270223225836798</v>
      </c>
      <c r="V71" s="191">
        <f t="shared" si="132"/>
        <v>1.9678559372300104</v>
      </c>
      <c r="W71" s="191">
        <f t="shared" si="133"/>
        <v>2.8515928072132004</v>
      </c>
      <c r="X71" s="175">
        <f t="shared" si="134"/>
        <v>350</v>
      </c>
      <c r="Y71" s="386">
        <f t="shared" si="174"/>
        <v>207.49261026024871</v>
      </c>
      <c r="AA71" s="191">
        <f t="shared" si="135"/>
        <v>1.4388262767793685</v>
      </c>
      <c r="AB71" s="153">
        <f t="shared" si="136"/>
        <v>1.6905269570514774</v>
      </c>
      <c r="AC71" s="153">
        <f t="shared" si="137"/>
        <v>0.21283277814833412</v>
      </c>
      <c r="AD71" s="153"/>
      <c r="AE71" s="153">
        <f t="shared" si="138"/>
        <v>0.96344647519582249</v>
      </c>
      <c r="AF71" s="317">
        <f t="shared" si="139"/>
        <v>1670.8308546500102</v>
      </c>
      <c r="AG71" s="463">
        <f t="shared" si="140"/>
        <v>6.9127284595300251E-2</v>
      </c>
      <c r="AI71" s="153">
        <f t="shared" si="141"/>
        <v>1.8885340469689305</v>
      </c>
      <c r="AJ71" s="153">
        <f t="shared" si="89"/>
        <v>2.4270223225836798</v>
      </c>
      <c r="AK71" s="153">
        <f t="shared" si="143"/>
        <v>2.2713482150557867</v>
      </c>
      <c r="AM71" s="317">
        <f t="shared" si="144"/>
        <v>330</v>
      </c>
      <c r="AN71" s="147">
        <f t="shared" si="145"/>
        <v>207.49261026024871</v>
      </c>
      <c r="AP71">
        <f t="shared" si="146"/>
        <v>330</v>
      </c>
      <c r="AQ71">
        <f t="shared" si="147"/>
        <v>207.49261026024871</v>
      </c>
      <c r="AS71" s="5">
        <f t="shared" si="175"/>
        <v>4.8194487444432097</v>
      </c>
      <c r="AT71" s="5">
        <f t="shared" si="148"/>
        <v>1.9678559372300104</v>
      </c>
      <c r="AU71" s="5">
        <f t="shared" si="176"/>
        <v>2.8515928072131995</v>
      </c>
      <c r="AV71" s="5">
        <f t="shared" si="149"/>
        <v>2.8515928072132004</v>
      </c>
      <c r="AW71" s="153">
        <f t="shared" si="177"/>
        <v>0.40831556503198302</v>
      </c>
      <c r="AX71" s="153">
        <f t="shared" si="150"/>
        <v>5.5</v>
      </c>
      <c r="AY71" s="153">
        <f t="shared" si="151"/>
        <v>0.35900783289817223</v>
      </c>
      <c r="AZ71" s="153">
        <f t="shared" si="178"/>
        <v>15.320000000000004</v>
      </c>
      <c r="BA71" s="147">
        <f t="shared" si="152"/>
        <v>16.670079701628925</v>
      </c>
      <c r="BB71" s="147">
        <f t="shared" si="153"/>
        <v>8.3933587494521564</v>
      </c>
      <c r="BC71" s="5">
        <f t="shared" si="154"/>
        <v>2.5458583620927842</v>
      </c>
      <c r="BD71" s="147">
        <f t="shared" si="155"/>
        <v>65.711549712009003</v>
      </c>
      <c r="BE71" s="5"/>
      <c r="BF71" s="153">
        <f t="shared" si="179"/>
        <v>0.89538767332265212</v>
      </c>
      <c r="BG71" s="153">
        <f t="shared" si="156"/>
        <v>0.53892486316933386</v>
      </c>
      <c r="BH71" s="153"/>
      <c r="BI71" s="463">
        <f t="shared" si="157"/>
        <v>8.8189099409196767E-2</v>
      </c>
      <c r="BJ71" s="463">
        <f t="shared" si="158"/>
        <v>4.7236666666666677E-2</v>
      </c>
      <c r="BK71" s="463">
        <f t="shared" si="159"/>
        <v>1.0374630513012434E-2</v>
      </c>
      <c r="BL71" s="463">
        <f t="shared" si="160"/>
        <v>1.6430501536363638E-2</v>
      </c>
      <c r="BM71">
        <f t="shared" si="161"/>
        <v>3.2190000000000001E-3</v>
      </c>
      <c r="BN71">
        <f t="shared" si="162"/>
        <v>1.2657049225875172E-5</v>
      </c>
      <c r="BO71" s="463">
        <f t="shared" si="163"/>
        <v>0.18030175338181936</v>
      </c>
      <c r="BP71" s="147">
        <f t="shared" si="180"/>
        <v>180.30175338181937</v>
      </c>
      <c r="BQ71" s="463">
        <f t="shared" si="164"/>
        <v>0.17043923324411062</v>
      </c>
      <c r="BR71" s="463"/>
      <c r="BT71" s="147">
        <f t="shared" si="181"/>
        <v>170.43923324411062</v>
      </c>
      <c r="BU71" s="463">
        <f t="shared" si="165"/>
        <v>6.8146122270742959E-2</v>
      </c>
      <c r="BV71" s="463">
        <f t="shared" si="166"/>
        <v>5.518360154699619E-2</v>
      </c>
      <c r="BW71" s="463">
        <f t="shared" si="167"/>
        <v>0</v>
      </c>
      <c r="BX71" s="463">
        <f t="shared" si="168"/>
        <v>0.13950570669811402</v>
      </c>
      <c r="BY71" s="463">
        <f t="shared" si="169"/>
        <v>0.61111111111111116</v>
      </c>
      <c r="BZ71" s="147">
        <f t="shared" si="182"/>
        <v>750.61681780922515</v>
      </c>
      <c r="CA71" s="153">
        <f t="shared" si="183"/>
        <v>1.1013578044351551</v>
      </c>
      <c r="CB71" s="5">
        <f t="shared" si="184"/>
        <v>4.95</v>
      </c>
      <c r="CC71" s="153">
        <f t="shared" si="185"/>
        <v>0.817998234441211</v>
      </c>
      <c r="CD71" s="5">
        <f t="shared" si="186"/>
        <v>81.799823444121103</v>
      </c>
      <c r="CG71" s="59">
        <f t="shared" si="170"/>
        <v>-50</v>
      </c>
      <c r="CH71">
        <f t="shared" si="171"/>
        <v>-50</v>
      </c>
    </row>
    <row r="72" spans="5:86" x14ac:dyDescent="0.25">
      <c r="E72" s="150">
        <v>67</v>
      </c>
      <c r="F72" s="191">
        <f t="shared" si="172"/>
        <v>0.33500000000000002</v>
      </c>
      <c r="G72" s="191"/>
      <c r="H72" s="191">
        <f t="shared" si="120"/>
        <v>5.0250000000000004</v>
      </c>
      <c r="I72" s="472">
        <f t="shared" si="121"/>
        <v>11.1</v>
      </c>
      <c r="J72" s="152">
        <f t="shared" si="122"/>
        <v>7.66</v>
      </c>
      <c r="K72" s="386">
        <f t="shared" si="123"/>
        <v>18.759999999999998</v>
      </c>
      <c r="L72" s="386"/>
      <c r="M72" s="191">
        <f t="shared" si="124"/>
        <v>0.40831556503198302</v>
      </c>
      <c r="N72" s="152">
        <f t="shared" si="125"/>
        <v>8.3620986140724956</v>
      </c>
      <c r="O72" s="152">
        <f t="shared" si="173"/>
        <v>5.0250000000000004</v>
      </c>
      <c r="P72" s="191">
        <f t="shared" si="126"/>
        <v>0.55747324093816641</v>
      </c>
      <c r="Q72" s="191">
        <f t="shared" si="127"/>
        <v>15</v>
      </c>
      <c r="R72" s="191">
        <f t="shared" si="128"/>
        <v>0.61941471215351818</v>
      </c>
      <c r="S72" s="152">
        <f t="shared" si="129"/>
        <v>39.112989547042126</v>
      </c>
      <c r="T72" s="152">
        <f t="shared" si="130"/>
        <v>15</v>
      </c>
      <c r="U72" s="191">
        <f t="shared" si="131"/>
        <v>2.4637953880773718</v>
      </c>
      <c r="V72" s="191">
        <f t="shared" si="132"/>
        <v>1.9976719362789501</v>
      </c>
      <c r="W72" s="191">
        <f t="shared" si="133"/>
        <v>2.8947987588376427</v>
      </c>
      <c r="X72" s="175">
        <f t="shared" si="134"/>
        <v>350</v>
      </c>
      <c r="Y72" s="386">
        <f t="shared" si="174"/>
        <v>204.39570562949868</v>
      </c>
      <c r="AA72" s="191">
        <f t="shared" si="135"/>
        <v>1.4388262767793685</v>
      </c>
      <c r="AB72" s="153">
        <f t="shared" si="136"/>
        <v>1.6905269570514774</v>
      </c>
      <c r="AC72" s="153">
        <f t="shared" si="137"/>
        <v>0.21283277814833412</v>
      </c>
      <c r="AD72" s="153"/>
      <c r="AE72" s="153">
        <f t="shared" si="138"/>
        <v>0.96344647519582249</v>
      </c>
      <c r="AF72" s="317">
        <f t="shared" si="139"/>
        <v>1696.1464736598589</v>
      </c>
      <c r="AG72" s="463">
        <f t="shared" si="140"/>
        <v>6.9127284595300251E-2</v>
      </c>
      <c r="AI72" s="153">
        <f t="shared" si="141"/>
        <v>1.902787336321722</v>
      </c>
      <c r="AJ72" s="153">
        <f t="shared" si="142"/>
        <v>2.4637953880773718</v>
      </c>
      <c r="AK72" s="153">
        <f t="shared" si="143"/>
        <v>2.2958635920515813</v>
      </c>
      <c r="AM72" s="317">
        <f t="shared" si="144"/>
        <v>335</v>
      </c>
      <c r="AN72" s="147">
        <f t="shared" si="145"/>
        <v>204.39570562949868</v>
      </c>
      <c r="AP72">
        <f t="shared" si="146"/>
        <v>335</v>
      </c>
      <c r="AQ72">
        <f t="shared" si="147"/>
        <v>204.39570562949868</v>
      </c>
      <c r="AS72" s="5">
        <f t="shared" si="175"/>
        <v>4.892470695116593</v>
      </c>
      <c r="AT72" s="5">
        <f t="shared" si="148"/>
        <v>1.9976719362789501</v>
      </c>
      <c r="AU72" s="5">
        <f t="shared" si="176"/>
        <v>2.8947987588376431</v>
      </c>
      <c r="AV72" s="5">
        <f t="shared" si="149"/>
        <v>2.8947987588376427</v>
      </c>
      <c r="AW72" s="153">
        <f t="shared" si="177"/>
        <v>0.40831556503198296</v>
      </c>
      <c r="AX72" s="153">
        <f t="shared" si="150"/>
        <v>5.5833333333333313</v>
      </c>
      <c r="AY72" s="153">
        <f t="shared" si="151"/>
        <v>0.36444734551784147</v>
      </c>
      <c r="AZ72" s="153">
        <f t="shared" si="178"/>
        <v>15.32</v>
      </c>
      <c r="BA72" s="147">
        <f t="shared" si="152"/>
        <v>16.670079701628925</v>
      </c>
      <c r="BB72" s="147">
        <f t="shared" si="153"/>
        <v>8.6344025312880461</v>
      </c>
      <c r="BC72" s="5">
        <f t="shared" si="154"/>
        <v>2.6235900338463072</v>
      </c>
      <c r="BD72" s="147">
        <f t="shared" si="155"/>
        <v>67.695030317404488</v>
      </c>
      <c r="BE72" s="5"/>
      <c r="BF72" s="153">
        <f t="shared" si="179"/>
        <v>0.9089541532214801</v>
      </c>
      <c r="BG72" s="153">
        <f t="shared" si="156"/>
        <v>0.54709039139917215</v>
      </c>
      <c r="BH72" s="153"/>
      <c r="BI72" s="463">
        <f t="shared" si="157"/>
        <v>9.0881741792443571E-2</v>
      </c>
      <c r="BJ72" s="463">
        <f t="shared" si="158"/>
        <v>4.7236666666666663E-2</v>
      </c>
      <c r="BK72" s="463">
        <f t="shared" si="159"/>
        <v>1.0219785281474934E-2</v>
      </c>
      <c r="BL72" s="463">
        <f t="shared" si="160"/>
        <v>1.618527017014925E-2</v>
      </c>
      <c r="BM72">
        <f t="shared" si="161"/>
        <v>3.2190000000000001E-3</v>
      </c>
      <c r="BN72">
        <f t="shared" si="162"/>
        <v>1.2468138043399419E-5</v>
      </c>
      <c r="BO72" s="463">
        <f t="shared" si="163"/>
        <v>0.18309402953708317</v>
      </c>
      <c r="BP72" s="147">
        <f t="shared" si="180"/>
        <v>183.09402953708317</v>
      </c>
      <c r="BQ72" s="463">
        <f t="shared" si="164"/>
        <v>0.17370424656400657</v>
      </c>
      <c r="BR72" s="463"/>
      <c r="BT72" s="147">
        <f t="shared" si="181"/>
        <v>173.70424656400658</v>
      </c>
      <c r="BU72" s="463">
        <f t="shared" si="165"/>
        <v>7.0226800475979123E-2</v>
      </c>
      <c r="BV72" s="463">
        <f t="shared" si="166"/>
        <v>5.6868500308646888E-2</v>
      </c>
      <c r="BW72" s="463">
        <f t="shared" si="167"/>
        <v>0</v>
      </c>
      <c r="BX72" s="463">
        <f t="shared" si="168"/>
        <v>0.1438089320365977</v>
      </c>
      <c r="BY72" s="463">
        <f t="shared" si="169"/>
        <v>0.62037037037037035</v>
      </c>
      <c r="BZ72" s="147">
        <f t="shared" si="182"/>
        <v>764.17930240696808</v>
      </c>
      <c r="CA72" s="153">
        <f t="shared" si="183"/>
        <v>1.1209775785080578</v>
      </c>
      <c r="CB72" s="5">
        <f t="shared" si="184"/>
        <v>5.0250000000000004</v>
      </c>
      <c r="CC72" s="153">
        <f t="shared" si="185"/>
        <v>0.81760792905785773</v>
      </c>
      <c r="CD72" s="5">
        <f t="shared" si="186"/>
        <v>81.760792905785777</v>
      </c>
      <c r="CG72" s="59">
        <f t="shared" si="170"/>
        <v>-50</v>
      </c>
      <c r="CH72">
        <f t="shared" si="171"/>
        <v>-50</v>
      </c>
    </row>
    <row r="73" spans="5:86" x14ac:dyDescent="0.25">
      <c r="E73" s="150">
        <v>68</v>
      </c>
      <c r="F73" s="191">
        <f t="shared" si="172"/>
        <v>0.34</v>
      </c>
      <c r="G73" s="191"/>
      <c r="H73" s="191">
        <f t="shared" si="120"/>
        <v>5.1000000000000005</v>
      </c>
      <c r="I73" s="472">
        <f t="shared" si="121"/>
        <v>11.1</v>
      </c>
      <c r="J73" s="152">
        <f t="shared" si="122"/>
        <v>7.66</v>
      </c>
      <c r="K73" s="386">
        <f t="shared" si="123"/>
        <v>18.759999999999998</v>
      </c>
      <c r="L73" s="386"/>
      <c r="M73" s="191">
        <f t="shared" si="124"/>
        <v>0.40831556503198302</v>
      </c>
      <c r="N73" s="152">
        <f t="shared" si="125"/>
        <v>8.3620986140724956</v>
      </c>
      <c r="O73" s="152">
        <f t="shared" si="173"/>
        <v>5.1000000000000005</v>
      </c>
      <c r="P73" s="191">
        <f t="shared" si="126"/>
        <v>0.55747324093816641</v>
      </c>
      <c r="Q73" s="191">
        <f t="shared" si="127"/>
        <v>15</v>
      </c>
      <c r="R73" s="191">
        <f t="shared" si="128"/>
        <v>0.61941471215351818</v>
      </c>
      <c r="S73" s="152">
        <f t="shared" si="129"/>
        <v>38.218160299635507</v>
      </c>
      <c r="T73" s="152">
        <f t="shared" si="130"/>
        <v>15</v>
      </c>
      <c r="U73" s="191">
        <f t="shared" si="131"/>
        <v>2.5005684535710642</v>
      </c>
      <c r="V73" s="191">
        <f t="shared" si="132"/>
        <v>2.0274879353278905</v>
      </c>
      <c r="W73" s="191">
        <f t="shared" si="133"/>
        <v>2.9380047104620863</v>
      </c>
      <c r="X73" s="175">
        <f t="shared" si="134"/>
        <v>350</v>
      </c>
      <c r="Y73" s="386">
        <f t="shared" si="174"/>
        <v>201.3898864290648</v>
      </c>
      <c r="AA73" s="191">
        <f t="shared" si="135"/>
        <v>1.4388262767793685</v>
      </c>
      <c r="AB73" s="153">
        <f t="shared" si="136"/>
        <v>1.6905269570514774</v>
      </c>
      <c r="AC73" s="153">
        <f t="shared" si="137"/>
        <v>0.21283277814833412</v>
      </c>
      <c r="AD73" s="153"/>
      <c r="AE73" s="153">
        <f t="shared" si="138"/>
        <v>0.96344647519582249</v>
      </c>
      <c r="AF73" s="317">
        <f t="shared" si="139"/>
        <v>1721.4620926697075</v>
      </c>
      <c r="AG73" s="463">
        <f t="shared" si="140"/>
        <v>6.9127284595300251E-2</v>
      </c>
      <c r="AI73" s="153">
        <f t="shared" si="141"/>
        <v>1.9169346488526366</v>
      </c>
      <c r="AJ73" s="153">
        <f t="shared" si="142"/>
        <v>2.5005684535710642</v>
      </c>
      <c r="AK73" s="153">
        <f t="shared" si="143"/>
        <v>2.3203789690473764</v>
      </c>
      <c r="AM73" s="317">
        <f t="shared" si="144"/>
        <v>340</v>
      </c>
      <c r="AN73" s="147">
        <f t="shared" si="145"/>
        <v>201.3898864290648</v>
      </c>
      <c r="AP73">
        <f t="shared" si="146"/>
        <v>340</v>
      </c>
      <c r="AQ73">
        <f t="shared" si="147"/>
        <v>201.3898864290648</v>
      </c>
      <c r="AS73" s="5">
        <f t="shared" si="175"/>
        <v>4.9654926457899773</v>
      </c>
      <c r="AT73" s="5">
        <f t="shared" si="148"/>
        <v>2.0274879353278905</v>
      </c>
      <c r="AU73" s="5">
        <f t="shared" si="176"/>
        <v>2.9380047104620868</v>
      </c>
      <c r="AV73" s="5">
        <f t="shared" si="149"/>
        <v>2.9380047104620863</v>
      </c>
      <c r="AW73" s="153">
        <f t="shared" si="177"/>
        <v>0.40831556503198296</v>
      </c>
      <c r="AX73" s="153">
        <f t="shared" si="150"/>
        <v>5.6666666666666643</v>
      </c>
      <c r="AY73" s="153">
        <f t="shared" si="151"/>
        <v>0.36988685813751082</v>
      </c>
      <c r="AZ73" s="153">
        <f t="shared" si="178"/>
        <v>15.319999999999997</v>
      </c>
      <c r="BA73" s="147">
        <f t="shared" si="152"/>
        <v>16.670079701628925</v>
      </c>
      <c r="BB73" s="147">
        <f t="shared" si="153"/>
        <v>8.8788454677380102</v>
      </c>
      <c r="BC73" s="5">
        <f t="shared" si="154"/>
        <v>2.7024906029194313</v>
      </c>
      <c r="BD73" s="147">
        <f t="shared" si="155"/>
        <v>69.707999014271749</v>
      </c>
      <c r="BE73" s="5"/>
      <c r="BF73" s="153">
        <f t="shared" si="179"/>
        <v>0.92252063312030819</v>
      </c>
      <c r="BG73" s="153">
        <f t="shared" si="156"/>
        <v>0.55525591962901066</v>
      </c>
      <c r="BH73" s="153"/>
      <c r="BI73" s="463">
        <f t="shared" si="157"/>
        <v>9.3614875038596362E-2</v>
      </c>
      <c r="BJ73" s="463">
        <f t="shared" si="158"/>
        <v>4.7236666666666649E-2</v>
      </c>
      <c r="BK73" s="463">
        <f t="shared" si="159"/>
        <v>1.0069494321453239E-2</v>
      </c>
      <c r="BL73" s="463">
        <f t="shared" si="160"/>
        <v>1.5947251491176463E-2</v>
      </c>
      <c r="BM73">
        <f t="shared" si="161"/>
        <v>3.2190000000000001E-3</v>
      </c>
      <c r="BN73">
        <f t="shared" si="162"/>
        <v>1.2284783072172953E-5</v>
      </c>
      <c r="BO73" s="463">
        <f t="shared" si="163"/>
        <v>0.18594928617144552</v>
      </c>
      <c r="BP73" s="147">
        <f t="shared" si="180"/>
        <v>185.94928617144552</v>
      </c>
      <c r="BQ73" s="463">
        <f t="shared" si="164"/>
        <v>0.17698963602405132</v>
      </c>
      <c r="BR73" s="463"/>
      <c r="BT73" s="147">
        <f t="shared" si="181"/>
        <v>176.98963602405132</v>
      </c>
      <c r="BU73" s="463">
        <f t="shared" si="165"/>
        <v>7.2338767075279017E-2</v>
      </c>
      <c r="BV73" s="463">
        <f t="shared" si="166"/>
        <v>5.8578735893781084E-2</v>
      </c>
      <c r="BW73" s="463">
        <f t="shared" si="167"/>
        <v>0</v>
      </c>
      <c r="BX73" s="463">
        <f t="shared" si="168"/>
        <v>0.14817954702839081</v>
      </c>
      <c r="BY73" s="463">
        <f t="shared" si="169"/>
        <v>0.62962962962962954</v>
      </c>
      <c r="BZ73" s="147">
        <f t="shared" si="182"/>
        <v>777.80917665802042</v>
      </c>
      <c r="CA73" s="153">
        <f t="shared" si="183"/>
        <v>1.1407480988535172</v>
      </c>
      <c r="CB73" s="5">
        <f t="shared" si="184"/>
        <v>5.1000000000000005</v>
      </c>
      <c r="CC73" s="153">
        <f t="shared" si="185"/>
        <v>0.81720971896573058</v>
      </c>
      <c r="CD73" s="5">
        <f t="shared" si="186"/>
        <v>81.720971896573062</v>
      </c>
      <c r="CG73" s="59">
        <f t="shared" si="170"/>
        <v>-50</v>
      </c>
      <c r="CH73">
        <f t="shared" si="171"/>
        <v>-50</v>
      </c>
    </row>
    <row r="74" spans="5:86" x14ac:dyDescent="0.25">
      <c r="E74" s="150">
        <v>69</v>
      </c>
      <c r="F74" s="191">
        <f t="shared" si="172"/>
        <v>0.34499999999999997</v>
      </c>
      <c r="G74" s="191"/>
      <c r="H74" s="191">
        <f t="shared" si="120"/>
        <v>5.1749999999999998</v>
      </c>
      <c r="I74" s="472">
        <f t="shared" si="121"/>
        <v>11.1</v>
      </c>
      <c r="J74" s="152">
        <f t="shared" si="122"/>
        <v>7.66</v>
      </c>
      <c r="K74" s="386">
        <f t="shared" si="123"/>
        <v>18.759999999999998</v>
      </c>
      <c r="L74" s="386"/>
      <c r="M74" s="191">
        <f t="shared" si="124"/>
        <v>0.40831556503198302</v>
      </c>
      <c r="N74" s="152">
        <f t="shared" si="125"/>
        <v>8.3620986140724956</v>
      </c>
      <c r="O74" s="152">
        <f t="shared" si="173"/>
        <v>5.1749999999999998</v>
      </c>
      <c r="P74" s="191">
        <f t="shared" si="126"/>
        <v>0.55747324093816641</v>
      </c>
      <c r="Q74" s="191">
        <f t="shared" si="127"/>
        <v>15</v>
      </c>
      <c r="R74" s="191">
        <f t="shared" si="128"/>
        <v>0.61941471215351818</v>
      </c>
      <c r="S74" s="152">
        <f t="shared" si="129"/>
        <v>37.349457362795178</v>
      </c>
      <c r="T74" s="152">
        <f t="shared" si="130"/>
        <v>15</v>
      </c>
      <c r="U74" s="191">
        <f t="shared" si="131"/>
        <v>2.5373415190647557</v>
      </c>
      <c r="V74" s="191">
        <f t="shared" si="132"/>
        <v>2.0573039343768293</v>
      </c>
      <c r="W74" s="191">
        <f t="shared" si="133"/>
        <v>2.9812106620865273</v>
      </c>
      <c r="X74" s="175">
        <f t="shared" si="134"/>
        <v>350</v>
      </c>
      <c r="Y74" s="386">
        <f t="shared" si="174"/>
        <v>198.47119242284657</v>
      </c>
      <c r="AA74" s="191">
        <f t="shared" si="135"/>
        <v>1.4388262767793685</v>
      </c>
      <c r="AB74" s="153">
        <f t="shared" si="136"/>
        <v>1.6905269570514774</v>
      </c>
      <c r="AC74" s="153">
        <f t="shared" si="137"/>
        <v>0.21283277814833412</v>
      </c>
      <c r="AD74" s="153"/>
      <c r="AE74" s="153">
        <f t="shared" si="138"/>
        <v>0.96344647519582249</v>
      </c>
      <c r="AF74" s="317">
        <f t="shared" si="139"/>
        <v>1746.777711679556</v>
      </c>
      <c r="AG74" s="463">
        <f t="shared" si="140"/>
        <v>6.9127284595300251E-2</v>
      </c>
      <c r="AI74" s="153">
        <f t="shared" si="141"/>
        <v>1.9309783138806216</v>
      </c>
      <c r="AJ74" s="153">
        <f t="shared" si="142"/>
        <v>2.5373415190647557</v>
      </c>
      <c r="AK74" s="153">
        <f t="shared" si="143"/>
        <v>2.3448943460431706</v>
      </c>
      <c r="AM74" s="317">
        <f t="shared" si="144"/>
        <v>345</v>
      </c>
      <c r="AN74" s="147">
        <f t="shared" si="145"/>
        <v>198.47119242284657</v>
      </c>
      <c r="AP74">
        <f t="shared" si="146"/>
        <v>345</v>
      </c>
      <c r="AQ74">
        <f t="shared" si="147"/>
        <v>198.47119242284657</v>
      </c>
      <c r="AS74" s="5">
        <f t="shared" si="175"/>
        <v>5.0385145964633571</v>
      </c>
      <c r="AT74" s="5">
        <f t="shared" si="148"/>
        <v>2.0573039343768293</v>
      </c>
      <c r="AU74" s="5">
        <f t="shared" si="176"/>
        <v>2.9812106620865277</v>
      </c>
      <c r="AV74" s="5">
        <f t="shared" si="149"/>
        <v>2.9812106620865273</v>
      </c>
      <c r="AW74" s="153">
        <f t="shared" si="177"/>
        <v>0.40831556503198296</v>
      </c>
      <c r="AX74" s="153">
        <f t="shared" si="150"/>
        <v>5.7499999999999982</v>
      </c>
      <c r="AY74" s="153">
        <f t="shared" si="151"/>
        <v>0.37532637075718001</v>
      </c>
      <c r="AZ74" s="153">
        <f t="shared" si="178"/>
        <v>15.320000000000002</v>
      </c>
      <c r="BA74" s="147">
        <f t="shared" si="152"/>
        <v>16.670079701628925</v>
      </c>
      <c r="BB74" s="147">
        <f t="shared" si="153"/>
        <v>9.1266875588020433</v>
      </c>
      <c r="BC74" s="5">
        <f t="shared" si="154"/>
        <v>2.7825600693121557</v>
      </c>
      <c r="BD74" s="147">
        <f t="shared" si="155"/>
        <v>71.750455802610716</v>
      </c>
      <c r="BE74" s="5"/>
      <c r="BF74" s="153">
        <f t="shared" si="179"/>
        <v>0.93608711301913605</v>
      </c>
      <c r="BG74" s="153">
        <f t="shared" si="156"/>
        <v>0.56342144785884885</v>
      </c>
      <c r="BH74" s="153"/>
      <c r="BI74" s="463">
        <f t="shared" si="157"/>
        <v>9.6388499147655085E-2</v>
      </c>
      <c r="BJ74" s="463">
        <f t="shared" si="158"/>
        <v>4.7236666666666663E-2</v>
      </c>
      <c r="BK74" s="463">
        <f t="shared" si="159"/>
        <v>9.9235596211423287E-3</v>
      </c>
      <c r="BL74" s="463">
        <f t="shared" si="160"/>
        <v>1.5716131904347827E-2</v>
      </c>
      <c r="BM74">
        <f t="shared" si="161"/>
        <v>3.2190000000000001E-3</v>
      </c>
      <c r="BN74">
        <f t="shared" si="162"/>
        <v>1.2106742737793641E-5</v>
      </c>
      <c r="BO74" s="463">
        <f t="shared" si="163"/>
        <v>0.1888671643200398</v>
      </c>
      <c r="BP74" s="147">
        <f t="shared" si="180"/>
        <v>188.86716432003979</v>
      </c>
      <c r="BQ74" s="463">
        <f t="shared" si="164"/>
        <v>0.18029540162424482</v>
      </c>
      <c r="BR74" s="463"/>
      <c r="BT74" s="147">
        <f t="shared" si="181"/>
        <v>180.29540162424482</v>
      </c>
      <c r="BU74" s="463">
        <f t="shared" si="165"/>
        <v>7.4482022068642573E-2</v>
      </c>
      <c r="BV74" s="463">
        <f t="shared" si="166"/>
        <v>6.0314308302398693E-2</v>
      </c>
      <c r="BW74" s="463">
        <f t="shared" si="167"/>
        <v>0</v>
      </c>
      <c r="BX74" s="463">
        <f t="shared" si="168"/>
        <v>0.15261767421023043</v>
      </c>
      <c r="BY74" s="463">
        <f t="shared" si="169"/>
        <v>0.63888888888888873</v>
      </c>
      <c r="BZ74" s="147">
        <f t="shared" si="182"/>
        <v>791.50656309911915</v>
      </c>
      <c r="CA74" s="153">
        <f t="shared" si="183"/>
        <v>1.1606691290434039</v>
      </c>
      <c r="CB74" s="5">
        <f t="shared" si="184"/>
        <v>5.1749999999999998</v>
      </c>
      <c r="CC74" s="153">
        <f t="shared" si="185"/>
        <v>0.81680401779146439</v>
      </c>
      <c r="CD74" s="5">
        <f t="shared" si="186"/>
        <v>81.680401779146436</v>
      </c>
      <c r="CG74" s="59">
        <f t="shared" si="170"/>
        <v>-50</v>
      </c>
      <c r="CH74">
        <f t="shared" si="171"/>
        <v>-50</v>
      </c>
    </row>
    <row r="75" spans="5:86" x14ac:dyDescent="0.25">
      <c r="E75" s="150">
        <v>70</v>
      </c>
      <c r="F75" s="191">
        <f t="shared" si="172"/>
        <v>0.35</v>
      </c>
      <c r="G75" s="191"/>
      <c r="H75" s="191">
        <f t="shared" si="120"/>
        <v>5.25</v>
      </c>
      <c r="I75" s="472">
        <f t="shared" si="121"/>
        <v>11.1</v>
      </c>
      <c r="J75" s="152">
        <f t="shared" si="122"/>
        <v>7.66</v>
      </c>
      <c r="K75" s="386">
        <f t="shared" si="123"/>
        <v>18.759999999999998</v>
      </c>
      <c r="L75" s="386"/>
      <c r="M75" s="191">
        <f t="shared" si="124"/>
        <v>0.40831556503198302</v>
      </c>
      <c r="N75" s="152">
        <f t="shared" si="125"/>
        <v>8.3620986140724956</v>
      </c>
      <c r="O75" s="152">
        <f t="shared" si="173"/>
        <v>5.25</v>
      </c>
      <c r="P75" s="191">
        <f t="shared" si="126"/>
        <v>0.55747324093816641</v>
      </c>
      <c r="Q75" s="191">
        <f t="shared" si="127"/>
        <v>15</v>
      </c>
      <c r="R75" s="191">
        <f t="shared" si="128"/>
        <v>0.61941471215351818</v>
      </c>
      <c r="S75" s="152">
        <f t="shared" si="129"/>
        <v>36.505765556103228</v>
      </c>
      <c r="T75" s="152">
        <f t="shared" si="130"/>
        <v>15</v>
      </c>
      <c r="U75" s="191">
        <f t="shared" si="131"/>
        <v>2.5741145845584481</v>
      </c>
      <c r="V75" s="191">
        <f t="shared" si="132"/>
        <v>2.0871199334257686</v>
      </c>
      <c r="W75" s="191">
        <f t="shared" si="133"/>
        <v>3.02441661371097</v>
      </c>
      <c r="X75" s="175">
        <f t="shared" si="134"/>
        <v>350</v>
      </c>
      <c r="Y75" s="386">
        <f t="shared" si="174"/>
        <v>195.63588967394875</v>
      </c>
      <c r="AA75" s="191">
        <f t="shared" si="135"/>
        <v>1.4388262767793685</v>
      </c>
      <c r="AB75" s="153">
        <f t="shared" si="136"/>
        <v>1.6905269570514774</v>
      </c>
      <c r="AC75" s="153">
        <f t="shared" si="137"/>
        <v>0.21283277814833412</v>
      </c>
      <c r="AD75" s="153"/>
      <c r="AE75" s="153">
        <f t="shared" si="138"/>
        <v>0.96344647519582249</v>
      </c>
      <c r="AF75" s="317">
        <f t="shared" si="139"/>
        <v>1772.0933306894046</v>
      </c>
      <c r="AG75" s="463">
        <f t="shared" si="140"/>
        <v>6.9127284595300251E-2</v>
      </c>
      <c r="AI75" s="153">
        <f t="shared" si="141"/>
        <v>1.9449205766258724</v>
      </c>
      <c r="AJ75" s="153">
        <f t="shared" si="142"/>
        <v>2.5741145845584481</v>
      </c>
      <c r="AK75" s="153">
        <f t="shared" si="143"/>
        <v>2.3694097230389657</v>
      </c>
      <c r="AM75" s="317">
        <f t="shared" si="144"/>
        <v>350</v>
      </c>
      <c r="AN75" s="147">
        <f t="shared" si="145"/>
        <v>195.63588967394875</v>
      </c>
      <c r="AP75">
        <f t="shared" si="146"/>
        <v>350</v>
      </c>
      <c r="AQ75">
        <f t="shared" si="147"/>
        <v>195.63588967394875</v>
      </c>
      <c r="AS75" s="5">
        <f t="shared" si="175"/>
        <v>5.1115365471367387</v>
      </c>
      <c r="AT75" s="5">
        <f t="shared" si="148"/>
        <v>2.0871199334257686</v>
      </c>
      <c r="AU75" s="5">
        <f t="shared" si="176"/>
        <v>3.02441661371097</v>
      </c>
      <c r="AV75" s="5">
        <f t="shared" si="149"/>
        <v>3.02441661371097</v>
      </c>
      <c r="AW75" s="153">
        <f t="shared" si="177"/>
        <v>0.40831556503198296</v>
      </c>
      <c r="AX75" s="153">
        <f t="shared" si="150"/>
        <v>5.8333333333333321</v>
      </c>
      <c r="AY75" s="153">
        <f t="shared" si="151"/>
        <v>0.3807658833768493</v>
      </c>
      <c r="AZ75" s="153">
        <f t="shared" si="178"/>
        <v>15.320000000000002</v>
      </c>
      <c r="BA75" s="147">
        <f t="shared" si="152"/>
        <v>16.670079701628925</v>
      </c>
      <c r="BB75" s="147">
        <f t="shared" si="153"/>
        <v>9.3779288044801561</v>
      </c>
      <c r="BC75" s="5">
        <f t="shared" si="154"/>
        <v>2.8637984330244826</v>
      </c>
      <c r="BD75" s="147">
        <f t="shared" si="155"/>
        <v>73.822400682421474</v>
      </c>
      <c r="BE75" s="5"/>
      <c r="BF75" s="153">
        <f t="shared" si="179"/>
        <v>0.94965359291796425</v>
      </c>
      <c r="BG75" s="153">
        <f t="shared" si="156"/>
        <v>0.57158697608868736</v>
      </c>
      <c r="BH75" s="153"/>
      <c r="BI75" s="463">
        <f t="shared" si="157"/>
        <v>9.9202614119619836E-2</v>
      </c>
      <c r="BJ75" s="463">
        <f t="shared" si="158"/>
        <v>4.7236666666666663E-2</v>
      </c>
      <c r="BK75" s="463">
        <f t="shared" si="159"/>
        <v>9.7817944836974362E-3</v>
      </c>
      <c r="BL75" s="463">
        <f t="shared" si="160"/>
        <v>1.5491615734285714E-2</v>
      </c>
      <c r="BM75">
        <f t="shared" si="161"/>
        <v>3.2190000000000001E-3</v>
      </c>
      <c r="BN75">
        <f t="shared" si="162"/>
        <v>1.1933789270110874E-5</v>
      </c>
      <c r="BO75" s="463">
        <f t="shared" si="163"/>
        <v>0.19184733692802314</v>
      </c>
      <c r="BP75" s="147">
        <f t="shared" si="180"/>
        <v>191.84733692802314</v>
      </c>
      <c r="BQ75" s="463">
        <f t="shared" si="164"/>
        <v>0.18362154336458722</v>
      </c>
      <c r="BR75" s="463"/>
      <c r="BT75" s="147">
        <f t="shared" si="181"/>
        <v>183.62154336458721</v>
      </c>
      <c r="BU75" s="463">
        <f t="shared" si="165"/>
        <v>7.6656565456069886E-2</v>
      </c>
      <c r="BV75" s="463">
        <f t="shared" si="166"/>
        <v>6.2075217534499828E-2</v>
      </c>
      <c r="BW75" s="463">
        <f t="shared" si="167"/>
        <v>0</v>
      </c>
      <c r="BX75" s="463">
        <f t="shared" si="168"/>
        <v>0.15712343812711677</v>
      </c>
      <c r="BY75" s="463">
        <f t="shared" si="169"/>
        <v>0.64814814814814814</v>
      </c>
      <c r="BZ75" s="147">
        <f t="shared" si="182"/>
        <v>805.27158627526489</v>
      </c>
      <c r="CA75" s="153">
        <f t="shared" si="183"/>
        <v>1.1807404665678753</v>
      </c>
      <c r="CB75" s="5">
        <f t="shared" si="184"/>
        <v>5.25</v>
      </c>
      <c r="CC75" s="153">
        <f t="shared" si="185"/>
        <v>0.81639121144659665</v>
      </c>
      <c r="CD75" s="5">
        <f t="shared" si="186"/>
        <v>81.639121144659669</v>
      </c>
      <c r="CG75" s="59">
        <f t="shared" si="170"/>
        <v>-50</v>
      </c>
      <c r="CH75">
        <f t="shared" si="171"/>
        <v>-50</v>
      </c>
    </row>
    <row r="76" spans="5:86" x14ac:dyDescent="0.25">
      <c r="E76" s="150">
        <v>71</v>
      </c>
      <c r="F76" s="191">
        <f t="shared" si="172"/>
        <v>0.35499999999999998</v>
      </c>
      <c r="G76" s="191"/>
      <c r="H76" s="191">
        <f t="shared" si="120"/>
        <v>5.3249999999999993</v>
      </c>
      <c r="I76" s="472">
        <f t="shared" si="121"/>
        <v>11.1</v>
      </c>
      <c r="J76" s="152">
        <f t="shared" si="122"/>
        <v>7.66</v>
      </c>
      <c r="K76" s="386">
        <f t="shared" si="123"/>
        <v>18.759999999999998</v>
      </c>
      <c r="L76" s="386"/>
      <c r="M76" s="191">
        <f t="shared" si="124"/>
        <v>0.40831556503198302</v>
      </c>
      <c r="N76" s="152">
        <f t="shared" si="125"/>
        <v>8.3620986140724956</v>
      </c>
      <c r="O76" s="152">
        <f t="shared" si="173"/>
        <v>5.3249999999999993</v>
      </c>
      <c r="P76" s="191">
        <f t="shared" si="126"/>
        <v>0.55747324093816641</v>
      </c>
      <c r="Q76" s="191">
        <f t="shared" si="127"/>
        <v>15</v>
      </c>
      <c r="R76" s="191">
        <f t="shared" si="128"/>
        <v>0.61941471215351818</v>
      </c>
      <c r="S76" s="152">
        <f t="shared" si="129"/>
        <v>35.686032665296821</v>
      </c>
      <c r="T76" s="152">
        <f t="shared" si="130"/>
        <v>15</v>
      </c>
      <c r="U76" s="191">
        <f t="shared" si="131"/>
        <v>2.6108876500521396</v>
      </c>
      <c r="V76" s="191">
        <f t="shared" si="132"/>
        <v>2.1169359324747075</v>
      </c>
      <c r="W76" s="191">
        <f t="shared" si="133"/>
        <v>3.0676225653354119</v>
      </c>
      <c r="X76" s="175">
        <f t="shared" si="134"/>
        <v>350</v>
      </c>
      <c r="Y76" s="386">
        <f t="shared" si="174"/>
        <v>192.88045460811853</v>
      </c>
      <c r="AA76" s="191">
        <f t="shared" si="135"/>
        <v>1.4388262767793685</v>
      </c>
      <c r="AB76" s="153">
        <f t="shared" si="136"/>
        <v>1.6905269570514774</v>
      </c>
      <c r="AC76" s="153">
        <f t="shared" si="137"/>
        <v>0.21283277814833412</v>
      </c>
      <c r="AD76" s="153"/>
      <c r="AE76" s="153">
        <f t="shared" si="138"/>
        <v>0.96344647519582249</v>
      </c>
      <c r="AF76" s="317">
        <f t="shared" si="139"/>
        <v>1797.4089496992533</v>
      </c>
      <c r="AG76" s="463">
        <f t="shared" si="140"/>
        <v>6.9127284595300251E-2</v>
      </c>
      <c r="AI76" s="153">
        <f t="shared" si="141"/>
        <v>1.9587636024002957</v>
      </c>
      <c r="AJ76" s="153">
        <f t="shared" si="142"/>
        <v>2.6108876500521396</v>
      </c>
      <c r="AK76" s="153">
        <f t="shared" si="143"/>
        <v>2.3939251000347599</v>
      </c>
      <c r="AM76" s="317">
        <f t="shared" si="144"/>
        <v>355</v>
      </c>
      <c r="AN76" s="147">
        <f t="shared" si="145"/>
        <v>192.88045460811853</v>
      </c>
      <c r="AP76">
        <f t="shared" si="146"/>
        <v>355</v>
      </c>
      <c r="AQ76">
        <f t="shared" si="147"/>
        <v>192.88045460811853</v>
      </c>
      <c r="AS76" s="5">
        <f t="shared" si="175"/>
        <v>5.1845584978101202</v>
      </c>
      <c r="AT76" s="5">
        <f t="shared" si="148"/>
        <v>2.1169359324747075</v>
      </c>
      <c r="AU76" s="5">
        <f t="shared" si="176"/>
        <v>3.0676225653354128</v>
      </c>
      <c r="AV76" s="5">
        <f t="shared" si="149"/>
        <v>3.0676225653354119</v>
      </c>
      <c r="AW76" s="153">
        <f t="shared" si="177"/>
        <v>0.40831556503198285</v>
      </c>
      <c r="AX76" s="153">
        <f t="shared" si="150"/>
        <v>5.9166666666666634</v>
      </c>
      <c r="AY76" s="153">
        <f t="shared" si="151"/>
        <v>0.3862053959965186</v>
      </c>
      <c r="AZ76" s="153">
        <f t="shared" si="178"/>
        <v>15.319999999999997</v>
      </c>
      <c r="BA76" s="147">
        <f t="shared" si="152"/>
        <v>16.670079701628925</v>
      </c>
      <c r="BB76" s="147">
        <f t="shared" si="153"/>
        <v>9.6325692047723379</v>
      </c>
      <c r="BC76" s="5">
        <f t="shared" si="154"/>
        <v>2.9462056940564114</v>
      </c>
      <c r="BD76" s="147">
        <f t="shared" si="155"/>
        <v>75.923833653704023</v>
      </c>
      <c r="BE76" s="5"/>
      <c r="BF76" s="153">
        <f t="shared" si="179"/>
        <v>0.96322007281679212</v>
      </c>
      <c r="BG76" s="153">
        <f t="shared" si="156"/>
        <v>0.57975250431852565</v>
      </c>
      <c r="BH76" s="153"/>
      <c r="BI76" s="463">
        <f t="shared" si="157"/>
        <v>0.10205721995449049</v>
      </c>
      <c r="BJ76" s="463">
        <f t="shared" si="158"/>
        <v>4.7236666666666663E-2</v>
      </c>
      <c r="BK76" s="463">
        <f t="shared" si="159"/>
        <v>9.6440227304059253E-3</v>
      </c>
      <c r="BL76" s="463">
        <f t="shared" si="160"/>
        <v>1.5273423963380287E-2</v>
      </c>
      <c r="BM76">
        <f t="shared" si="161"/>
        <v>3.2190000000000001E-3</v>
      </c>
      <c r="BN76">
        <f t="shared" si="162"/>
        <v>1.176570773109523E-5</v>
      </c>
      <c r="BO76" s="463">
        <f t="shared" si="163"/>
        <v>0.19488950680960773</v>
      </c>
      <c r="BP76" s="147">
        <f t="shared" si="180"/>
        <v>194.88950680960772</v>
      </c>
      <c r="BQ76" s="463">
        <f t="shared" si="164"/>
        <v>0.18696806124507839</v>
      </c>
      <c r="BR76" s="463"/>
      <c r="BT76" s="147">
        <f t="shared" si="181"/>
        <v>186.96806124507839</v>
      </c>
      <c r="BU76" s="463">
        <f t="shared" si="165"/>
        <v>7.8862397237560847E-2</v>
      </c>
      <c r="BV76" s="463">
        <f t="shared" si="166"/>
        <v>6.3861463590084405E-2</v>
      </c>
      <c r="BW76" s="463">
        <f t="shared" si="167"/>
        <v>0</v>
      </c>
      <c r="BX76" s="463">
        <f t="shared" si="168"/>
        <v>0.1616969653411712</v>
      </c>
      <c r="BY76" s="463">
        <f t="shared" si="169"/>
        <v>0.65740740740740722</v>
      </c>
      <c r="BZ76" s="147">
        <f t="shared" si="182"/>
        <v>819.10437274857838</v>
      </c>
      <c r="CA76" s="153">
        <f t="shared" si="183"/>
        <v>1.2009619408032646</v>
      </c>
      <c r="CB76" s="5">
        <f t="shared" si="184"/>
        <v>5.3249999999999993</v>
      </c>
      <c r="CC76" s="153">
        <f t="shared" si="185"/>
        <v>0.81597166031657231</v>
      </c>
      <c r="CD76" s="5">
        <f t="shared" si="186"/>
        <v>81.597166031657224</v>
      </c>
      <c r="CG76" s="59">
        <f t="shared" si="170"/>
        <v>-50</v>
      </c>
      <c r="CH76">
        <f t="shared" si="171"/>
        <v>-50</v>
      </c>
    </row>
    <row r="77" spans="5:86" x14ac:dyDescent="0.25">
      <c r="E77" s="150">
        <v>72</v>
      </c>
      <c r="F77" s="191">
        <f t="shared" si="172"/>
        <v>0.36</v>
      </c>
      <c r="G77" s="191"/>
      <c r="H77" s="191">
        <f t="shared" si="120"/>
        <v>5.3999999999999995</v>
      </c>
      <c r="I77" s="472">
        <f t="shared" si="121"/>
        <v>11.1</v>
      </c>
      <c r="J77" s="152">
        <f t="shared" si="122"/>
        <v>7.66</v>
      </c>
      <c r="K77" s="386">
        <f t="shared" si="123"/>
        <v>18.759999999999998</v>
      </c>
      <c r="L77" s="386"/>
      <c r="M77" s="191">
        <f t="shared" si="124"/>
        <v>0.40831556503198302</v>
      </c>
      <c r="N77" s="152">
        <f t="shared" si="125"/>
        <v>8.3620986140724956</v>
      </c>
      <c r="O77" s="152">
        <f t="shared" si="173"/>
        <v>5.3999999999999995</v>
      </c>
      <c r="P77" s="191">
        <f t="shared" si="126"/>
        <v>0.55747324093816641</v>
      </c>
      <c r="Q77" s="191">
        <f t="shared" si="127"/>
        <v>15</v>
      </c>
      <c r="R77" s="191">
        <f t="shared" si="128"/>
        <v>0.61941471215351818</v>
      </c>
      <c r="S77" s="152">
        <f t="shared" si="129"/>
        <v>34.889265074758484</v>
      </c>
      <c r="T77" s="152">
        <f t="shared" si="130"/>
        <v>15</v>
      </c>
      <c r="U77" s="191">
        <f t="shared" si="131"/>
        <v>2.647660715545832</v>
      </c>
      <c r="V77" s="191">
        <f t="shared" si="132"/>
        <v>2.1467519315236476</v>
      </c>
      <c r="W77" s="191">
        <f t="shared" si="133"/>
        <v>3.1108285169598546</v>
      </c>
      <c r="X77" s="175">
        <f t="shared" si="134"/>
        <v>350</v>
      </c>
      <c r="Y77" s="386">
        <f t="shared" si="174"/>
        <v>190.20155940522798</v>
      </c>
      <c r="AA77" s="191">
        <f t="shared" si="135"/>
        <v>1.4388262767793685</v>
      </c>
      <c r="AB77" s="153">
        <f t="shared" si="136"/>
        <v>1.6905269570514774</v>
      </c>
      <c r="AC77" s="153">
        <f t="shared" si="137"/>
        <v>0.21283277814833412</v>
      </c>
      <c r="AD77" s="153"/>
      <c r="AE77" s="153">
        <f t="shared" si="138"/>
        <v>0.96344647519582249</v>
      </c>
      <c r="AF77" s="317">
        <f t="shared" si="139"/>
        <v>1822.7245687091017</v>
      </c>
      <c r="AG77" s="463">
        <f t="shared" si="140"/>
        <v>6.9127284595300251E-2</v>
      </c>
      <c r="AI77" s="153">
        <f t="shared" si="141"/>
        <v>1.972509480533275</v>
      </c>
      <c r="AJ77" s="153">
        <f t="shared" si="142"/>
        <v>2.647660715545832</v>
      </c>
      <c r="AK77" s="153">
        <f t="shared" si="143"/>
        <v>2.418440477030555</v>
      </c>
      <c r="AM77" s="317">
        <f t="shared" si="144"/>
        <v>360</v>
      </c>
      <c r="AN77" s="147">
        <f t="shared" si="145"/>
        <v>190.20155940522798</v>
      </c>
      <c r="AP77">
        <f t="shared" si="146"/>
        <v>360</v>
      </c>
      <c r="AQ77">
        <f t="shared" si="147"/>
        <v>190.20155940522798</v>
      </c>
      <c r="AS77" s="5">
        <f t="shared" si="175"/>
        <v>5.2575804484835027</v>
      </c>
      <c r="AT77" s="5">
        <f t="shared" si="148"/>
        <v>2.1467519315236476</v>
      </c>
      <c r="AU77" s="5">
        <f t="shared" si="176"/>
        <v>3.1108285169598551</v>
      </c>
      <c r="AV77" s="5">
        <f t="shared" si="149"/>
        <v>3.1108285169598546</v>
      </c>
      <c r="AW77" s="153">
        <f t="shared" si="177"/>
        <v>0.40831556503198291</v>
      </c>
      <c r="AX77" s="153">
        <f t="shared" si="150"/>
        <v>5.9999999999999982</v>
      </c>
      <c r="AY77" s="153">
        <f t="shared" si="151"/>
        <v>0.39164490861618784</v>
      </c>
      <c r="AZ77" s="153">
        <f t="shared" si="178"/>
        <v>15.320000000000002</v>
      </c>
      <c r="BA77" s="147">
        <f t="shared" si="152"/>
        <v>16.670079701628925</v>
      </c>
      <c r="BB77" s="147">
        <f t="shared" si="153"/>
        <v>9.8906087596785977</v>
      </c>
      <c r="BC77" s="5">
        <f t="shared" si="154"/>
        <v>3.0297818524079418</v>
      </c>
      <c r="BD77" s="147">
        <f t="shared" si="155"/>
        <v>78.054754716458348</v>
      </c>
      <c r="BE77" s="5"/>
      <c r="BF77" s="153">
        <f t="shared" si="179"/>
        <v>0.9767865527156202</v>
      </c>
      <c r="BG77" s="153">
        <f t="shared" si="156"/>
        <v>0.58791803254836406</v>
      </c>
      <c r="BH77" s="153"/>
      <c r="BI77" s="463">
        <f t="shared" si="157"/>
        <v>0.10495231665226716</v>
      </c>
      <c r="BJ77" s="463">
        <f t="shared" si="158"/>
        <v>4.7236666666666663E-2</v>
      </c>
      <c r="BK77" s="463">
        <f t="shared" si="159"/>
        <v>9.5100779702613995E-3</v>
      </c>
      <c r="BL77" s="463">
        <f t="shared" si="160"/>
        <v>1.5061293075000003E-2</v>
      </c>
      <c r="BM77">
        <f t="shared" si="161"/>
        <v>3.2190000000000001E-3</v>
      </c>
      <c r="BN77">
        <f t="shared" si="162"/>
        <v>1.1602295123718908E-5</v>
      </c>
      <c r="BO77" s="463">
        <f t="shared" si="163"/>
        <v>0.19799340477910415</v>
      </c>
      <c r="BP77" s="147">
        <f t="shared" si="180"/>
        <v>197.99340477910417</v>
      </c>
      <c r="BQ77" s="463">
        <f t="shared" si="164"/>
        <v>0.19033495526571839</v>
      </c>
      <c r="BR77" s="463"/>
      <c r="BT77" s="147">
        <f t="shared" si="181"/>
        <v>190.33495526571838</v>
      </c>
      <c r="BU77" s="463">
        <f t="shared" si="165"/>
        <v>8.1099517413115538E-2</v>
      </c>
      <c r="BV77" s="463">
        <f t="shared" si="166"/>
        <v>6.5673046469152466E-2</v>
      </c>
      <c r="BW77" s="463">
        <f t="shared" si="167"/>
        <v>0</v>
      </c>
      <c r="BX77" s="463">
        <f t="shared" si="168"/>
        <v>0.16633838444065127</v>
      </c>
      <c r="BY77" s="463">
        <f t="shared" si="169"/>
        <v>0.66666666666666652</v>
      </c>
      <c r="BZ77" s="147">
        <f t="shared" si="182"/>
        <v>833.00505110731785</v>
      </c>
      <c r="CA77" s="153">
        <f t="shared" si="183"/>
        <v>1.2213334111521403</v>
      </c>
      <c r="CB77" s="5">
        <f t="shared" si="184"/>
        <v>5.3999999999999995</v>
      </c>
      <c r="CC77" s="153">
        <f t="shared" si="185"/>
        <v>0.81554570124877257</v>
      </c>
      <c r="CD77" s="5">
        <f t="shared" si="186"/>
        <v>81.554570124877259</v>
      </c>
      <c r="CG77" s="59">
        <f t="shared" si="170"/>
        <v>-50</v>
      </c>
      <c r="CH77">
        <f t="shared" si="171"/>
        <v>-50</v>
      </c>
    </row>
    <row r="78" spans="5:86" x14ac:dyDescent="0.25">
      <c r="E78" s="150">
        <v>73</v>
      </c>
      <c r="F78" s="191">
        <f t="shared" si="172"/>
        <v>0.36499999999999999</v>
      </c>
      <c r="G78" s="191"/>
      <c r="H78" s="191">
        <f t="shared" si="120"/>
        <v>5.4749999999999996</v>
      </c>
      <c r="I78" s="472">
        <f t="shared" si="121"/>
        <v>11.1</v>
      </c>
      <c r="J78" s="152">
        <f t="shared" si="122"/>
        <v>7.66</v>
      </c>
      <c r="K78" s="386">
        <f t="shared" si="123"/>
        <v>18.759999999999998</v>
      </c>
      <c r="L78" s="386"/>
      <c r="M78" s="191">
        <f t="shared" si="124"/>
        <v>0.40831556503198302</v>
      </c>
      <c r="N78" s="152">
        <f t="shared" si="125"/>
        <v>8.3620986140724956</v>
      </c>
      <c r="O78" s="152">
        <f t="shared" si="173"/>
        <v>5.4749999999999996</v>
      </c>
      <c r="P78" s="191">
        <f t="shared" si="126"/>
        <v>0.55747324093816641</v>
      </c>
      <c r="Q78" s="191">
        <f t="shared" si="127"/>
        <v>15</v>
      </c>
      <c r="R78" s="191">
        <f t="shared" si="128"/>
        <v>0.61941471215351818</v>
      </c>
      <c r="S78" s="152">
        <f t="shared" si="129"/>
        <v>34.114523759196153</v>
      </c>
      <c r="T78" s="152">
        <f t="shared" si="130"/>
        <v>15</v>
      </c>
      <c r="U78" s="191">
        <f t="shared" si="131"/>
        <v>2.6844337810395245</v>
      </c>
      <c r="V78" s="191">
        <f t="shared" si="132"/>
        <v>2.1765679305725874</v>
      </c>
      <c r="W78" s="191">
        <f t="shared" si="133"/>
        <v>3.1540344685842978</v>
      </c>
      <c r="X78" s="175">
        <f t="shared" si="134"/>
        <v>350</v>
      </c>
      <c r="Y78" s="386">
        <f t="shared" si="174"/>
        <v>187.59605859145771</v>
      </c>
      <c r="AA78" s="191">
        <f t="shared" si="135"/>
        <v>1.4388262767793685</v>
      </c>
      <c r="AB78" s="153">
        <f t="shared" si="136"/>
        <v>1.6905269570514774</v>
      </c>
      <c r="AC78" s="153">
        <f t="shared" si="137"/>
        <v>0.21283277814833412</v>
      </c>
      <c r="AD78" s="153"/>
      <c r="AE78" s="153">
        <f t="shared" si="138"/>
        <v>0.96344647519582249</v>
      </c>
      <c r="AF78" s="317">
        <f t="shared" si="139"/>
        <v>1848.0401877189504</v>
      </c>
      <c r="AG78" s="463">
        <f t="shared" si="140"/>
        <v>6.9127284595300251E-2</v>
      </c>
      <c r="AI78" s="153">
        <f t="shared" si="141"/>
        <v>1.9861602280528925</v>
      </c>
      <c r="AJ78" s="153">
        <f t="shared" si="142"/>
        <v>2.6844337810395245</v>
      </c>
      <c r="AK78" s="153">
        <f t="shared" si="143"/>
        <v>2.4429558540263496</v>
      </c>
      <c r="AM78" s="317">
        <f t="shared" si="144"/>
        <v>365</v>
      </c>
      <c r="AN78" s="147">
        <f t="shared" si="145"/>
        <v>187.59605859145771</v>
      </c>
      <c r="AP78">
        <f t="shared" si="146"/>
        <v>365</v>
      </c>
      <c r="AQ78">
        <f t="shared" si="147"/>
        <v>187.59605859145771</v>
      </c>
      <c r="AS78" s="5">
        <f t="shared" si="175"/>
        <v>5.3306023991568852</v>
      </c>
      <c r="AT78" s="5">
        <f t="shared" si="148"/>
        <v>2.1765679305725874</v>
      </c>
      <c r="AU78" s="5">
        <f t="shared" si="176"/>
        <v>3.1540344685842978</v>
      </c>
      <c r="AV78" s="5">
        <f t="shared" si="149"/>
        <v>3.1540344685842978</v>
      </c>
      <c r="AW78" s="153">
        <f t="shared" si="177"/>
        <v>0.40831556503198291</v>
      </c>
      <c r="AX78" s="153">
        <f t="shared" si="150"/>
        <v>6.0833333333333321</v>
      </c>
      <c r="AY78" s="153">
        <f t="shared" si="151"/>
        <v>0.39708442123585713</v>
      </c>
      <c r="AZ78" s="153">
        <f t="shared" si="178"/>
        <v>15.320000000000002</v>
      </c>
      <c r="BA78" s="147">
        <f t="shared" si="152"/>
        <v>16.670079701628925</v>
      </c>
      <c r="BB78" s="147">
        <f t="shared" si="153"/>
        <v>10.152047469198928</v>
      </c>
      <c r="BC78" s="5">
        <f t="shared" si="154"/>
        <v>3.1145269080790752</v>
      </c>
      <c r="BD78" s="147">
        <f t="shared" si="155"/>
        <v>80.215163870684449</v>
      </c>
      <c r="BE78" s="5"/>
      <c r="BF78" s="153">
        <f t="shared" si="179"/>
        <v>0.9903530326144484</v>
      </c>
      <c r="BG78" s="153">
        <f t="shared" si="156"/>
        <v>0.59608356077820257</v>
      </c>
      <c r="BH78" s="153"/>
      <c r="BI78" s="463">
        <f t="shared" si="157"/>
        <v>0.10788790421294982</v>
      </c>
      <c r="BJ78" s="463">
        <f t="shared" si="158"/>
        <v>4.7236666666666663E-2</v>
      </c>
      <c r="BK78" s="463">
        <f t="shared" si="159"/>
        <v>9.3798029295728835E-3</v>
      </c>
      <c r="BL78" s="463">
        <f t="shared" si="160"/>
        <v>1.4854973991780823E-2</v>
      </c>
      <c r="BM78">
        <f t="shared" si="161"/>
        <v>3.2190000000000001E-3</v>
      </c>
      <c r="BN78">
        <f t="shared" si="162"/>
        <v>1.144335957407892E-5</v>
      </c>
      <c r="BO78" s="463">
        <f t="shared" si="163"/>
        <v>0.20115878793752051</v>
      </c>
      <c r="BP78" s="147">
        <f t="shared" si="180"/>
        <v>201.15878793752051</v>
      </c>
      <c r="BQ78" s="463">
        <f t="shared" si="164"/>
        <v>0.19372222542650722</v>
      </c>
      <c r="BR78" s="463"/>
      <c r="BT78" s="147">
        <f t="shared" si="181"/>
        <v>193.72222542650721</v>
      </c>
      <c r="BU78" s="463">
        <f t="shared" si="165"/>
        <v>8.3367925982733945E-2</v>
      </c>
      <c r="BV78" s="463">
        <f t="shared" si="166"/>
        <v>6.7509966171704017E-2</v>
      </c>
      <c r="BW78" s="463">
        <f t="shared" si="167"/>
        <v>0</v>
      </c>
      <c r="BX78" s="463">
        <f t="shared" si="168"/>
        <v>0.17104782604912178</v>
      </c>
      <c r="BY78" s="463">
        <f t="shared" si="169"/>
        <v>0.67592592592592593</v>
      </c>
      <c r="BZ78" s="147">
        <f t="shared" si="182"/>
        <v>846.97375197504778</v>
      </c>
      <c r="CA78" s="153">
        <f t="shared" si="183"/>
        <v>1.2418547653390752</v>
      </c>
      <c r="CB78" s="5">
        <f t="shared" si="184"/>
        <v>5.4749999999999996</v>
      </c>
      <c r="CC78" s="153">
        <f t="shared" si="185"/>
        <v>0.81511364936050013</v>
      </c>
      <c r="CD78" s="5">
        <f t="shared" si="186"/>
        <v>81.511364936050015</v>
      </c>
      <c r="CG78" s="59">
        <f t="shared" si="170"/>
        <v>-50</v>
      </c>
      <c r="CH78">
        <f t="shared" si="171"/>
        <v>-50</v>
      </c>
    </row>
    <row r="79" spans="5:86" x14ac:dyDescent="0.25">
      <c r="E79" s="150">
        <v>74</v>
      </c>
      <c r="F79" s="191">
        <f t="shared" si="172"/>
        <v>0.37</v>
      </c>
      <c r="G79" s="191"/>
      <c r="H79" s="191">
        <f t="shared" si="120"/>
        <v>5.55</v>
      </c>
      <c r="I79" s="472">
        <f t="shared" si="121"/>
        <v>11.1</v>
      </c>
      <c r="J79" s="152">
        <f t="shared" si="122"/>
        <v>7.66</v>
      </c>
      <c r="K79" s="386">
        <f t="shared" si="123"/>
        <v>18.759999999999998</v>
      </c>
      <c r="L79" s="386"/>
      <c r="M79" s="191">
        <f t="shared" si="124"/>
        <v>0.40831556503198302</v>
      </c>
      <c r="N79" s="152">
        <f t="shared" si="125"/>
        <v>8.3620986140724956</v>
      </c>
      <c r="O79" s="152">
        <f t="shared" si="173"/>
        <v>5.55</v>
      </c>
      <c r="P79" s="191">
        <f t="shared" si="126"/>
        <v>0.55747324093816641</v>
      </c>
      <c r="Q79" s="191">
        <f t="shared" si="127"/>
        <v>15</v>
      </c>
      <c r="R79" s="191">
        <f t="shared" si="128"/>
        <v>0.61941471215351818</v>
      </c>
      <c r="S79" s="152">
        <f t="shared" si="129"/>
        <v>33.360920600545725</v>
      </c>
      <c r="T79" s="152">
        <f t="shared" si="130"/>
        <v>15</v>
      </c>
      <c r="U79" s="191">
        <f t="shared" si="131"/>
        <v>2.7212068465332164</v>
      </c>
      <c r="V79" s="191">
        <f t="shared" si="132"/>
        <v>2.2063839296215266</v>
      </c>
      <c r="W79" s="191">
        <f t="shared" si="133"/>
        <v>3.1972404202087397</v>
      </c>
      <c r="X79" s="175">
        <f t="shared" si="134"/>
        <v>350</v>
      </c>
      <c r="Y79" s="386">
        <f t="shared" si="174"/>
        <v>185.06097671860016</v>
      </c>
      <c r="AA79" s="191">
        <f t="shared" si="135"/>
        <v>1.4388262767793685</v>
      </c>
      <c r="AB79" s="153">
        <f t="shared" si="136"/>
        <v>1.6905269570514774</v>
      </c>
      <c r="AC79" s="153">
        <f t="shared" si="137"/>
        <v>0.21283277814833412</v>
      </c>
      <c r="AD79" s="153"/>
      <c r="AE79" s="153">
        <f t="shared" si="138"/>
        <v>0.96344647519582249</v>
      </c>
      <c r="AF79" s="317">
        <f t="shared" si="139"/>
        <v>1873.3558067287991</v>
      </c>
      <c r="AG79" s="463">
        <f t="shared" si="140"/>
        <v>6.9127284595300251E-2</v>
      </c>
      <c r="AI79" s="153">
        <f t="shared" si="141"/>
        <v>1.9997177931409686</v>
      </c>
      <c r="AJ79" s="153">
        <f t="shared" si="142"/>
        <v>2.7212068465332164</v>
      </c>
      <c r="AK79" s="153">
        <f t="shared" si="143"/>
        <v>2.4674712310221443</v>
      </c>
      <c r="AM79" s="317">
        <f t="shared" si="144"/>
        <v>370</v>
      </c>
      <c r="AN79" s="147">
        <f t="shared" si="145"/>
        <v>185.06097671860016</v>
      </c>
      <c r="AP79">
        <f t="shared" si="146"/>
        <v>370</v>
      </c>
      <c r="AQ79">
        <f t="shared" si="147"/>
        <v>185.06097671860016</v>
      </c>
      <c r="AS79" s="5">
        <f t="shared" si="175"/>
        <v>5.4036243498302676</v>
      </c>
      <c r="AT79" s="5">
        <f t="shared" si="148"/>
        <v>2.2063839296215266</v>
      </c>
      <c r="AU79" s="5">
        <f t="shared" si="176"/>
        <v>3.197240420208741</v>
      </c>
      <c r="AV79" s="5">
        <f t="shared" si="149"/>
        <v>3.1972404202087397</v>
      </c>
      <c r="AW79" s="153">
        <f t="shared" si="177"/>
        <v>0.40831556503198285</v>
      </c>
      <c r="AX79" s="153">
        <f t="shared" si="150"/>
        <v>6.1666666666666643</v>
      </c>
      <c r="AY79" s="153">
        <f t="shared" si="151"/>
        <v>0.40252393385552648</v>
      </c>
      <c r="AZ79" s="153">
        <f t="shared" si="178"/>
        <v>15.319999999999997</v>
      </c>
      <c r="BA79" s="147">
        <f t="shared" si="152"/>
        <v>16.670079701628925</v>
      </c>
      <c r="BB79" s="147">
        <f t="shared" si="153"/>
        <v>10.416885333333333</v>
      </c>
      <c r="BC79" s="5">
        <f t="shared" si="154"/>
        <v>3.2004408610698101</v>
      </c>
      <c r="BD79" s="147">
        <f t="shared" si="155"/>
        <v>82.405061116382356</v>
      </c>
      <c r="BE79" s="5"/>
      <c r="BF79" s="153">
        <f t="shared" si="179"/>
        <v>1.0039195125132765</v>
      </c>
      <c r="BG79" s="153">
        <f t="shared" si="156"/>
        <v>0.60424908900804097</v>
      </c>
      <c r="BH79" s="153"/>
      <c r="BI79" s="463">
        <f t="shared" si="157"/>
        <v>0.11086398263653842</v>
      </c>
      <c r="BJ79" s="463">
        <f t="shared" si="158"/>
        <v>4.7236666666666663E-2</v>
      </c>
      <c r="BK79" s="463">
        <f t="shared" si="159"/>
        <v>9.2530488359300073E-3</v>
      </c>
      <c r="BL79" s="463">
        <f t="shared" si="160"/>
        <v>1.46542311E-2</v>
      </c>
      <c r="BM79">
        <f t="shared" si="161"/>
        <v>3.2190000000000001E-3</v>
      </c>
      <c r="BN79">
        <f t="shared" si="162"/>
        <v>1.1288719579834611E-5</v>
      </c>
      <c r="BO79" s="463">
        <f t="shared" si="163"/>
        <v>0.20438543810004392</v>
      </c>
      <c r="BP79" s="147">
        <f t="shared" si="180"/>
        <v>204.38543810004393</v>
      </c>
      <c r="BQ79" s="463">
        <f t="shared" si="164"/>
        <v>0.19712987172744484</v>
      </c>
      <c r="BR79" s="463"/>
      <c r="BT79" s="147">
        <f t="shared" si="181"/>
        <v>197.12987172744485</v>
      </c>
      <c r="BU79" s="463">
        <f t="shared" si="165"/>
        <v>8.5667622946416055E-2</v>
      </c>
      <c r="BV79" s="463">
        <f t="shared" si="166"/>
        <v>6.9372222697739017E-2</v>
      </c>
      <c r="BW79" s="463">
        <f t="shared" si="167"/>
        <v>0</v>
      </c>
      <c r="BX79" s="463">
        <f t="shared" si="168"/>
        <v>0.17582542283478356</v>
      </c>
      <c r="BY79" s="463">
        <f t="shared" si="169"/>
        <v>0.68518518518518501</v>
      </c>
      <c r="BZ79" s="147">
        <f t="shared" si="182"/>
        <v>861.01060801996857</v>
      </c>
      <c r="CA79" s="153">
        <f t="shared" si="183"/>
        <v>1.2625259178474573</v>
      </c>
      <c r="CB79" s="5">
        <f t="shared" si="184"/>
        <v>5.55</v>
      </c>
      <c r="CC79" s="153">
        <f t="shared" si="185"/>
        <v>0.81467579968541592</v>
      </c>
      <c r="CD79" s="5">
        <f t="shared" si="186"/>
        <v>81.4675799685416</v>
      </c>
      <c r="CG79" s="59">
        <f t="shared" si="170"/>
        <v>-50</v>
      </c>
      <c r="CH79">
        <f t="shared" si="171"/>
        <v>-50</v>
      </c>
    </row>
    <row r="80" spans="5:86" x14ac:dyDescent="0.25">
      <c r="E80" s="150">
        <v>75</v>
      </c>
      <c r="F80" s="191">
        <f t="shared" si="172"/>
        <v>0.375</v>
      </c>
      <c r="G80" s="191"/>
      <c r="H80" s="191">
        <f t="shared" si="120"/>
        <v>5.625</v>
      </c>
      <c r="I80" s="472">
        <f t="shared" si="121"/>
        <v>11.1</v>
      </c>
      <c r="J80" s="152">
        <f t="shared" si="122"/>
        <v>7.66</v>
      </c>
      <c r="K80" s="386">
        <f t="shared" si="123"/>
        <v>18.759999999999998</v>
      </c>
      <c r="L80" s="386"/>
      <c r="M80" s="191">
        <f t="shared" si="124"/>
        <v>0.40831556503198302</v>
      </c>
      <c r="N80" s="152">
        <f t="shared" si="125"/>
        <v>8.3620986140724956</v>
      </c>
      <c r="O80" s="152">
        <f t="shared" si="173"/>
        <v>5.625</v>
      </c>
      <c r="P80" s="191">
        <f t="shared" si="126"/>
        <v>0.55747324093816641</v>
      </c>
      <c r="Q80" s="191">
        <f t="shared" si="127"/>
        <v>15</v>
      </c>
      <c r="R80" s="191">
        <f t="shared" si="128"/>
        <v>0.61941471215351818</v>
      </c>
      <c r="S80" s="152">
        <f t="shared" si="129"/>
        <v>32.627614999751984</v>
      </c>
      <c r="T80" s="152">
        <f t="shared" si="130"/>
        <v>15</v>
      </c>
      <c r="U80" s="191">
        <f t="shared" si="131"/>
        <v>2.7579799120269088</v>
      </c>
      <c r="V80" s="191">
        <f t="shared" si="132"/>
        <v>2.2361999286704668</v>
      </c>
      <c r="W80" s="191">
        <f t="shared" si="133"/>
        <v>3.2404463718331828</v>
      </c>
      <c r="X80" s="175">
        <f t="shared" si="134"/>
        <v>350</v>
      </c>
      <c r="Y80" s="386">
        <f t="shared" si="174"/>
        <v>182.59349702901883</v>
      </c>
      <c r="AA80" s="191">
        <f t="shared" si="135"/>
        <v>1.4388262767793685</v>
      </c>
      <c r="AB80" s="153">
        <f t="shared" si="136"/>
        <v>1.6905269570514774</v>
      </c>
      <c r="AC80" s="153">
        <f t="shared" si="137"/>
        <v>0.21283277814833412</v>
      </c>
      <c r="AD80" s="153"/>
      <c r="AE80" s="153">
        <f t="shared" si="138"/>
        <v>0.96344647519582249</v>
      </c>
      <c r="AF80" s="317">
        <f t="shared" si="139"/>
        <v>1898.6714257386477</v>
      </c>
      <c r="AG80" s="463">
        <f t="shared" si="140"/>
        <v>6.9127284595300251E-2</v>
      </c>
      <c r="AI80" s="153">
        <f t="shared" si="141"/>
        <v>2.01318405837868</v>
      </c>
      <c r="AJ80" s="153">
        <f t="shared" si="142"/>
        <v>2.7579799120269088</v>
      </c>
      <c r="AK80" s="153">
        <f t="shared" si="143"/>
        <v>2.4919866080179398</v>
      </c>
      <c r="AM80" s="317">
        <f t="shared" si="144"/>
        <v>375</v>
      </c>
      <c r="AN80" s="147">
        <f t="shared" si="145"/>
        <v>182.59349702901883</v>
      </c>
      <c r="AP80">
        <f t="shared" si="146"/>
        <v>375</v>
      </c>
      <c r="AQ80">
        <f t="shared" si="147"/>
        <v>182.59349702901883</v>
      </c>
      <c r="AS80" s="5">
        <f t="shared" si="175"/>
        <v>5.4766463005036492</v>
      </c>
      <c r="AT80" s="5">
        <f t="shared" si="148"/>
        <v>2.2361999286704668</v>
      </c>
      <c r="AU80" s="5">
        <f t="shared" si="176"/>
        <v>3.2404463718331824</v>
      </c>
      <c r="AV80" s="5">
        <f t="shared" si="149"/>
        <v>3.2404463718331828</v>
      </c>
      <c r="AW80" s="153">
        <f t="shared" si="177"/>
        <v>0.40831556503198296</v>
      </c>
      <c r="AX80" s="153">
        <f t="shared" si="150"/>
        <v>6.2499999999999991</v>
      </c>
      <c r="AY80" s="153">
        <f t="shared" si="151"/>
        <v>0.40796344647519572</v>
      </c>
      <c r="AZ80" s="153">
        <f t="shared" si="178"/>
        <v>15.320000000000002</v>
      </c>
      <c r="BA80" s="147">
        <f t="shared" si="152"/>
        <v>16.670079701628925</v>
      </c>
      <c r="BB80" s="147">
        <f t="shared" si="153"/>
        <v>10.685122352081812</v>
      </c>
      <c r="BC80" s="5">
        <f t="shared" si="154"/>
        <v>3.2875237113801461</v>
      </c>
      <c r="BD80" s="147">
        <f t="shared" si="155"/>
        <v>84.624446453551968</v>
      </c>
      <c r="BE80" s="5"/>
      <c r="BF80" s="153">
        <f t="shared" si="179"/>
        <v>1.0174859924121047</v>
      </c>
      <c r="BG80" s="153">
        <f t="shared" si="156"/>
        <v>0.61241461723787938</v>
      </c>
      <c r="BH80" s="153"/>
      <c r="BI80" s="463">
        <f t="shared" si="157"/>
        <v>0.11388055192303301</v>
      </c>
      <c r="BJ80" s="463">
        <f t="shared" si="158"/>
        <v>4.7236666666666663E-2</v>
      </c>
      <c r="BK80" s="463">
        <f t="shared" si="159"/>
        <v>9.1296748514509418E-3</v>
      </c>
      <c r="BL80" s="463">
        <f t="shared" si="160"/>
        <v>1.4458841352000002E-2</v>
      </c>
      <c r="BM80">
        <f t="shared" si="161"/>
        <v>3.2190000000000001E-3</v>
      </c>
      <c r="BN80">
        <f t="shared" si="162"/>
        <v>1.1138203318770149E-5</v>
      </c>
      <c r="BO80" s="463">
        <f t="shared" si="163"/>
        <v>0.20767316035129371</v>
      </c>
      <c r="BP80" s="147">
        <f t="shared" si="180"/>
        <v>207.67316035129372</v>
      </c>
      <c r="BQ80" s="463">
        <f t="shared" si="164"/>
        <v>0.20055789416853131</v>
      </c>
      <c r="BR80" s="463"/>
      <c r="BT80" s="147">
        <f t="shared" si="181"/>
        <v>200.55789416853131</v>
      </c>
      <c r="BU80" s="463">
        <f t="shared" si="165"/>
        <v>8.7998608304161882E-2</v>
      </c>
      <c r="BV80" s="463">
        <f t="shared" si="166"/>
        <v>7.1259816047257479E-2</v>
      </c>
      <c r="BW80" s="463">
        <f t="shared" si="167"/>
        <v>0</v>
      </c>
      <c r="BX80" s="463">
        <f t="shared" si="168"/>
        <v>0.18067130951996224</v>
      </c>
      <c r="BY80" s="463">
        <f t="shared" si="169"/>
        <v>0.69444444444444442</v>
      </c>
      <c r="BZ80" s="147">
        <f t="shared" si="182"/>
        <v>875.11575396440662</v>
      </c>
      <c r="CA80" s="153">
        <f t="shared" si="183"/>
        <v>1.2833468084842317</v>
      </c>
      <c r="CB80" s="5">
        <f t="shared" si="184"/>
        <v>5.625</v>
      </c>
      <c r="CC80" s="153">
        <f t="shared" si="185"/>
        <v>0.81423242867481171</v>
      </c>
      <c r="CD80" s="5">
        <f t="shared" si="186"/>
        <v>81.423242867481179</v>
      </c>
      <c r="CG80" s="59">
        <f t="shared" si="170"/>
        <v>-50</v>
      </c>
      <c r="CH80">
        <f t="shared" si="171"/>
        <v>-50</v>
      </c>
    </row>
    <row r="81" spans="5:86" x14ac:dyDescent="0.25">
      <c r="E81" s="150">
        <v>76</v>
      </c>
      <c r="F81" s="191">
        <f t="shared" si="172"/>
        <v>0.38</v>
      </c>
      <c r="G81" s="191"/>
      <c r="H81" s="191">
        <f t="shared" si="120"/>
        <v>5.7</v>
      </c>
      <c r="I81" s="472">
        <f t="shared" si="121"/>
        <v>11.1</v>
      </c>
      <c r="J81" s="152">
        <f t="shared" si="122"/>
        <v>7.66</v>
      </c>
      <c r="K81" s="386">
        <f t="shared" si="123"/>
        <v>18.759999999999998</v>
      </c>
      <c r="L81" s="386"/>
      <c r="M81" s="191">
        <f t="shared" si="124"/>
        <v>0.40831556503198302</v>
      </c>
      <c r="N81" s="152">
        <f t="shared" si="125"/>
        <v>8.3620986140724956</v>
      </c>
      <c r="O81" s="152">
        <f t="shared" si="173"/>
        <v>5.7</v>
      </c>
      <c r="P81" s="191">
        <f t="shared" si="126"/>
        <v>0.55747324093816641</v>
      </c>
      <c r="Q81" s="191">
        <f t="shared" si="127"/>
        <v>15</v>
      </c>
      <c r="R81" s="191">
        <f t="shared" si="128"/>
        <v>0.61941471215351818</v>
      </c>
      <c r="S81" s="152">
        <f t="shared" si="129"/>
        <v>31.913810756278895</v>
      </c>
      <c r="T81" s="152">
        <f t="shared" si="130"/>
        <v>15</v>
      </c>
      <c r="U81" s="191">
        <f t="shared" si="131"/>
        <v>2.7947529775206008</v>
      </c>
      <c r="V81" s="191">
        <f t="shared" si="132"/>
        <v>2.2660159277194061</v>
      </c>
      <c r="W81" s="191">
        <f t="shared" si="133"/>
        <v>3.2836523234576251</v>
      </c>
      <c r="X81" s="175">
        <f t="shared" si="134"/>
        <v>350</v>
      </c>
      <c r="Y81" s="386">
        <f t="shared" si="174"/>
        <v>180.19095101547907</v>
      </c>
      <c r="AA81" s="191">
        <f t="shared" si="135"/>
        <v>1.4388262767793685</v>
      </c>
      <c r="AB81" s="153">
        <f t="shared" si="136"/>
        <v>1.6905269570514774</v>
      </c>
      <c r="AC81" s="153">
        <f t="shared" si="137"/>
        <v>0.21283277814833412</v>
      </c>
      <c r="AD81" s="153"/>
      <c r="AE81" s="153">
        <f t="shared" si="138"/>
        <v>0.96344647519582249</v>
      </c>
      <c r="AF81" s="317">
        <f t="shared" si="139"/>
        <v>1923.9870447484966</v>
      </c>
      <c r="AG81" s="463">
        <f t="shared" si="140"/>
        <v>6.9127284595300251E-2</v>
      </c>
      <c r="AI81" s="153">
        <f t="shared" si="141"/>
        <v>2.0265608437980638</v>
      </c>
      <c r="AJ81" s="153">
        <f t="shared" si="142"/>
        <v>2.7947529775206008</v>
      </c>
      <c r="AK81" s="153">
        <f t="shared" si="143"/>
        <v>2.5165019850137345</v>
      </c>
      <c r="AM81" s="317">
        <f t="shared" si="144"/>
        <v>380</v>
      </c>
      <c r="AN81" s="147">
        <f t="shared" si="145"/>
        <v>180.19095101547907</v>
      </c>
      <c r="AP81">
        <f t="shared" si="146"/>
        <v>380</v>
      </c>
      <c r="AQ81">
        <f t="shared" si="147"/>
        <v>180.19095101547907</v>
      </c>
      <c r="AS81" s="5">
        <f t="shared" si="175"/>
        <v>5.5496682511770317</v>
      </c>
      <c r="AT81" s="5">
        <f t="shared" si="148"/>
        <v>2.2660159277194061</v>
      </c>
      <c r="AU81" s="5">
        <f t="shared" si="176"/>
        <v>3.2836523234576256</v>
      </c>
      <c r="AV81" s="5">
        <f t="shared" si="149"/>
        <v>3.2836523234576251</v>
      </c>
      <c r="AW81" s="153">
        <f t="shared" si="177"/>
        <v>0.40831556503198291</v>
      </c>
      <c r="AX81" s="153">
        <f t="shared" si="150"/>
        <v>6.3333333333333304</v>
      </c>
      <c r="AY81" s="153">
        <f t="shared" si="151"/>
        <v>0.41340295909486496</v>
      </c>
      <c r="AZ81" s="153">
        <f t="shared" si="178"/>
        <v>15.319999999999999</v>
      </c>
      <c r="BA81" s="147">
        <f t="shared" si="152"/>
        <v>16.670079701628925</v>
      </c>
      <c r="BB81" s="147">
        <f t="shared" si="153"/>
        <v>10.956758525444364</v>
      </c>
      <c r="BC81" s="5">
        <f t="shared" si="154"/>
        <v>3.375775459010085</v>
      </c>
      <c r="BD81" s="147">
        <f t="shared" si="155"/>
        <v>86.873319882193414</v>
      </c>
      <c r="BE81" s="5"/>
      <c r="BF81" s="153">
        <f t="shared" si="179"/>
        <v>1.0310524723109327</v>
      </c>
      <c r="BG81" s="153">
        <f t="shared" si="156"/>
        <v>0.62058014546771767</v>
      </c>
      <c r="BH81" s="153"/>
      <c r="BI81" s="463">
        <f t="shared" si="157"/>
        <v>0.11693761207243351</v>
      </c>
      <c r="BJ81" s="463">
        <f t="shared" si="158"/>
        <v>4.7236666666666649E-2</v>
      </c>
      <c r="BK81" s="463">
        <f t="shared" si="159"/>
        <v>9.0095475507739522E-3</v>
      </c>
      <c r="BL81" s="463">
        <f t="shared" si="160"/>
        <v>1.4268593439473681E-2</v>
      </c>
      <c r="BM81">
        <f t="shared" si="161"/>
        <v>3.2190000000000001E-3</v>
      </c>
      <c r="BN81">
        <f t="shared" si="162"/>
        <v>1.0991648011944225E-5</v>
      </c>
      <c r="BO81" s="463">
        <f t="shared" si="163"/>
        <v>0.21102178171661781</v>
      </c>
      <c r="BP81" s="147">
        <f t="shared" si="180"/>
        <v>211.02178171661782</v>
      </c>
      <c r="BQ81" s="463">
        <f t="shared" si="164"/>
        <v>0.20400629274976653</v>
      </c>
      <c r="BR81" s="463"/>
      <c r="BT81" s="147">
        <f t="shared" si="181"/>
        <v>204.00629274976654</v>
      </c>
      <c r="BU81" s="463">
        <f t="shared" si="165"/>
        <v>9.0360882055971356E-2</v>
      </c>
      <c r="BV81" s="463">
        <f t="shared" si="166"/>
        <v>7.3172746220259391E-2</v>
      </c>
      <c r="BW81" s="463">
        <f t="shared" si="167"/>
        <v>0</v>
      </c>
      <c r="BX81" s="463">
        <f t="shared" si="168"/>
        <v>0.18558562289075684</v>
      </c>
      <c r="BY81" s="463">
        <f t="shared" si="169"/>
        <v>0.7037037037037035</v>
      </c>
      <c r="BZ81" s="147">
        <f t="shared" si="182"/>
        <v>889.28932659446036</v>
      </c>
      <c r="CA81" s="153">
        <f t="shared" si="183"/>
        <v>1.3043174010608447</v>
      </c>
      <c r="CB81" s="5">
        <f t="shared" si="184"/>
        <v>5.7</v>
      </c>
      <c r="CC81" s="153">
        <f t="shared" si="185"/>
        <v>0.81378379556824498</v>
      </c>
      <c r="CD81" s="5">
        <f t="shared" si="186"/>
        <v>81.378379556824498</v>
      </c>
      <c r="CG81" s="59">
        <f t="shared" si="170"/>
        <v>-50</v>
      </c>
      <c r="CH81">
        <f t="shared" si="171"/>
        <v>-50</v>
      </c>
    </row>
    <row r="82" spans="5:86" x14ac:dyDescent="0.25">
      <c r="E82" s="150">
        <v>77</v>
      </c>
      <c r="F82" s="191">
        <f t="shared" si="172"/>
        <v>0.38500000000000001</v>
      </c>
      <c r="G82" s="191"/>
      <c r="H82" s="191">
        <f t="shared" si="120"/>
        <v>5.7750000000000004</v>
      </c>
      <c r="I82" s="472">
        <f t="shared" si="121"/>
        <v>11.1</v>
      </c>
      <c r="J82" s="152">
        <f t="shared" si="122"/>
        <v>7.66</v>
      </c>
      <c r="K82" s="386">
        <f t="shared" si="123"/>
        <v>18.759999999999998</v>
      </c>
      <c r="L82" s="386"/>
      <c r="M82" s="191">
        <f t="shared" si="124"/>
        <v>0.40831556503198302</v>
      </c>
      <c r="N82" s="152">
        <f t="shared" si="125"/>
        <v>8.3620986140724956</v>
      </c>
      <c r="O82" s="152">
        <f t="shared" si="173"/>
        <v>5.7750000000000004</v>
      </c>
      <c r="P82" s="191">
        <f t="shared" si="126"/>
        <v>0.55747324093816641</v>
      </c>
      <c r="Q82" s="191">
        <f t="shared" si="127"/>
        <v>15</v>
      </c>
      <c r="R82" s="191">
        <f t="shared" si="128"/>
        <v>0.61941471215351818</v>
      </c>
      <c r="S82" s="152">
        <f t="shared" si="129"/>
        <v>31.218753191020916</v>
      </c>
      <c r="T82" s="152">
        <f t="shared" si="130"/>
        <v>15</v>
      </c>
      <c r="U82" s="191">
        <f t="shared" si="131"/>
        <v>2.8315260430142932</v>
      </c>
      <c r="V82" s="191">
        <f t="shared" si="132"/>
        <v>2.2958319267683462</v>
      </c>
      <c r="W82" s="191">
        <f t="shared" si="133"/>
        <v>3.3268582750820679</v>
      </c>
      <c r="X82" s="175">
        <f t="shared" si="134"/>
        <v>350</v>
      </c>
      <c r="Y82" s="386">
        <f t="shared" si="174"/>
        <v>177.85080879449882</v>
      </c>
      <c r="AA82" s="191">
        <f t="shared" si="135"/>
        <v>1.4388262767793685</v>
      </c>
      <c r="AB82" s="153">
        <f t="shared" si="136"/>
        <v>1.6905269570514774</v>
      </c>
      <c r="AC82" s="153">
        <f t="shared" si="137"/>
        <v>0.21283277814833412</v>
      </c>
      <c r="AD82" s="153"/>
      <c r="AE82" s="153">
        <f t="shared" si="138"/>
        <v>0.96344647519582249</v>
      </c>
      <c r="AF82" s="317">
        <f t="shared" si="139"/>
        <v>1949.3026637583453</v>
      </c>
      <c r="AG82" s="463">
        <f t="shared" si="140"/>
        <v>6.9127284595300251E-2</v>
      </c>
      <c r="AI82" s="153">
        <f t="shared" si="141"/>
        <v>2.039849909753408</v>
      </c>
      <c r="AJ82" s="153">
        <f t="shared" si="142"/>
        <v>2.8315260430142932</v>
      </c>
      <c r="AK82" s="153">
        <f t="shared" si="143"/>
        <v>2.5410173620095291</v>
      </c>
      <c r="AM82" s="317">
        <f t="shared" si="144"/>
        <v>385</v>
      </c>
      <c r="AN82" s="147">
        <f t="shared" si="145"/>
        <v>177.85080879449882</v>
      </c>
      <c r="AP82">
        <f t="shared" si="146"/>
        <v>385</v>
      </c>
      <c r="AQ82">
        <f t="shared" si="147"/>
        <v>177.85080879449882</v>
      </c>
      <c r="AS82" s="5">
        <f t="shared" si="175"/>
        <v>5.6226902018504141</v>
      </c>
      <c r="AT82" s="5">
        <f t="shared" si="148"/>
        <v>2.2958319267683462</v>
      </c>
      <c r="AU82" s="5">
        <f t="shared" si="176"/>
        <v>3.3268582750820679</v>
      </c>
      <c r="AV82" s="5">
        <f t="shared" si="149"/>
        <v>3.3268582750820679</v>
      </c>
      <c r="AW82" s="153">
        <f t="shared" si="177"/>
        <v>0.40831556503198296</v>
      </c>
      <c r="AX82" s="153">
        <f t="shared" si="150"/>
        <v>6.4166666666666652</v>
      </c>
      <c r="AY82" s="153">
        <f t="shared" si="151"/>
        <v>0.41884247171453431</v>
      </c>
      <c r="AZ82" s="153">
        <f t="shared" si="178"/>
        <v>15.319999999999999</v>
      </c>
      <c r="BA82" s="147">
        <f t="shared" si="152"/>
        <v>16.670079701628925</v>
      </c>
      <c r="BB82" s="147">
        <f t="shared" si="153"/>
        <v>11.231793853420989</v>
      </c>
      <c r="BC82" s="5">
        <f t="shared" si="154"/>
        <v>3.4651961039596246</v>
      </c>
      <c r="BD82" s="147">
        <f t="shared" si="155"/>
        <v>89.151681402306593</v>
      </c>
      <c r="BE82" s="5"/>
      <c r="BF82" s="153">
        <f t="shared" si="179"/>
        <v>1.0446189522097609</v>
      </c>
      <c r="BG82" s="153">
        <f t="shared" si="156"/>
        <v>0.62874567369755618</v>
      </c>
      <c r="BH82" s="153"/>
      <c r="BI82" s="463">
        <f t="shared" si="157"/>
        <v>0.12003516308474005</v>
      </c>
      <c r="BJ82" s="463">
        <f t="shared" si="158"/>
        <v>4.7236666666666663E-2</v>
      </c>
      <c r="BK82" s="463">
        <f t="shared" si="159"/>
        <v>8.8925404397249396E-3</v>
      </c>
      <c r="BL82" s="463">
        <f t="shared" si="160"/>
        <v>1.4083287031168828E-2</v>
      </c>
      <c r="BM82">
        <f t="shared" si="161"/>
        <v>3.2190000000000001E-3</v>
      </c>
      <c r="BN82">
        <f t="shared" si="162"/>
        <v>1.0848899336464429E-5</v>
      </c>
      <c r="BO82" s="463">
        <f t="shared" si="163"/>
        <v>0.21443114993892304</v>
      </c>
      <c r="BP82" s="147">
        <f t="shared" si="180"/>
        <v>214.43114993892303</v>
      </c>
      <c r="BQ82" s="463">
        <f t="shared" si="164"/>
        <v>0.2074750674711506</v>
      </c>
      <c r="BR82" s="463"/>
      <c r="BT82" s="147">
        <f t="shared" si="181"/>
        <v>207.4750674711506</v>
      </c>
      <c r="BU82" s="463">
        <f t="shared" si="165"/>
        <v>9.2754444201844588E-2</v>
      </c>
      <c r="BV82" s="463">
        <f t="shared" si="166"/>
        <v>7.5111013216744821E-2</v>
      </c>
      <c r="BW82" s="463">
        <f t="shared" si="167"/>
        <v>0</v>
      </c>
      <c r="BX82" s="463">
        <f t="shared" si="168"/>
        <v>0.19056850180685073</v>
      </c>
      <c r="BY82" s="463">
        <f t="shared" si="169"/>
        <v>0.71296296296296291</v>
      </c>
      <c r="BZ82" s="147">
        <f t="shared" si="182"/>
        <v>903.53146476981362</v>
      </c>
      <c r="CA82" s="153">
        <f t="shared" si="183"/>
        <v>1.3254376821798872</v>
      </c>
      <c r="CB82" s="5">
        <f t="shared" si="184"/>
        <v>5.7750000000000004</v>
      </c>
      <c r="CC82" s="153">
        <f t="shared" si="185"/>
        <v>0.81333014364644529</v>
      </c>
      <c r="CD82" s="5">
        <f t="shared" si="186"/>
        <v>81.333014364644526</v>
      </c>
      <c r="CG82" s="59">
        <f t="shared" si="170"/>
        <v>-50</v>
      </c>
      <c r="CH82">
        <f t="shared" si="171"/>
        <v>-50</v>
      </c>
    </row>
    <row r="83" spans="5:86" x14ac:dyDescent="0.25">
      <c r="E83" s="150">
        <v>78</v>
      </c>
      <c r="F83" s="191">
        <f t="shared" si="172"/>
        <v>0.39</v>
      </c>
      <c r="G83" s="191"/>
      <c r="H83" s="191">
        <f t="shared" si="120"/>
        <v>5.8500000000000005</v>
      </c>
      <c r="I83" s="472">
        <f t="shared" si="121"/>
        <v>11.1</v>
      </c>
      <c r="J83" s="152">
        <f t="shared" si="122"/>
        <v>7.66</v>
      </c>
      <c r="K83" s="386">
        <f t="shared" si="123"/>
        <v>18.759999999999998</v>
      </c>
      <c r="L83" s="386"/>
      <c r="M83" s="191">
        <f t="shared" si="124"/>
        <v>0.40831556503198302</v>
      </c>
      <c r="N83" s="152">
        <f t="shared" si="125"/>
        <v>8.3620986140724956</v>
      </c>
      <c r="O83" s="152">
        <f t="shared" si="173"/>
        <v>5.8500000000000005</v>
      </c>
      <c r="P83" s="191">
        <f t="shared" si="126"/>
        <v>0.55747324093816641</v>
      </c>
      <c r="Q83" s="191">
        <f t="shared" si="127"/>
        <v>15</v>
      </c>
      <c r="R83" s="191">
        <f t="shared" si="128"/>
        <v>0.61941471215351818</v>
      </c>
      <c r="S83" s="152">
        <f t="shared" si="129"/>
        <v>30.541726490783084</v>
      </c>
      <c r="T83" s="152">
        <f t="shared" si="130"/>
        <v>15</v>
      </c>
      <c r="U83" s="191">
        <f t="shared" si="131"/>
        <v>2.8682991085079852</v>
      </c>
      <c r="V83" s="191">
        <f t="shared" si="132"/>
        <v>2.3256479258172855</v>
      </c>
      <c r="W83" s="191">
        <f t="shared" si="133"/>
        <v>3.3700642267065102</v>
      </c>
      <c r="X83" s="175">
        <f t="shared" si="134"/>
        <v>350</v>
      </c>
      <c r="Y83" s="386">
        <f t="shared" si="174"/>
        <v>175.57067022021039</v>
      </c>
      <c r="AA83" s="191">
        <f t="shared" si="135"/>
        <v>1.4388262767793685</v>
      </c>
      <c r="AB83" s="153">
        <f t="shared" si="136"/>
        <v>1.6905269570514774</v>
      </c>
      <c r="AC83" s="153">
        <f t="shared" si="137"/>
        <v>0.21283277814833412</v>
      </c>
      <c r="AD83" s="153"/>
      <c r="AE83" s="153">
        <f t="shared" si="138"/>
        <v>0.96344647519582249</v>
      </c>
      <c r="AF83" s="317">
        <f t="shared" si="139"/>
        <v>1974.6182827681939</v>
      </c>
      <c r="AG83" s="463">
        <f t="shared" si="140"/>
        <v>6.9127284595300251E-2</v>
      </c>
      <c r="AI83" s="153">
        <f t="shared" si="141"/>
        <v>2.0530529596253615</v>
      </c>
      <c r="AJ83" s="153">
        <f t="shared" si="142"/>
        <v>2.8682991085079852</v>
      </c>
      <c r="AK83" s="153">
        <f t="shared" si="143"/>
        <v>2.5655327390053237</v>
      </c>
      <c r="AM83" s="317">
        <f t="shared" si="144"/>
        <v>390</v>
      </c>
      <c r="AN83" s="147">
        <f t="shared" si="145"/>
        <v>175.57067022021039</v>
      </c>
      <c r="AP83">
        <f t="shared" si="146"/>
        <v>390</v>
      </c>
      <c r="AQ83">
        <f t="shared" si="147"/>
        <v>175.57067022021039</v>
      </c>
      <c r="AS83" s="5">
        <f t="shared" si="175"/>
        <v>5.6957121525237957</v>
      </c>
      <c r="AT83" s="5">
        <f t="shared" si="148"/>
        <v>2.3256479258172855</v>
      </c>
      <c r="AU83" s="5">
        <f t="shared" si="176"/>
        <v>3.3700642267065102</v>
      </c>
      <c r="AV83" s="5">
        <f t="shared" si="149"/>
        <v>3.3700642267065102</v>
      </c>
      <c r="AW83" s="153">
        <f t="shared" si="177"/>
        <v>0.40831556503198296</v>
      </c>
      <c r="AX83" s="153">
        <f t="shared" si="150"/>
        <v>6.4999999999999982</v>
      </c>
      <c r="AY83" s="153">
        <f t="shared" si="151"/>
        <v>0.42428198433420355</v>
      </c>
      <c r="AZ83" s="153">
        <f t="shared" si="178"/>
        <v>15.32</v>
      </c>
      <c r="BA83" s="147">
        <f t="shared" si="152"/>
        <v>16.670079701628925</v>
      </c>
      <c r="BB83" s="147">
        <f t="shared" si="153"/>
        <v>11.510228336011689</v>
      </c>
      <c r="BC83" s="5">
        <f t="shared" si="154"/>
        <v>3.5557856462287667</v>
      </c>
      <c r="BD83" s="147">
        <f t="shared" si="155"/>
        <v>91.459531013891549</v>
      </c>
      <c r="BE83" s="5"/>
      <c r="BF83" s="153">
        <f t="shared" si="179"/>
        <v>1.0581854321085888</v>
      </c>
      <c r="BG83" s="153">
        <f t="shared" si="156"/>
        <v>0.63691120192739448</v>
      </c>
      <c r="BH83" s="153"/>
      <c r="BI83" s="463">
        <f t="shared" si="157"/>
        <v>0.12317320495995249</v>
      </c>
      <c r="BJ83" s="463">
        <f t="shared" si="158"/>
        <v>4.7236666666666663E-2</v>
      </c>
      <c r="BK83" s="463">
        <f t="shared" si="159"/>
        <v>8.7785335110105202E-3</v>
      </c>
      <c r="BL83" s="463">
        <f t="shared" si="160"/>
        <v>1.3902732069230766E-2</v>
      </c>
      <c r="BM83">
        <f t="shared" si="161"/>
        <v>3.2190000000000001E-3</v>
      </c>
      <c r="BN83">
        <f t="shared" si="162"/>
        <v>1.0709810883432834E-5</v>
      </c>
      <c r="BO83" s="463">
        <f t="shared" si="163"/>
        <v>0.21790113235160719</v>
      </c>
      <c r="BP83" s="147">
        <f t="shared" si="180"/>
        <v>217.90113235160717</v>
      </c>
      <c r="BQ83" s="463">
        <f t="shared" si="164"/>
        <v>0.21096421833268345</v>
      </c>
      <c r="BR83" s="463"/>
      <c r="BT83" s="147">
        <f t="shared" si="181"/>
        <v>210.96421833268346</v>
      </c>
      <c r="BU83" s="463">
        <f t="shared" si="165"/>
        <v>9.5179294741781467E-2</v>
      </c>
      <c r="BV83" s="463">
        <f t="shared" si="166"/>
        <v>7.7074617036713672E-2</v>
      </c>
      <c r="BW83" s="463">
        <f t="shared" si="167"/>
        <v>0</v>
      </c>
      <c r="BX83" s="463">
        <f t="shared" si="168"/>
        <v>0.19562008721148488</v>
      </c>
      <c r="BY83" s="463">
        <f t="shared" si="169"/>
        <v>0.7222222222222221</v>
      </c>
      <c r="BZ83" s="147">
        <f t="shared" si="182"/>
        <v>917.84230943370687</v>
      </c>
      <c r="CA83" s="153">
        <f t="shared" si="183"/>
        <v>1.3467076601179977</v>
      </c>
      <c r="CB83" s="5">
        <f t="shared" si="184"/>
        <v>5.8500000000000005</v>
      </c>
      <c r="CC83" s="153">
        <f t="shared" si="185"/>
        <v>0.81287170137797193</v>
      </c>
      <c r="CD83" s="5">
        <f t="shared" si="186"/>
        <v>81.28717013779719</v>
      </c>
      <c r="CG83" s="59">
        <f t="shared" si="170"/>
        <v>-50</v>
      </c>
      <c r="CH83">
        <f t="shared" si="171"/>
        <v>-50</v>
      </c>
    </row>
    <row r="84" spans="5:86" x14ac:dyDescent="0.25">
      <c r="E84" s="150">
        <v>79</v>
      </c>
      <c r="F84" s="191">
        <f t="shared" si="172"/>
        <v>0.39500000000000002</v>
      </c>
      <c r="G84" s="191"/>
      <c r="H84" s="191">
        <f t="shared" si="120"/>
        <v>5.9250000000000007</v>
      </c>
      <c r="I84" s="472">
        <f t="shared" si="121"/>
        <v>11.1</v>
      </c>
      <c r="J84" s="152">
        <f t="shared" si="122"/>
        <v>7.66</v>
      </c>
      <c r="K84" s="386">
        <f t="shared" si="123"/>
        <v>18.759999999999998</v>
      </c>
      <c r="L84" s="386"/>
      <c r="M84" s="191">
        <f t="shared" si="124"/>
        <v>0.40831556503198302</v>
      </c>
      <c r="N84" s="152">
        <f t="shared" si="125"/>
        <v>8.3620986140724956</v>
      </c>
      <c r="O84" s="152">
        <f t="shared" si="173"/>
        <v>5.9250000000000007</v>
      </c>
      <c r="P84" s="191">
        <f t="shared" si="126"/>
        <v>0.55747324093816641</v>
      </c>
      <c r="Q84" s="191">
        <f t="shared" si="127"/>
        <v>15</v>
      </c>
      <c r="R84" s="191">
        <f t="shared" si="128"/>
        <v>0.61941471215351818</v>
      </c>
      <c r="S84" s="152">
        <f t="shared" si="129"/>
        <v>29.882051254708792</v>
      </c>
      <c r="T84" s="152">
        <f t="shared" si="130"/>
        <v>15</v>
      </c>
      <c r="U84" s="191">
        <f t="shared" si="131"/>
        <v>2.9050721740016776</v>
      </c>
      <c r="V84" s="191">
        <f t="shared" si="132"/>
        <v>2.3554639248662252</v>
      </c>
      <c r="W84" s="191">
        <f t="shared" si="133"/>
        <v>3.4132701783309529</v>
      </c>
      <c r="X84" s="175">
        <f t="shared" si="134"/>
        <v>350</v>
      </c>
      <c r="Y84" s="386">
        <f t="shared" si="174"/>
        <v>173.3482566731191</v>
      </c>
      <c r="AA84" s="191">
        <f t="shared" si="135"/>
        <v>1.4388262767793685</v>
      </c>
      <c r="AB84" s="153">
        <f t="shared" si="136"/>
        <v>1.6905269570514774</v>
      </c>
      <c r="AC84" s="153">
        <f t="shared" si="137"/>
        <v>0.21283277814833412</v>
      </c>
      <c r="AD84" s="153"/>
      <c r="AE84" s="153">
        <f t="shared" si="138"/>
        <v>0.96344647519582249</v>
      </c>
      <c r="AF84" s="317">
        <f t="shared" si="139"/>
        <v>1999.9339017780426</v>
      </c>
      <c r="AG84" s="463">
        <f t="shared" si="140"/>
        <v>6.9127284595300251E-2</v>
      </c>
      <c r="AI84" s="153">
        <f t="shared" si="141"/>
        <v>2.0661716423695111</v>
      </c>
      <c r="AJ84" s="153">
        <f t="shared" si="142"/>
        <v>2.9050721740016776</v>
      </c>
      <c r="AK84" s="153">
        <f t="shared" si="143"/>
        <v>2.5900481160011184</v>
      </c>
      <c r="AM84" s="317">
        <f t="shared" si="144"/>
        <v>395</v>
      </c>
      <c r="AN84" s="147">
        <f t="shared" si="145"/>
        <v>173.3482566731191</v>
      </c>
      <c r="AP84">
        <f t="shared" si="146"/>
        <v>395</v>
      </c>
      <c r="AQ84">
        <f t="shared" si="147"/>
        <v>173.3482566731191</v>
      </c>
      <c r="AS84" s="5">
        <f t="shared" si="175"/>
        <v>5.7687341031971782</v>
      </c>
      <c r="AT84" s="5">
        <f t="shared" si="148"/>
        <v>2.3554639248662252</v>
      </c>
      <c r="AU84" s="5">
        <f t="shared" si="176"/>
        <v>3.4132701783309529</v>
      </c>
      <c r="AV84" s="5">
        <f t="shared" si="149"/>
        <v>3.4132701783309529</v>
      </c>
      <c r="AW84" s="153">
        <f t="shared" si="177"/>
        <v>0.40831556503198296</v>
      </c>
      <c r="AX84" s="153">
        <f t="shared" si="150"/>
        <v>6.5833333333333321</v>
      </c>
      <c r="AY84" s="153">
        <f t="shared" si="151"/>
        <v>0.42972149695387285</v>
      </c>
      <c r="AZ84" s="153">
        <f t="shared" si="178"/>
        <v>15.32</v>
      </c>
      <c r="BA84" s="147">
        <f t="shared" si="152"/>
        <v>16.670079701628925</v>
      </c>
      <c r="BB84" s="147">
        <f t="shared" si="153"/>
        <v>11.792061973216462</v>
      </c>
      <c r="BC84" s="5">
        <f t="shared" si="154"/>
        <v>3.6475440858175108</v>
      </c>
      <c r="BD84" s="147">
        <f t="shared" si="155"/>
        <v>93.79686871694831</v>
      </c>
      <c r="BE84" s="5"/>
      <c r="BF84" s="153">
        <f t="shared" si="179"/>
        <v>1.071751912007417</v>
      </c>
      <c r="BG84" s="153">
        <f t="shared" si="156"/>
        <v>0.64507673015723299</v>
      </c>
      <c r="BH84" s="153"/>
      <c r="BI84" s="463">
        <f t="shared" si="157"/>
        <v>0.12635173769807098</v>
      </c>
      <c r="BJ84" s="463">
        <f t="shared" si="158"/>
        <v>4.7236666666666663E-2</v>
      </c>
      <c r="BK84" s="463">
        <f t="shared" si="159"/>
        <v>8.6674128336559544E-3</v>
      </c>
      <c r="BL84" s="463">
        <f t="shared" si="160"/>
        <v>1.3726748118987338E-2</v>
      </c>
      <c r="BM84">
        <f t="shared" si="161"/>
        <v>3.2190000000000001E-3</v>
      </c>
      <c r="BN84">
        <f t="shared" si="162"/>
        <v>1.0574243657060266E-5</v>
      </c>
      <c r="BO84" s="463">
        <f t="shared" si="163"/>
        <v>0.22143161483911883</v>
      </c>
      <c r="BP84" s="147">
        <f t="shared" si="180"/>
        <v>221.43161483911882</v>
      </c>
      <c r="BQ84" s="463">
        <f t="shared" si="164"/>
        <v>0.21447374533436514</v>
      </c>
      <c r="BR84" s="463"/>
      <c r="BT84" s="147">
        <f t="shared" si="181"/>
        <v>214.47374533436513</v>
      </c>
      <c r="BU84" s="463">
        <f t="shared" si="165"/>
        <v>9.7635433675782118E-2</v>
      </c>
      <c r="BV84" s="463">
        <f t="shared" si="166"/>
        <v>7.9063557680166041E-2</v>
      </c>
      <c r="BW84" s="463">
        <f t="shared" si="167"/>
        <v>0</v>
      </c>
      <c r="BX84" s="463">
        <f t="shared" si="168"/>
        <v>0.20074052214159688</v>
      </c>
      <c r="BY84" s="463">
        <f t="shared" si="169"/>
        <v>0.7314814814814814</v>
      </c>
      <c r="BZ84" s="147">
        <f t="shared" si="182"/>
        <v>932.22200362307831</v>
      </c>
      <c r="CA84" s="153">
        <f t="shared" si="183"/>
        <v>1.3681273637965623</v>
      </c>
      <c r="CB84" s="5">
        <f t="shared" si="184"/>
        <v>5.9250000000000007</v>
      </c>
      <c r="CC84" s="153">
        <f t="shared" si="185"/>
        <v>0.81240868346986339</v>
      </c>
      <c r="CD84" s="5">
        <f t="shared" si="186"/>
        <v>81.240868346986332</v>
      </c>
      <c r="CG84" s="59">
        <f t="shared" si="170"/>
        <v>-50</v>
      </c>
      <c r="CH84">
        <f t="shared" si="171"/>
        <v>-50</v>
      </c>
    </row>
    <row r="85" spans="5:86" x14ac:dyDescent="0.25">
      <c r="E85" s="150">
        <v>80</v>
      </c>
      <c r="F85" s="191">
        <f t="shared" si="172"/>
        <v>0.4</v>
      </c>
      <c r="G85" s="191"/>
      <c r="H85" s="191">
        <f t="shared" si="120"/>
        <v>6</v>
      </c>
      <c r="I85" s="472">
        <f t="shared" si="121"/>
        <v>11.1</v>
      </c>
      <c r="J85" s="152">
        <f t="shared" si="122"/>
        <v>7.66</v>
      </c>
      <c r="K85" s="386">
        <f t="shared" si="123"/>
        <v>18.759999999999998</v>
      </c>
      <c r="L85" s="386"/>
      <c r="M85" s="191">
        <f t="shared" si="124"/>
        <v>0.40831556503198302</v>
      </c>
      <c r="N85" s="152">
        <f t="shared" si="125"/>
        <v>8.3620986140724956</v>
      </c>
      <c r="O85" s="152">
        <f t="shared" si="173"/>
        <v>6</v>
      </c>
      <c r="P85" s="191">
        <f t="shared" si="126"/>
        <v>0.55747324093816641</v>
      </c>
      <c r="Q85" s="191">
        <f t="shared" si="127"/>
        <v>15</v>
      </c>
      <c r="R85" s="191">
        <f t="shared" si="128"/>
        <v>0.61941471215351818</v>
      </c>
      <c r="S85" s="152">
        <f t="shared" si="129"/>
        <v>29.239082224996903</v>
      </c>
      <c r="T85" s="152">
        <f t="shared" si="130"/>
        <v>15</v>
      </c>
      <c r="U85" s="191">
        <f t="shared" si="131"/>
        <v>2.9418452394953691</v>
      </c>
      <c r="V85" s="191">
        <f t="shared" si="132"/>
        <v>2.3852799239151645</v>
      </c>
      <c r="W85" s="191">
        <f t="shared" si="133"/>
        <v>3.4564761299553948</v>
      </c>
      <c r="X85" s="175">
        <f t="shared" si="134"/>
        <v>350</v>
      </c>
      <c r="Y85" s="386">
        <f t="shared" si="174"/>
        <v>171.18140346470511</v>
      </c>
      <c r="AA85" s="191">
        <f t="shared" si="135"/>
        <v>1.4388262767793685</v>
      </c>
      <c r="AB85" s="153">
        <f t="shared" si="136"/>
        <v>1.6905269570514774</v>
      </c>
      <c r="AC85" s="153">
        <f t="shared" si="137"/>
        <v>0.21283277814833412</v>
      </c>
      <c r="AD85" s="153"/>
      <c r="AE85" s="153">
        <f t="shared" si="138"/>
        <v>0.96344647519582249</v>
      </c>
      <c r="AF85" s="317">
        <f t="shared" si="139"/>
        <v>2025.2495207878912</v>
      </c>
      <c r="AG85" s="463">
        <f t="shared" si="140"/>
        <v>6.9127284595300251E-2</v>
      </c>
      <c r="AI85" s="153">
        <f t="shared" si="141"/>
        <v>2.0792075549202367</v>
      </c>
      <c r="AJ85" s="153">
        <f t="shared" si="142"/>
        <v>2.9418452394953691</v>
      </c>
      <c r="AK85" s="153">
        <f t="shared" si="143"/>
        <v>2.614563492996913</v>
      </c>
      <c r="AM85" s="317">
        <f t="shared" si="144"/>
        <v>400</v>
      </c>
      <c r="AN85" s="147">
        <f t="shared" si="145"/>
        <v>171.18140346470511</v>
      </c>
      <c r="AP85">
        <f t="shared" si="146"/>
        <v>400</v>
      </c>
      <c r="AQ85">
        <f t="shared" si="147"/>
        <v>171.18140346470511</v>
      </c>
      <c r="AS85" s="5">
        <f t="shared" si="175"/>
        <v>5.8417560538705597</v>
      </c>
      <c r="AT85" s="5">
        <f t="shared" si="148"/>
        <v>2.3852799239151645</v>
      </c>
      <c r="AU85" s="5">
        <f t="shared" si="176"/>
        <v>3.4564761299553952</v>
      </c>
      <c r="AV85" s="5">
        <f t="shared" si="149"/>
        <v>3.4564761299553948</v>
      </c>
      <c r="AW85" s="153">
        <f t="shared" si="177"/>
        <v>0.40831556503198291</v>
      </c>
      <c r="AX85" s="153">
        <f t="shared" si="150"/>
        <v>6.6666666666666625</v>
      </c>
      <c r="AY85" s="153">
        <f t="shared" si="151"/>
        <v>0.43516100957354203</v>
      </c>
      <c r="AZ85" s="153">
        <f t="shared" si="178"/>
        <v>15.319999999999997</v>
      </c>
      <c r="BA85" s="147">
        <f t="shared" si="152"/>
        <v>16.670079701628925</v>
      </c>
      <c r="BB85" s="147">
        <f t="shared" si="153"/>
        <v>12.077294765035308</v>
      </c>
      <c r="BC85" s="5">
        <f t="shared" si="154"/>
        <v>3.740471422725856</v>
      </c>
      <c r="BD85" s="147">
        <f t="shared" si="155"/>
        <v>96.163694511476805</v>
      </c>
      <c r="BE85" s="5"/>
      <c r="BF85" s="153">
        <f t="shared" si="179"/>
        <v>1.0853183919062448</v>
      </c>
      <c r="BG85" s="153">
        <f t="shared" si="156"/>
        <v>0.65324225838707117</v>
      </c>
      <c r="BH85" s="153"/>
      <c r="BI85" s="463">
        <f t="shared" si="157"/>
        <v>0.12957076129909528</v>
      </c>
      <c r="BJ85" s="463">
        <f t="shared" si="158"/>
        <v>4.7236666666666642E-2</v>
      </c>
      <c r="BK85" s="463">
        <f t="shared" si="159"/>
        <v>8.5590701732352545E-3</v>
      </c>
      <c r="BL85" s="463">
        <f t="shared" si="160"/>
        <v>1.3555163767499996E-2</v>
      </c>
      <c r="BM85">
        <f t="shared" si="161"/>
        <v>3.2190000000000001E-3</v>
      </c>
      <c r="BN85">
        <f t="shared" si="162"/>
        <v>1.0442065611347013E-5</v>
      </c>
      <c r="BO85" s="463">
        <f t="shared" si="163"/>
        <v>0.22502250087751566</v>
      </c>
      <c r="BP85" s="147">
        <f t="shared" si="180"/>
        <v>225.02250087751565</v>
      </c>
      <c r="BQ85" s="463">
        <f t="shared" si="164"/>
        <v>0.21800364847619558</v>
      </c>
      <c r="BR85" s="463"/>
      <c r="BT85" s="147">
        <f t="shared" si="181"/>
        <v>218.00364847619556</v>
      </c>
      <c r="BU85" s="463">
        <f t="shared" si="165"/>
        <v>0.10012286100384638</v>
      </c>
      <c r="BV85" s="463">
        <f t="shared" si="166"/>
        <v>8.1077835147101804E-2</v>
      </c>
      <c r="BW85" s="463">
        <f t="shared" si="167"/>
        <v>0</v>
      </c>
      <c r="BX85" s="463">
        <f t="shared" si="168"/>
        <v>0.20592995173812434</v>
      </c>
      <c r="BY85" s="463">
        <f t="shared" si="169"/>
        <v>0.74074074074074037</v>
      </c>
      <c r="BZ85" s="147">
        <f t="shared" si="182"/>
        <v>946.67069247886468</v>
      </c>
      <c r="CA85" s="153">
        <f t="shared" si="183"/>
        <v>1.3896968418325759</v>
      </c>
      <c r="CB85" s="5">
        <f t="shared" si="184"/>
        <v>6</v>
      </c>
      <c r="CC85" s="153">
        <f t="shared" si="185"/>
        <v>0.81194129183140562</v>
      </c>
      <c r="CD85" s="5">
        <f t="shared" si="186"/>
        <v>81.194129183140561</v>
      </c>
      <c r="CG85" s="59">
        <f t="shared" si="170"/>
        <v>-50</v>
      </c>
      <c r="CH85">
        <f t="shared" si="171"/>
        <v>-50</v>
      </c>
    </row>
    <row r="86" spans="5:86" x14ac:dyDescent="0.25">
      <c r="E86" s="150">
        <v>81</v>
      </c>
      <c r="F86" s="191">
        <f t="shared" si="172"/>
        <v>0.40500000000000003</v>
      </c>
      <c r="G86" s="191"/>
      <c r="H86" s="191">
        <f t="shared" si="120"/>
        <v>6.0750000000000002</v>
      </c>
      <c r="I86" s="472">
        <f t="shared" si="121"/>
        <v>11.1</v>
      </c>
      <c r="J86" s="152">
        <f t="shared" si="122"/>
        <v>7.66</v>
      </c>
      <c r="K86" s="386">
        <f t="shared" si="123"/>
        <v>18.759999999999998</v>
      </c>
      <c r="L86" s="386"/>
      <c r="M86" s="191">
        <f t="shared" si="124"/>
        <v>0.40831556503198302</v>
      </c>
      <c r="N86" s="152">
        <f t="shared" si="125"/>
        <v>8.3620986140724956</v>
      </c>
      <c r="O86" s="152">
        <f t="shared" si="173"/>
        <v>6.0750000000000002</v>
      </c>
      <c r="P86" s="191">
        <f t="shared" si="126"/>
        <v>0.55747324093816641</v>
      </c>
      <c r="Q86" s="191">
        <f t="shared" si="127"/>
        <v>15</v>
      </c>
      <c r="R86" s="191">
        <f t="shared" si="128"/>
        <v>0.61941471215351818</v>
      </c>
      <c r="S86" s="152">
        <f t="shared" si="129"/>
        <v>28.612206185994399</v>
      </c>
      <c r="T86" s="152">
        <f t="shared" si="130"/>
        <v>15</v>
      </c>
      <c r="U86" s="191">
        <f t="shared" si="131"/>
        <v>2.9786183049890615</v>
      </c>
      <c r="V86" s="191">
        <f t="shared" si="132"/>
        <v>2.4150959229641042</v>
      </c>
      <c r="W86" s="191">
        <f t="shared" si="133"/>
        <v>3.4996820815798375</v>
      </c>
      <c r="X86" s="175">
        <f t="shared" si="134"/>
        <v>350</v>
      </c>
      <c r="Y86" s="386">
        <f t="shared" si="174"/>
        <v>169.06805280464704</v>
      </c>
      <c r="AA86" s="191">
        <f t="shared" si="135"/>
        <v>1.4388262767793685</v>
      </c>
      <c r="AB86" s="153">
        <f t="shared" si="136"/>
        <v>1.6905269570514774</v>
      </c>
      <c r="AC86" s="153">
        <f t="shared" si="137"/>
        <v>0.21283277814833412</v>
      </c>
      <c r="AD86" s="153"/>
      <c r="AE86" s="153">
        <f t="shared" si="138"/>
        <v>0.96344647519582249</v>
      </c>
      <c r="AF86" s="317">
        <f t="shared" si="139"/>
        <v>2050.5651397977399</v>
      </c>
      <c r="AG86" s="463">
        <f t="shared" si="140"/>
        <v>6.9127284595300251E-2</v>
      </c>
      <c r="AI86" s="153">
        <f t="shared" si="141"/>
        <v>2.0921622444597499</v>
      </c>
      <c r="AJ86" s="153">
        <f t="shared" si="142"/>
        <v>2.9786183049890615</v>
      </c>
      <c r="AK86" s="153">
        <f t="shared" si="143"/>
        <v>2.6390788699927077</v>
      </c>
      <c r="AM86" s="317">
        <f t="shared" si="144"/>
        <v>405</v>
      </c>
      <c r="AN86" s="147">
        <f t="shared" si="145"/>
        <v>169.06805280464704</v>
      </c>
      <c r="AP86">
        <f t="shared" si="146"/>
        <v>405</v>
      </c>
      <c r="AQ86">
        <f t="shared" si="147"/>
        <v>169.06805280464704</v>
      </c>
      <c r="AS86" s="5">
        <f t="shared" si="175"/>
        <v>5.9147780045439413</v>
      </c>
      <c r="AT86" s="5">
        <f t="shared" si="148"/>
        <v>2.4150959229641042</v>
      </c>
      <c r="AU86" s="5">
        <f t="shared" si="176"/>
        <v>3.4996820815798371</v>
      </c>
      <c r="AV86" s="5">
        <f t="shared" si="149"/>
        <v>3.4996820815798375</v>
      </c>
      <c r="AW86" s="153">
        <f t="shared" si="177"/>
        <v>0.40831556503198296</v>
      </c>
      <c r="AX86" s="153">
        <f t="shared" si="150"/>
        <v>6.7499999999999982</v>
      </c>
      <c r="AY86" s="153">
        <f t="shared" si="151"/>
        <v>0.44060052219321139</v>
      </c>
      <c r="AZ86" s="153">
        <f t="shared" si="178"/>
        <v>15.32</v>
      </c>
      <c r="BA86" s="147">
        <f t="shared" si="152"/>
        <v>16.670079701628925</v>
      </c>
      <c r="BB86" s="147">
        <f t="shared" si="153"/>
        <v>12.36592671146823</v>
      </c>
      <c r="BC86" s="5">
        <f t="shared" si="154"/>
        <v>3.8345676569538023</v>
      </c>
      <c r="BD86" s="147">
        <f t="shared" si="155"/>
        <v>98.560008397477077</v>
      </c>
      <c r="BE86" s="5"/>
      <c r="BF86" s="153">
        <f t="shared" si="179"/>
        <v>1.098884871805073</v>
      </c>
      <c r="BG86" s="153">
        <f t="shared" si="156"/>
        <v>0.66140778661690969</v>
      </c>
      <c r="BH86" s="153"/>
      <c r="BI86" s="463">
        <f t="shared" si="157"/>
        <v>0.1328302757630257</v>
      </c>
      <c r="BJ86" s="463">
        <f t="shared" si="158"/>
        <v>4.7236666666666649E-2</v>
      </c>
      <c r="BK86" s="463">
        <f t="shared" si="159"/>
        <v>8.453402640232352E-3</v>
      </c>
      <c r="BL86" s="463">
        <f t="shared" si="160"/>
        <v>1.3387816066666664E-2</v>
      </c>
      <c r="BM86">
        <f t="shared" si="161"/>
        <v>3.2190000000000001E-3</v>
      </c>
      <c r="BN86">
        <f t="shared" si="162"/>
        <v>1.0313151221083471E-5</v>
      </c>
      <c r="BO86" s="463">
        <f t="shared" si="163"/>
        <v>0.22867371064815076</v>
      </c>
      <c r="BP86" s="147">
        <f t="shared" si="180"/>
        <v>228.67371064815075</v>
      </c>
      <c r="BQ86" s="463">
        <f t="shared" si="164"/>
        <v>0.22155392775817492</v>
      </c>
      <c r="BR86" s="463"/>
      <c r="BT86" s="147">
        <f t="shared" si="181"/>
        <v>221.55392775817492</v>
      </c>
      <c r="BU86" s="463">
        <f t="shared" si="165"/>
        <v>0.1026415767259744</v>
      </c>
      <c r="BV86" s="463">
        <f t="shared" si="166"/>
        <v>8.3117449437521113E-2</v>
      </c>
      <c r="BW86" s="463">
        <f t="shared" si="167"/>
        <v>0</v>
      </c>
      <c r="BX86" s="463">
        <f t="shared" si="168"/>
        <v>0.21118852325647738</v>
      </c>
      <c r="BY86" s="463">
        <f t="shared" si="169"/>
        <v>0.75</v>
      </c>
      <c r="BZ86" s="147">
        <f t="shared" si="182"/>
        <v>961.18852325647742</v>
      </c>
      <c r="CA86" s="153">
        <f t="shared" si="183"/>
        <v>1.4114161616628031</v>
      </c>
      <c r="CB86" s="5">
        <f t="shared" si="184"/>
        <v>6.0750000000000002</v>
      </c>
      <c r="CC86" s="153">
        <f t="shared" si="185"/>
        <v>0.81146971645918831</v>
      </c>
      <c r="CD86" s="5">
        <f t="shared" si="186"/>
        <v>81.146971645918825</v>
      </c>
      <c r="CG86" s="59">
        <f t="shared" si="170"/>
        <v>-50</v>
      </c>
      <c r="CH86">
        <f t="shared" si="171"/>
        <v>-50</v>
      </c>
    </row>
    <row r="87" spans="5:86" x14ac:dyDescent="0.25">
      <c r="E87" s="150">
        <v>82</v>
      </c>
      <c r="F87" s="191">
        <f t="shared" si="172"/>
        <v>0.41</v>
      </c>
      <c r="G87" s="191"/>
      <c r="H87" s="191">
        <f t="shared" si="120"/>
        <v>6.1499999999999995</v>
      </c>
      <c r="I87" s="472">
        <f t="shared" si="121"/>
        <v>11.1</v>
      </c>
      <c r="J87" s="152">
        <f t="shared" si="122"/>
        <v>7.66</v>
      </c>
      <c r="K87" s="386">
        <f t="shared" si="123"/>
        <v>18.759999999999998</v>
      </c>
      <c r="L87" s="386"/>
      <c r="M87" s="191">
        <f t="shared" si="124"/>
        <v>0.40831556503198302</v>
      </c>
      <c r="N87" s="152">
        <f t="shared" si="125"/>
        <v>8.3620986140724956</v>
      </c>
      <c r="O87" s="152">
        <f t="shared" si="173"/>
        <v>6.1499999999999995</v>
      </c>
      <c r="P87" s="191">
        <f t="shared" si="126"/>
        <v>0.55747324093816641</v>
      </c>
      <c r="Q87" s="191">
        <f t="shared" si="127"/>
        <v>15</v>
      </c>
      <c r="R87" s="191">
        <f t="shared" si="128"/>
        <v>0.61941471215351818</v>
      </c>
      <c r="S87" s="152">
        <f t="shared" si="129"/>
        <v>28.000840017303851</v>
      </c>
      <c r="T87" s="152">
        <f t="shared" si="130"/>
        <v>15</v>
      </c>
      <c r="U87" s="191">
        <f t="shared" si="131"/>
        <v>3.0153913704827531</v>
      </c>
      <c r="V87" s="191">
        <f t="shared" si="132"/>
        <v>2.4449119220130435</v>
      </c>
      <c r="W87" s="191">
        <f t="shared" si="133"/>
        <v>3.5428880332042794</v>
      </c>
      <c r="X87" s="175">
        <f t="shared" si="134"/>
        <v>350</v>
      </c>
      <c r="Y87" s="386">
        <f t="shared" si="174"/>
        <v>167.00624728263918</v>
      </c>
      <c r="AA87" s="191">
        <f t="shared" si="135"/>
        <v>1.4388262767793685</v>
      </c>
      <c r="AB87" s="153">
        <f t="shared" si="136"/>
        <v>1.6905269570514774</v>
      </c>
      <c r="AC87" s="153">
        <f t="shared" si="137"/>
        <v>0.21283277814833412</v>
      </c>
      <c r="AD87" s="153"/>
      <c r="AE87" s="153">
        <f t="shared" si="138"/>
        <v>0.96344647519582249</v>
      </c>
      <c r="AF87" s="317">
        <f t="shared" si="139"/>
        <v>2075.8807588075883</v>
      </c>
      <c r="AG87" s="463">
        <f t="shared" si="140"/>
        <v>6.9127284595300251E-2</v>
      </c>
      <c r="AI87" s="153">
        <f t="shared" si="141"/>
        <v>2.1050372105614485</v>
      </c>
      <c r="AJ87" s="153">
        <f t="shared" si="142"/>
        <v>3.0153913704827531</v>
      </c>
      <c r="AK87" s="153">
        <f t="shared" si="143"/>
        <v>2.6635942469885023</v>
      </c>
      <c r="AM87" s="317">
        <f t="shared" si="144"/>
        <v>410</v>
      </c>
      <c r="AN87" s="147">
        <f t="shared" si="145"/>
        <v>167.00624728263918</v>
      </c>
      <c r="AP87">
        <f t="shared" si="146"/>
        <v>410</v>
      </c>
      <c r="AQ87">
        <f t="shared" si="147"/>
        <v>167.00624728263918</v>
      </c>
      <c r="AS87" s="5">
        <f t="shared" si="175"/>
        <v>5.9877999552173229</v>
      </c>
      <c r="AT87" s="5">
        <f t="shared" si="148"/>
        <v>2.4449119220130435</v>
      </c>
      <c r="AU87" s="5">
        <f t="shared" si="176"/>
        <v>3.5428880332042794</v>
      </c>
      <c r="AV87" s="5">
        <f t="shared" si="149"/>
        <v>3.5428880332042794</v>
      </c>
      <c r="AW87" s="153">
        <f t="shared" si="177"/>
        <v>0.40831556503198296</v>
      </c>
      <c r="AX87" s="153">
        <f t="shared" si="150"/>
        <v>6.8333333333333295</v>
      </c>
      <c r="AY87" s="153">
        <f t="shared" si="151"/>
        <v>0.44604003481288057</v>
      </c>
      <c r="AZ87" s="153">
        <f t="shared" si="178"/>
        <v>15.319999999999999</v>
      </c>
      <c r="BA87" s="147">
        <f t="shared" si="152"/>
        <v>16.670079701628925</v>
      </c>
      <c r="BB87" s="147">
        <f t="shared" si="153"/>
        <v>12.657957812515216</v>
      </c>
      <c r="BC87" s="5">
        <f t="shared" si="154"/>
        <v>3.9298327885013506</v>
      </c>
      <c r="BD87" s="147">
        <f t="shared" si="155"/>
        <v>100.98581037494912</v>
      </c>
      <c r="BE87" s="5"/>
      <c r="BF87" s="153">
        <f t="shared" si="179"/>
        <v>1.1124513517039007</v>
      </c>
      <c r="BG87" s="153">
        <f t="shared" si="156"/>
        <v>0.66957331484674798</v>
      </c>
      <c r="BH87" s="153"/>
      <c r="BI87" s="463">
        <f t="shared" si="157"/>
        <v>0.13613028108986197</v>
      </c>
      <c r="BJ87" s="463">
        <f t="shared" si="158"/>
        <v>4.7236666666666663E-2</v>
      </c>
      <c r="BK87" s="463">
        <f t="shared" si="159"/>
        <v>8.3503123641319593E-3</v>
      </c>
      <c r="BL87" s="463">
        <f t="shared" si="160"/>
        <v>1.3224550017073171E-2</v>
      </c>
      <c r="BM87">
        <f t="shared" si="161"/>
        <v>3.2190000000000001E-3</v>
      </c>
      <c r="BN87">
        <f t="shared" si="162"/>
        <v>1.0187381084240991E-5</v>
      </c>
      <c r="BO87" s="463">
        <f t="shared" si="163"/>
        <v>0.23238518021828033</v>
      </c>
      <c r="BP87" s="147">
        <f t="shared" si="180"/>
        <v>232.38518021828034</v>
      </c>
      <c r="BQ87" s="463">
        <f t="shared" si="164"/>
        <v>0.22512458318030296</v>
      </c>
      <c r="BR87" s="463"/>
      <c r="BT87" s="147">
        <f t="shared" si="181"/>
        <v>225.12458318030295</v>
      </c>
      <c r="BU87" s="463">
        <f t="shared" si="165"/>
        <v>0.10519158084216607</v>
      </c>
      <c r="BV87" s="463">
        <f t="shared" si="166"/>
        <v>8.5182400551423829E-2</v>
      </c>
      <c r="BW87" s="463">
        <f t="shared" si="167"/>
        <v>0</v>
      </c>
      <c r="BX87" s="463">
        <f t="shared" si="168"/>
        <v>0.21651638607717782</v>
      </c>
      <c r="BY87" s="463">
        <f t="shared" si="169"/>
        <v>0.75925925925925897</v>
      </c>
      <c r="BZ87" s="147">
        <f t="shared" si="182"/>
        <v>975.77564533643681</v>
      </c>
      <c r="CA87" s="153">
        <f t="shared" si="183"/>
        <v>1.4332854087350202</v>
      </c>
      <c r="CB87" s="5">
        <f t="shared" si="184"/>
        <v>6.1499999999999995</v>
      </c>
      <c r="CC87" s="153">
        <f t="shared" si="185"/>
        <v>0.81099413625075356</v>
      </c>
      <c r="CD87" s="5">
        <f t="shared" si="186"/>
        <v>81.099413625075357</v>
      </c>
      <c r="CG87" s="59">
        <f t="shared" si="170"/>
        <v>-50</v>
      </c>
      <c r="CH87">
        <f t="shared" si="171"/>
        <v>-50</v>
      </c>
    </row>
    <row r="88" spans="5:86" x14ac:dyDescent="0.25">
      <c r="E88" s="150">
        <v>83</v>
      </c>
      <c r="F88" s="191">
        <f t="shared" si="172"/>
        <v>0.41499999999999998</v>
      </c>
      <c r="G88" s="191"/>
      <c r="H88" s="191">
        <f t="shared" si="120"/>
        <v>6.2249999999999996</v>
      </c>
      <c r="I88" s="472">
        <f t="shared" si="121"/>
        <v>11.1</v>
      </c>
      <c r="J88" s="152">
        <f t="shared" si="122"/>
        <v>7.66</v>
      </c>
      <c r="K88" s="386">
        <f t="shared" si="123"/>
        <v>18.759999999999998</v>
      </c>
      <c r="L88" s="386"/>
      <c r="M88" s="191">
        <f t="shared" si="124"/>
        <v>0.40831556503198302</v>
      </c>
      <c r="N88" s="152">
        <f t="shared" si="125"/>
        <v>8.3620986140724956</v>
      </c>
      <c r="O88" s="152">
        <f t="shared" si="173"/>
        <v>6.2249999999999996</v>
      </c>
      <c r="P88" s="191">
        <f t="shared" si="126"/>
        <v>0.55747324093816641</v>
      </c>
      <c r="Q88" s="191">
        <f t="shared" si="127"/>
        <v>15</v>
      </c>
      <c r="R88" s="191">
        <f t="shared" si="128"/>
        <v>0.61941471215351818</v>
      </c>
      <c r="S88" s="152">
        <f t="shared" si="129"/>
        <v>27.40442888792975</v>
      </c>
      <c r="T88" s="152">
        <f t="shared" si="130"/>
        <v>15</v>
      </c>
      <c r="U88" s="191">
        <f t="shared" si="131"/>
        <v>3.0521644359764455</v>
      </c>
      <c r="V88" s="191">
        <f t="shared" si="132"/>
        <v>2.4747279210619832</v>
      </c>
      <c r="W88" s="191">
        <f t="shared" si="133"/>
        <v>3.5860939848287217</v>
      </c>
      <c r="X88" s="175">
        <f t="shared" si="134"/>
        <v>350</v>
      </c>
      <c r="Y88" s="386">
        <f t="shared" si="174"/>
        <v>164.99412382140255</v>
      </c>
      <c r="AA88" s="191">
        <f t="shared" si="135"/>
        <v>1.4388262767793685</v>
      </c>
      <c r="AB88" s="153">
        <f t="shared" si="136"/>
        <v>1.6905269570514774</v>
      </c>
      <c r="AC88" s="153">
        <f t="shared" si="137"/>
        <v>0.21283277814833412</v>
      </c>
      <c r="AD88" s="153"/>
      <c r="AE88" s="153">
        <f t="shared" si="138"/>
        <v>0.96344647519582249</v>
      </c>
      <c r="AF88" s="317">
        <f t="shared" si="139"/>
        <v>2101.1963778174372</v>
      </c>
      <c r="AG88" s="463">
        <f t="shared" si="140"/>
        <v>6.9127284595300251E-2</v>
      </c>
      <c r="AI88" s="153">
        <f t="shared" si="141"/>
        <v>2.1178339072160006</v>
      </c>
      <c r="AJ88" s="153">
        <f t="shared" si="142"/>
        <v>3.0521644359764455</v>
      </c>
      <c r="AK88" s="153">
        <f t="shared" si="143"/>
        <v>2.688109623984297</v>
      </c>
      <c r="AM88" s="317">
        <f t="shared" si="144"/>
        <v>415</v>
      </c>
      <c r="AN88" s="147">
        <f t="shared" si="145"/>
        <v>164.99412382140255</v>
      </c>
      <c r="AP88">
        <f t="shared" si="146"/>
        <v>415</v>
      </c>
      <c r="AQ88">
        <f t="shared" si="147"/>
        <v>164.99412382140255</v>
      </c>
      <c r="AS88" s="5">
        <f t="shared" si="175"/>
        <v>6.0608219058907054</v>
      </c>
      <c r="AT88" s="5">
        <f t="shared" si="148"/>
        <v>2.4747279210619832</v>
      </c>
      <c r="AU88" s="5">
        <f t="shared" si="176"/>
        <v>3.5860939848287221</v>
      </c>
      <c r="AV88" s="5">
        <f t="shared" si="149"/>
        <v>3.5860939848287217</v>
      </c>
      <c r="AW88" s="153">
        <f t="shared" si="177"/>
        <v>0.40831556503198296</v>
      </c>
      <c r="AX88" s="153">
        <f t="shared" si="150"/>
        <v>6.9166666666666643</v>
      </c>
      <c r="AY88" s="153">
        <f t="shared" si="151"/>
        <v>0.45147954743254987</v>
      </c>
      <c r="AZ88" s="153">
        <f t="shared" si="178"/>
        <v>15.32</v>
      </c>
      <c r="BA88" s="147">
        <f t="shared" si="152"/>
        <v>16.670079701628925</v>
      </c>
      <c r="BB88" s="147">
        <f t="shared" si="153"/>
        <v>12.953388068176285</v>
      </c>
      <c r="BC88" s="5">
        <f t="shared" si="154"/>
        <v>4.0262668173685023</v>
      </c>
      <c r="BD88" s="147">
        <f t="shared" si="155"/>
        <v>103.44110044389295</v>
      </c>
      <c r="BE88" s="5"/>
      <c r="BF88" s="153">
        <f t="shared" si="179"/>
        <v>1.1260178316027289</v>
      </c>
      <c r="BG88" s="153">
        <f t="shared" si="156"/>
        <v>0.67773884307658638</v>
      </c>
      <c r="BH88" s="153"/>
      <c r="BI88" s="463">
        <f t="shared" si="157"/>
        <v>0.13947077727960427</v>
      </c>
      <c r="BJ88" s="463">
        <f t="shared" si="158"/>
        <v>4.7236666666666663E-2</v>
      </c>
      <c r="BK88" s="463">
        <f t="shared" si="159"/>
        <v>8.2497061910701275E-3</v>
      </c>
      <c r="BL88" s="463">
        <f t="shared" si="160"/>
        <v>1.3065218089156625E-2</v>
      </c>
      <c r="BM88">
        <f t="shared" si="161"/>
        <v>3.2190000000000001E-3</v>
      </c>
      <c r="BN88">
        <f t="shared" si="162"/>
        <v>1.0064641553105556E-5</v>
      </c>
      <c r="BO88" s="463">
        <f t="shared" si="163"/>
        <v>0.23615686078299405</v>
      </c>
      <c r="BP88" s="147">
        <f t="shared" si="180"/>
        <v>236.15686078299404</v>
      </c>
      <c r="BQ88" s="463">
        <f t="shared" si="164"/>
        <v>0.2287156147425799</v>
      </c>
      <c r="BR88" s="463"/>
      <c r="BT88" s="147">
        <f t="shared" si="181"/>
        <v>228.7156147425799</v>
      </c>
      <c r="BU88" s="463">
        <f t="shared" si="165"/>
        <v>0.1077728733524215</v>
      </c>
      <c r="BV88" s="463">
        <f t="shared" si="166"/>
        <v>8.7272688488810063E-2</v>
      </c>
      <c r="BW88" s="463">
        <f t="shared" si="167"/>
        <v>0</v>
      </c>
      <c r="BX88" s="463">
        <f t="shared" si="168"/>
        <v>0.22191369171667055</v>
      </c>
      <c r="BY88" s="463">
        <f t="shared" si="169"/>
        <v>0.76851851851851827</v>
      </c>
      <c r="BZ88" s="147">
        <f t="shared" si="182"/>
        <v>990.43221023518879</v>
      </c>
      <c r="CA88" s="153">
        <f t="shared" si="183"/>
        <v>1.4553046857607628</v>
      </c>
      <c r="CB88" s="5">
        <f t="shared" si="184"/>
        <v>6.2249999999999996</v>
      </c>
      <c r="CC88" s="153">
        <f t="shared" si="185"/>
        <v>0.81051471975338574</v>
      </c>
      <c r="CD88" s="5">
        <f t="shared" si="186"/>
        <v>81.051471975338572</v>
      </c>
      <c r="CG88" s="59">
        <f t="shared" si="170"/>
        <v>-50</v>
      </c>
      <c r="CH88">
        <f t="shared" si="171"/>
        <v>-50</v>
      </c>
    </row>
    <row r="89" spans="5:86" x14ac:dyDescent="0.25">
      <c r="E89" s="150">
        <v>84</v>
      </c>
      <c r="F89" s="191">
        <f t="shared" si="172"/>
        <v>0.42</v>
      </c>
      <c r="G89" s="191"/>
      <c r="H89" s="191">
        <f t="shared" si="120"/>
        <v>6.3</v>
      </c>
      <c r="I89" s="472">
        <f t="shared" si="121"/>
        <v>11.1</v>
      </c>
      <c r="J89" s="152">
        <f t="shared" si="122"/>
        <v>7.66</v>
      </c>
      <c r="K89" s="386">
        <f t="shared" si="123"/>
        <v>18.759999999999998</v>
      </c>
      <c r="L89" s="386"/>
      <c r="M89" s="191">
        <f t="shared" si="124"/>
        <v>0.40831556503198302</v>
      </c>
      <c r="N89" s="152">
        <f t="shared" si="125"/>
        <v>8.3620986140724956</v>
      </c>
      <c r="O89" s="152">
        <f t="shared" si="173"/>
        <v>6.3</v>
      </c>
      <c r="P89" s="191">
        <f t="shared" si="126"/>
        <v>0.55747324093816641</v>
      </c>
      <c r="Q89" s="191">
        <f t="shared" si="127"/>
        <v>15</v>
      </c>
      <c r="R89" s="191">
        <f t="shared" si="128"/>
        <v>0.61941471215351818</v>
      </c>
      <c r="S89" s="152">
        <f t="shared" si="129"/>
        <v>26.822444579724234</v>
      </c>
      <c r="T89" s="152">
        <f t="shared" si="130"/>
        <v>15</v>
      </c>
      <c r="U89" s="191">
        <f t="shared" si="131"/>
        <v>3.0889375014701375</v>
      </c>
      <c r="V89" s="191">
        <f t="shared" si="132"/>
        <v>2.5045439201109225</v>
      </c>
      <c r="W89" s="191">
        <f t="shared" si="133"/>
        <v>3.6292999364531644</v>
      </c>
      <c r="X89" s="175">
        <f t="shared" si="134"/>
        <v>350</v>
      </c>
      <c r="Y89" s="386">
        <f t="shared" si="174"/>
        <v>163.02990806162396</v>
      </c>
      <c r="AA89" s="191">
        <f t="shared" si="135"/>
        <v>1.4388262767793685</v>
      </c>
      <c r="AB89" s="153">
        <f t="shared" si="136"/>
        <v>1.6905269570514774</v>
      </c>
      <c r="AC89" s="153">
        <f t="shared" si="137"/>
        <v>0.21283277814833412</v>
      </c>
      <c r="AD89" s="153"/>
      <c r="AE89" s="153">
        <f t="shared" si="138"/>
        <v>0.96344647519582249</v>
      </c>
      <c r="AF89" s="317">
        <f t="shared" si="139"/>
        <v>2126.5119968272857</v>
      </c>
      <c r="AG89" s="463">
        <f t="shared" si="140"/>
        <v>6.9127284595300251E-2</v>
      </c>
      <c r="AI89" s="153">
        <f t="shared" si="141"/>
        <v>2.1305537447478904</v>
      </c>
      <c r="AJ89" s="153">
        <f t="shared" si="142"/>
        <v>3.0889375014701375</v>
      </c>
      <c r="AK89" s="153">
        <f t="shared" si="143"/>
        <v>2.7126250009800916</v>
      </c>
      <c r="AM89" s="317">
        <f t="shared" si="144"/>
        <v>420</v>
      </c>
      <c r="AN89" s="147">
        <f t="shared" si="145"/>
        <v>163.02990806162396</v>
      </c>
      <c r="AP89">
        <f t="shared" si="146"/>
        <v>420</v>
      </c>
      <c r="AQ89">
        <f t="shared" si="147"/>
        <v>163.02990806162396</v>
      </c>
      <c r="AS89" s="5">
        <f t="shared" si="175"/>
        <v>6.1338438565640869</v>
      </c>
      <c r="AT89" s="5">
        <f t="shared" si="148"/>
        <v>2.5045439201109225</v>
      </c>
      <c r="AU89" s="5">
        <f t="shared" si="176"/>
        <v>3.6292999364531644</v>
      </c>
      <c r="AV89" s="5">
        <f t="shared" si="149"/>
        <v>3.6292999364531644</v>
      </c>
      <c r="AW89" s="153">
        <f t="shared" si="177"/>
        <v>0.40831556503198296</v>
      </c>
      <c r="AX89" s="153">
        <f t="shared" si="150"/>
        <v>6.9999999999999973</v>
      </c>
      <c r="AY89" s="153">
        <f t="shared" si="151"/>
        <v>0.45691906005221916</v>
      </c>
      <c r="AZ89" s="153">
        <f t="shared" si="178"/>
        <v>15.32</v>
      </c>
      <c r="BA89" s="147">
        <f t="shared" si="152"/>
        <v>16.670079701628925</v>
      </c>
      <c r="BB89" s="147">
        <f t="shared" si="153"/>
        <v>13.252217478451424</v>
      </c>
      <c r="BC89" s="5">
        <f t="shared" si="154"/>
        <v>4.1238697435552547</v>
      </c>
      <c r="BD89" s="147">
        <f t="shared" si="155"/>
        <v>105.92587860430855</v>
      </c>
      <c r="BE89" s="5"/>
      <c r="BF89" s="153">
        <f t="shared" si="179"/>
        <v>1.1395843115015569</v>
      </c>
      <c r="BG89" s="153">
        <f t="shared" si="156"/>
        <v>0.68590437130642479</v>
      </c>
      <c r="BH89" s="153"/>
      <c r="BI89" s="463">
        <f t="shared" si="157"/>
        <v>0.14285176433225252</v>
      </c>
      <c r="BJ89" s="463">
        <f t="shared" si="158"/>
        <v>4.7236666666666663E-2</v>
      </c>
      <c r="BK89" s="463">
        <f t="shared" si="159"/>
        <v>8.1514954030811968E-3</v>
      </c>
      <c r="BL89" s="463">
        <f t="shared" si="160"/>
        <v>1.2909679778571428E-2</v>
      </c>
      <c r="BM89">
        <f t="shared" si="161"/>
        <v>3.2190000000000001E-3</v>
      </c>
      <c r="BN89">
        <f t="shared" si="162"/>
        <v>9.9448243917590628E-6</v>
      </c>
      <c r="BO89" s="463">
        <f t="shared" si="163"/>
        <v>0.23998871796339485</v>
      </c>
      <c r="BP89" s="147">
        <f t="shared" si="180"/>
        <v>239.98871796339486</v>
      </c>
      <c r="BQ89" s="463">
        <f t="shared" si="164"/>
        <v>0.23232702244500564</v>
      </c>
      <c r="BR89" s="463"/>
      <c r="BT89" s="147">
        <f t="shared" si="181"/>
        <v>232.32702244500564</v>
      </c>
      <c r="BU89" s="463">
        <f t="shared" si="165"/>
        <v>0.11038545425674059</v>
      </c>
      <c r="BV89" s="463">
        <f t="shared" si="166"/>
        <v>8.938831324967976E-2</v>
      </c>
      <c r="BW89" s="463">
        <f t="shared" si="167"/>
        <v>0</v>
      </c>
      <c r="BX89" s="463">
        <f t="shared" si="168"/>
        <v>0.22738059383830483</v>
      </c>
      <c r="BY89" s="463">
        <f t="shared" si="169"/>
        <v>0.77777777777777768</v>
      </c>
      <c r="BZ89" s="147">
        <f t="shared" si="182"/>
        <v>1005.1583716160826</v>
      </c>
      <c r="CA89" s="153">
        <f t="shared" si="183"/>
        <v>1.477474112024483</v>
      </c>
      <c r="CB89" s="5">
        <f t="shared" si="184"/>
        <v>6.3</v>
      </c>
      <c r="CC89" s="153">
        <f t="shared" si="185"/>
        <v>0.81003162585392452</v>
      </c>
      <c r="CD89" s="5">
        <f t="shared" si="186"/>
        <v>81.003162585392445</v>
      </c>
      <c r="CG89" s="59">
        <f t="shared" si="170"/>
        <v>-50</v>
      </c>
      <c r="CH89">
        <f t="shared" si="171"/>
        <v>-50</v>
      </c>
    </row>
    <row r="90" spans="5:86" x14ac:dyDescent="0.25">
      <c r="E90" s="150">
        <v>85</v>
      </c>
      <c r="F90" s="191">
        <f t="shared" si="172"/>
        <v>0.42499999999999999</v>
      </c>
      <c r="G90" s="191"/>
      <c r="H90" s="191">
        <f t="shared" si="120"/>
        <v>6.375</v>
      </c>
      <c r="I90" s="472">
        <f t="shared" si="121"/>
        <v>11.1</v>
      </c>
      <c r="J90" s="152">
        <f t="shared" si="122"/>
        <v>7.66</v>
      </c>
      <c r="K90" s="386">
        <f t="shared" si="123"/>
        <v>18.759999999999998</v>
      </c>
      <c r="L90" s="386"/>
      <c r="M90" s="191">
        <f t="shared" si="124"/>
        <v>0.40831556503198302</v>
      </c>
      <c r="N90" s="152">
        <f t="shared" si="125"/>
        <v>8.3620986140724956</v>
      </c>
      <c r="O90" s="152">
        <f t="shared" si="173"/>
        <v>6.375</v>
      </c>
      <c r="P90" s="191">
        <f t="shared" si="126"/>
        <v>0.55747324093816641</v>
      </c>
      <c r="Q90" s="191">
        <f t="shared" si="127"/>
        <v>15</v>
      </c>
      <c r="R90" s="191">
        <f t="shared" si="128"/>
        <v>0.61941471215351818</v>
      </c>
      <c r="S90" s="152">
        <f t="shared" si="129"/>
        <v>26.254383929497891</v>
      </c>
      <c r="T90" s="152">
        <f t="shared" si="130"/>
        <v>15</v>
      </c>
      <c r="U90" s="191">
        <f t="shared" si="131"/>
        <v>3.1257105669638299</v>
      </c>
      <c r="V90" s="191">
        <f t="shared" si="132"/>
        <v>2.5343599191598623</v>
      </c>
      <c r="W90" s="191">
        <f t="shared" si="133"/>
        <v>3.6725058880776071</v>
      </c>
      <c r="X90" s="175">
        <f t="shared" si="134"/>
        <v>350</v>
      </c>
      <c r="Y90" s="386">
        <f t="shared" si="174"/>
        <v>161.11190914325192</v>
      </c>
      <c r="AA90" s="191">
        <f t="shared" si="135"/>
        <v>1.4388262767793685</v>
      </c>
      <c r="AB90" s="153">
        <f t="shared" si="136"/>
        <v>1.6905269570514774</v>
      </c>
      <c r="AC90" s="153">
        <f t="shared" si="137"/>
        <v>0.21283277814833412</v>
      </c>
      <c r="AD90" s="153"/>
      <c r="AE90" s="153">
        <f t="shared" si="138"/>
        <v>0.96344647519582249</v>
      </c>
      <c r="AF90" s="317">
        <f t="shared" si="139"/>
        <v>2151.8276158371341</v>
      </c>
      <c r="AG90" s="463">
        <f t="shared" si="140"/>
        <v>6.9127284595300251E-2</v>
      </c>
      <c r="AI90" s="153">
        <f t="shared" si="141"/>
        <v>2.1431980916295923</v>
      </c>
      <c r="AJ90" s="153">
        <f t="shared" si="142"/>
        <v>3.1257105669638299</v>
      </c>
      <c r="AK90" s="153">
        <f t="shared" si="143"/>
        <v>2.7371403779758872</v>
      </c>
      <c r="AM90" s="317">
        <f t="shared" si="144"/>
        <v>425</v>
      </c>
      <c r="AN90" s="147">
        <f t="shared" si="145"/>
        <v>161.11190914325192</v>
      </c>
      <c r="AP90">
        <f t="shared" si="146"/>
        <v>425</v>
      </c>
      <c r="AQ90">
        <f t="shared" si="147"/>
        <v>161.11190914325192</v>
      </c>
      <c r="AS90" s="5">
        <f t="shared" si="175"/>
        <v>6.2068658072374685</v>
      </c>
      <c r="AT90" s="5">
        <f t="shared" si="148"/>
        <v>2.5343599191598623</v>
      </c>
      <c r="AU90" s="5">
        <f t="shared" si="176"/>
        <v>3.6725058880776063</v>
      </c>
      <c r="AV90" s="5">
        <f t="shared" si="149"/>
        <v>3.6725058880776071</v>
      </c>
      <c r="AW90" s="153">
        <f t="shared" si="177"/>
        <v>0.40831556503198302</v>
      </c>
      <c r="AX90" s="153">
        <f t="shared" si="150"/>
        <v>7.0833333333333313</v>
      </c>
      <c r="AY90" s="153">
        <f t="shared" si="151"/>
        <v>0.46235857267188846</v>
      </c>
      <c r="AZ90" s="153">
        <f t="shared" si="178"/>
        <v>15.32</v>
      </c>
      <c r="BA90" s="147">
        <f t="shared" si="152"/>
        <v>16.670079701628925</v>
      </c>
      <c r="BB90" s="147">
        <f t="shared" si="153"/>
        <v>13.554446043340638</v>
      </c>
      <c r="BC90" s="5">
        <f t="shared" si="154"/>
        <v>4.2226415670616086</v>
      </c>
      <c r="BD90" s="147">
        <f t="shared" si="155"/>
        <v>108.44014485619591</v>
      </c>
      <c r="BE90" s="5"/>
      <c r="BF90" s="153">
        <f t="shared" si="179"/>
        <v>1.1531507914003853</v>
      </c>
      <c r="BG90" s="153">
        <f t="shared" si="156"/>
        <v>0.69406989953626319</v>
      </c>
      <c r="BH90" s="153"/>
      <c r="BI90" s="463">
        <f t="shared" si="157"/>
        <v>0.14627324224780686</v>
      </c>
      <c r="BJ90" s="463">
        <f t="shared" si="158"/>
        <v>4.723666666666667E-2</v>
      </c>
      <c r="BK90" s="463">
        <f t="shared" si="159"/>
        <v>8.0555954571625947E-3</v>
      </c>
      <c r="BL90" s="463">
        <f t="shared" si="160"/>
        <v>1.2757801192941178E-2</v>
      </c>
      <c r="BM90">
        <f t="shared" si="161"/>
        <v>3.2190000000000001E-3</v>
      </c>
      <c r="BN90">
        <f t="shared" si="162"/>
        <v>9.827826457738367E-6</v>
      </c>
      <c r="BO90" s="463">
        <f t="shared" si="163"/>
        <v>0.24388073115643827</v>
      </c>
      <c r="BP90" s="147">
        <f t="shared" si="180"/>
        <v>243.88073115643826</v>
      </c>
      <c r="BQ90" s="463">
        <f t="shared" si="164"/>
        <v>0.23595880628758015</v>
      </c>
      <c r="BR90" s="463"/>
      <c r="BT90" s="147">
        <f t="shared" si="181"/>
        <v>235.95880628758016</v>
      </c>
      <c r="BU90" s="463">
        <f t="shared" si="165"/>
        <v>0.11302932355512349</v>
      </c>
      <c r="BV90" s="463">
        <f t="shared" si="166"/>
        <v>9.1529274834032906E-2</v>
      </c>
      <c r="BW90" s="463">
        <f t="shared" si="167"/>
        <v>0</v>
      </c>
      <c r="BX90" s="463">
        <f t="shared" si="168"/>
        <v>0.23291724826349031</v>
      </c>
      <c r="BY90" s="463">
        <f t="shared" si="169"/>
        <v>0.78703703703703698</v>
      </c>
      <c r="BZ90" s="147">
        <f t="shared" si="182"/>
        <v>1019.9542853005272</v>
      </c>
      <c r="CA90" s="153">
        <f t="shared" si="183"/>
        <v>1.4997938227445458</v>
      </c>
      <c r="CB90" s="5">
        <f t="shared" si="184"/>
        <v>6.375</v>
      </c>
      <c r="CC90" s="153">
        <f t="shared" si="185"/>
        <v>0.80954500441487964</v>
      </c>
      <c r="CD90" s="5">
        <f t="shared" si="186"/>
        <v>80.954500441487966</v>
      </c>
      <c r="CG90" s="59">
        <f t="shared" si="170"/>
        <v>-50</v>
      </c>
      <c r="CH90">
        <f t="shared" si="171"/>
        <v>-50</v>
      </c>
    </row>
    <row r="91" spans="5:86" x14ac:dyDescent="0.25">
      <c r="E91" s="150">
        <v>86</v>
      </c>
      <c r="F91" s="191">
        <f t="shared" si="172"/>
        <v>0.43</v>
      </c>
      <c r="G91" s="191"/>
      <c r="H91" s="191">
        <f t="shared" si="120"/>
        <v>6.45</v>
      </c>
      <c r="I91" s="472">
        <f t="shared" si="121"/>
        <v>11.1</v>
      </c>
      <c r="J91" s="152">
        <f t="shared" si="122"/>
        <v>7.66</v>
      </c>
      <c r="K91" s="386">
        <f t="shared" si="123"/>
        <v>18.759999999999998</v>
      </c>
      <c r="L91" s="386"/>
      <c r="M91" s="191">
        <f t="shared" si="124"/>
        <v>0.40831556503198302</v>
      </c>
      <c r="N91" s="152">
        <f t="shared" si="125"/>
        <v>8.3620986140724956</v>
      </c>
      <c r="O91" s="152">
        <f t="shared" si="173"/>
        <v>6.45</v>
      </c>
      <c r="P91" s="191">
        <f t="shared" si="126"/>
        <v>0.55747324093816641</v>
      </c>
      <c r="Q91" s="191">
        <f t="shared" si="127"/>
        <v>15</v>
      </c>
      <c r="R91" s="191">
        <f t="shared" si="128"/>
        <v>0.61941471215351818</v>
      </c>
      <c r="S91" s="152">
        <f t="shared" si="129"/>
        <v>25.699767380151584</v>
      </c>
      <c r="T91" s="152">
        <f t="shared" si="130"/>
        <v>15</v>
      </c>
      <c r="U91" s="191">
        <f t="shared" si="131"/>
        <v>3.1624836324575218</v>
      </c>
      <c r="V91" s="191">
        <f t="shared" si="132"/>
        <v>2.5641759182088015</v>
      </c>
      <c r="W91" s="191">
        <f t="shared" si="133"/>
        <v>3.7157118397020494</v>
      </c>
      <c r="X91" s="175">
        <f t="shared" si="134"/>
        <v>350</v>
      </c>
      <c r="Y91" s="386">
        <f t="shared" si="174"/>
        <v>159.23851485088852</v>
      </c>
      <c r="AA91" s="191">
        <f t="shared" si="135"/>
        <v>1.4388262767793685</v>
      </c>
      <c r="AB91" s="153">
        <f t="shared" si="136"/>
        <v>1.6905269570514774</v>
      </c>
      <c r="AC91" s="153">
        <f t="shared" si="137"/>
        <v>0.21283277814833412</v>
      </c>
      <c r="AD91" s="153"/>
      <c r="AE91" s="153">
        <f t="shared" si="138"/>
        <v>0.96344647519582249</v>
      </c>
      <c r="AF91" s="317">
        <f t="shared" si="139"/>
        <v>2177.1432348469825</v>
      </c>
      <c r="AG91" s="463">
        <f t="shared" si="140"/>
        <v>6.9127284595300251E-2</v>
      </c>
      <c r="AI91" s="153">
        <f t="shared" si="141"/>
        <v>2.155768276199971</v>
      </c>
      <c r="AJ91" s="153">
        <f t="shared" si="142"/>
        <v>3.1624836324575218</v>
      </c>
      <c r="AK91" s="153">
        <f t="shared" si="143"/>
        <v>2.7616557549716818</v>
      </c>
      <c r="AM91" s="317">
        <f t="shared" si="144"/>
        <v>430</v>
      </c>
      <c r="AN91" s="147">
        <f t="shared" si="145"/>
        <v>159.23851485088852</v>
      </c>
      <c r="AP91">
        <f t="shared" si="146"/>
        <v>430</v>
      </c>
      <c r="AQ91">
        <f t="shared" si="147"/>
        <v>159.23851485088852</v>
      </c>
      <c r="AS91" s="5">
        <f t="shared" si="175"/>
        <v>6.279887757910851</v>
      </c>
      <c r="AT91" s="5">
        <f t="shared" si="148"/>
        <v>2.5641759182088015</v>
      </c>
      <c r="AU91" s="5">
        <f t="shared" si="176"/>
        <v>3.7157118397020494</v>
      </c>
      <c r="AV91" s="5">
        <f t="shared" si="149"/>
        <v>3.7157118397020494</v>
      </c>
      <c r="AW91" s="153">
        <f t="shared" si="177"/>
        <v>0.40831556503198291</v>
      </c>
      <c r="AX91" s="153">
        <f t="shared" si="150"/>
        <v>7.1666666666666652</v>
      </c>
      <c r="AY91" s="153">
        <f t="shared" si="151"/>
        <v>0.4677980852915577</v>
      </c>
      <c r="AZ91" s="153">
        <f t="shared" si="178"/>
        <v>15.320000000000002</v>
      </c>
      <c r="BA91" s="147">
        <f t="shared" si="152"/>
        <v>16.670079701628925</v>
      </c>
      <c r="BB91" s="147">
        <f t="shared" si="153"/>
        <v>13.860073762843925</v>
      </c>
      <c r="BC91" s="5">
        <f t="shared" si="154"/>
        <v>4.3225822878875659</v>
      </c>
      <c r="BD91" s="147">
        <f t="shared" si="155"/>
        <v>110.98389919955511</v>
      </c>
      <c r="BE91" s="5"/>
      <c r="BF91" s="153">
        <f t="shared" si="179"/>
        <v>1.1667172712992131</v>
      </c>
      <c r="BG91" s="153">
        <f t="shared" si="156"/>
        <v>0.70223542776610159</v>
      </c>
      <c r="BH91" s="153"/>
      <c r="BI91" s="463">
        <f t="shared" si="157"/>
        <v>0.14973521102626697</v>
      </c>
      <c r="BJ91" s="463">
        <f t="shared" si="158"/>
        <v>4.7236666666666663E-2</v>
      </c>
      <c r="BK91" s="463">
        <f t="shared" si="159"/>
        <v>7.9619257425444252E-3</v>
      </c>
      <c r="BL91" s="463">
        <f t="shared" si="160"/>
        <v>1.2609454667441861E-2</v>
      </c>
      <c r="BM91">
        <f t="shared" si="161"/>
        <v>3.2190000000000001E-3</v>
      </c>
      <c r="BN91">
        <f t="shared" si="162"/>
        <v>9.7135494059042007E-6</v>
      </c>
      <c r="BO91" s="463">
        <f t="shared" si="163"/>
        <v>0.24783289293226632</v>
      </c>
      <c r="BP91" s="147">
        <f t="shared" si="180"/>
        <v>247.83289293226633</v>
      </c>
      <c r="BQ91" s="463">
        <f t="shared" si="164"/>
        <v>0.23961096627030354</v>
      </c>
      <c r="BR91" s="463"/>
      <c r="BT91" s="147">
        <f t="shared" si="181"/>
        <v>239.61096627030355</v>
      </c>
      <c r="BU91" s="463">
        <f t="shared" si="165"/>
        <v>0.11570448124756993</v>
      </c>
      <c r="BV91" s="463">
        <f t="shared" si="166"/>
        <v>9.3695573241869543E-2</v>
      </c>
      <c r="BW91" s="463">
        <f t="shared" si="167"/>
        <v>0</v>
      </c>
      <c r="BX91" s="463">
        <f t="shared" si="168"/>
        <v>0.23852381298302622</v>
      </c>
      <c r="BY91" s="463">
        <f t="shared" si="169"/>
        <v>0.79629629629629617</v>
      </c>
      <c r="BZ91" s="147">
        <f t="shared" si="182"/>
        <v>1034.8201092793224</v>
      </c>
      <c r="CA91" s="153">
        <f t="shared" si="183"/>
        <v>1.5222639684818922</v>
      </c>
      <c r="CB91" s="5">
        <f t="shared" si="184"/>
        <v>6.45</v>
      </c>
      <c r="CC91" s="153">
        <f t="shared" si="185"/>
        <v>0.80905499686160454</v>
      </c>
      <c r="CD91" s="5">
        <f t="shared" si="186"/>
        <v>80.905499686160454</v>
      </c>
      <c r="CG91" s="59">
        <f t="shared" si="170"/>
        <v>-50</v>
      </c>
      <c r="CH91">
        <f t="shared" si="171"/>
        <v>-50</v>
      </c>
    </row>
    <row r="92" spans="5:86" x14ac:dyDescent="0.25">
      <c r="E92" s="150">
        <v>87</v>
      </c>
      <c r="F92" s="191">
        <f t="shared" si="172"/>
        <v>0.435</v>
      </c>
      <c r="G92" s="191"/>
      <c r="H92" s="191">
        <f t="shared" si="120"/>
        <v>6.5250000000000004</v>
      </c>
      <c r="I92" s="472">
        <f t="shared" si="121"/>
        <v>11.1</v>
      </c>
      <c r="J92" s="152">
        <f t="shared" si="122"/>
        <v>7.66</v>
      </c>
      <c r="K92" s="386">
        <f t="shared" si="123"/>
        <v>18.759999999999998</v>
      </c>
      <c r="L92" s="386"/>
      <c r="M92" s="191">
        <f t="shared" si="124"/>
        <v>0.40831556503198302</v>
      </c>
      <c r="N92" s="152">
        <f t="shared" si="125"/>
        <v>8.3620986140724956</v>
      </c>
      <c r="O92" s="152">
        <f t="shared" si="173"/>
        <v>6.5250000000000004</v>
      </c>
      <c r="P92" s="191">
        <f t="shared" si="126"/>
        <v>0.55747324093816641</v>
      </c>
      <c r="Q92" s="191">
        <f t="shared" si="127"/>
        <v>15</v>
      </c>
      <c r="R92" s="191">
        <f t="shared" si="128"/>
        <v>0.61941471215351818</v>
      </c>
      <c r="S92" s="152">
        <f t="shared" si="129"/>
        <v>25.158137632072368</v>
      </c>
      <c r="T92" s="152">
        <f t="shared" si="130"/>
        <v>15</v>
      </c>
      <c r="U92" s="191">
        <f t="shared" si="131"/>
        <v>3.1992566979512143</v>
      </c>
      <c r="V92" s="191">
        <f t="shared" si="132"/>
        <v>2.5939919172577413</v>
      </c>
      <c r="W92" s="191">
        <f t="shared" si="133"/>
        <v>3.7589177913264922</v>
      </c>
      <c r="X92" s="175">
        <f t="shared" si="134"/>
        <v>350</v>
      </c>
      <c r="Y92" s="386">
        <f t="shared" si="174"/>
        <v>157.40818709398175</v>
      </c>
      <c r="AA92" s="191">
        <f t="shared" si="135"/>
        <v>1.4388262767793685</v>
      </c>
      <c r="AB92" s="153">
        <f t="shared" si="136"/>
        <v>1.6905269570514774</v>
      </c>
      <c r="AC92" s="153">
        <f t="shared" si="137"/>
        <v>0.21283277814833412</v>
      </c>
      <c r="AD92" s="153"/>
      <c r="AE92" s="153">
        <f t="shared" si="138"/>
        <v>0.96344647519582249</v>
      </c>
      <c r="AF92" s="317">
        <f t="shared" si="139"/>
        <v>2202.4588538568314</v>
      </c>
      <c r="AG92" s="463">
        <f t="shared" si="140"/>
        <v>6.9127284595300251E-2</v>
      </c>
      <c r="AI92" s="153">
        <f t="shared" si="141"/>
        <v>2.1682655882930164</v>
      </c>
      <c r="AJ92" s="153">
        <f t="shared" si="142"/>
        <v>3.1992566979512143</v>
      </c>
      <c r="AK92" s="153">
        <f t="shared" si="143"/>
        <v>2.7861711319674765</v>
      </c>
      <c r="AM92" s="317">
        <f t="shared" si="144"/>
        <v>435</v>
      </c>
      <c r="AN92" s="147">
        <f t="shared" si="145"/>
        <v>157.40818709398175</v>
      </c>
      <c r="AP92">
        <f t="shared" si="146"/>
        <v>435</v>
      </c>
      <c r="AQ92">
        <f t="shared" si="147"/>
        <v>157.40818709398175</v>
      </c>
      <c r="AS92" s="5">
        <f t="shared" si="175"/>
        <v>6.3529097085842325</v>
      </c>
      <c r="AT92" s="5">
        <f t="shared" si="148"/>
        <v>2.5939919172577413</v>
      </c>
      <c r="AU92" s="5">
        <f t="shared" si="176"/>
        <v>3.7589177913264913</v>
      </c>
      <c r="AV92" s="5">
        <f t="shared" si="149"/>
        <v>3.7589177913264922</v>
      </c>
      <c r="AW92" s="153">
        <f t="shared" si="177"/>
        <v>0.40831556503198296</v>
      </c>
      <c r="AX92" s="153">
        <f t="shared" si="150"/>
        <v>7.2499999999999982</v>
      </c>
      <c r="AY92" s="153">
        <f t="shared" si="151"/>
        <v>0.47323759791122705</v>
      </c>
      <c r="AZ92" s="153">
        <f t="shared" si="178"/>
        <v>15.32</v>
      </c>
      <c r="BA92" s="147">
        <f t="shared" si="152"/>
        <v>16.670079701628925</v>
      </c>
      <c r="BB92" s="147">
        <f t="shared" si="153"/>
        <v>14.169100636961286</v>
      </c>
      <c r="BC92" s="5">
        <f t="shared" si="154"/>
        <v>4.4236919060331239</v>
      </c>
      <c r="BD92" s="147">
        <f t="shared" si="155"/>
        <v>113.557141634386</v>
      </c>
      <c r="BE92" s="5"/>
      <c r="BF92" s="153">
        <f t="shared" si="179"/>
        <v>1.1802837511980413</v>
      </c>
      <c r="BG92" s="153">
        <f t="shared" si="156"/>
        <v>0.71040095599594</v>
      </c>
      <c r="BH92" s="153"/>
      <c r="BI92" s="463">
        <f t="shared" si="157"/>
        <v>0.15323767066763319</v>
      </c>
      <c r="BJ92" s="463">
        <f t="shared" si="158"/>
        <v>4.7236666666666663E-2</v>
      </c>
      <c r="BK92" s="463">
        <f t="shared" si="159"/>
        <v>7.8704093546990862E-3</v>
      </c>
      <c r="BL92" s="463">
        <f t="shared" si="160"/>
        <v>1.2464518406896552E-2</v>
      </c>
      <c r="BM92">
        <f t="shared" si="161"/>
        <v>3.2190000000000001E-3</v>
      </c>
      <c r="BN92">
        <f t="shared" si="162"/>
        <v>9.601899412732888E-6</v>
      </c>
      <c r="BO92" s="463">
        <f t="shared" si="163"/>
        <v>0.25184520847525826</v>
      </c>
      <c r="BP92" s="147">
        <f t="shared" si="180"/>
        <v>251.84520847525826</v>
      </c>
      <c r="BQ92" s="463">
        <f t="shared" si="164"/>
        <v>0.24328350239317567</v>
      </c>
      <c r="BR92" s="463"/>
      <c r="BT92" s="147">
        <f t="shared" si="181"/>
        <v>243.28350239317567</v>
      </c>
      <c r="BU92" s="463">
        <f t="shared" si="165"/>
        <v>0.11841092733408019</v>
      </c>
      <c r="BV92" s="463">
        <f t="shared" si="166"/>
        <v>9.5887208473189628E-2</v>
      </c>
      <c r="BW92" s="463">
        <f t="shared" si="167"/>
        <v>0</v>
      </c>
      <c r="BX92" s="463">
        <f t="shared" si="168"/>
        <v>0.24420044816860884</v>
      </c>
      <c r="BY92" s="463">
        <f t="shared" si="169"/>
        <v>0.80555555555555558</v>
      </c>
      <c r="BZ92" s="147">
        <f t="shared" si="182"/>
        <v>1049.7560037241644</v>
      </c>
      <c r="CA92" s="153">
        <f t="shared" si="183"/>
        <v>1.5448847145925984</v>
      </c>
      <c r="CB92" s="5">
        <f t="shared" si="184"/>
        <v>6.5250000000000004</v>
      </c>
      <c r="CC92" s="153">
        <f t="shared" si="185"/>
        <v>0.80856173672481135</v>
      </c>
      <c r="CD92" s="5">
        <f t="shared" si="186"/>
        <v>80.856173672481134</v>
      </c>
      <c r="CG92" s="59">
        <f t="shared" si="170"/>
        <v>-50</v>
      </c>
      <c r="CH92">
        <f t="shared" si="171"/>
        <v>-50</v>
      </c>
    </row>
    <row r="93" spans="5:86" x14ac:dyDescent="0.25">
      <c r="E93" s="150">
        <v>88</v>
      </c>
      <c r="F93" s="191">
        <f t="shared" si="172"/>
        <v>0.44</v>
      </c>
      <c r="G93" s="191"/>
      <c r="H93" s="191">
        <f t="shared" si="120"/>
        <v>6.6</v>
      </c>
      <c r="I93" s="472">
        <f t="shared" si="121"/>
        <v>11.1</v>
      </c>
      <c r="J93" s="152">
        <f t="shared" si="122"/>
        <v>7.66</v>
      </c>
      <c r="K93" s="386">
        <f t="shared" si="123"/>
        <v>18.759999999999998</v>
      </c>
      <c r="L93" s="386"/>
      <c r="M93" s="191">
        <f t="shared" si="124"/>
        <v>0.40831556503198302</v>
      </c>
      <c r="N93" s="152">
        <f t="shared" si="125"/>
        <v>8.3620986140724956</v>
      </c>
      <c r="O93" s="152">
        <f t="shared" si="173"/>
        <v>6.6</v>
      </c>
      <c r="P93" s="191">
        <f t="shared" si="126"/>
        <v>0.55747324093816641</v>
      </c>
      <c r="Q93" s="191">
        <f t="shared" si="127"/>
        <v>15</v>
      </c>
      <c r="R93" s="191">
        <f t="shared" si="128"/>
        <v>0.61941471215351818</v>
      </c>
      <c r="S93" s="152">
        <f t="shared" si="129"/>
        <v>24.629058386833254</v>
      </c>
      <c r="T93" s="152">
        <f t="shared" si="130"/>
        <v>15</v>
      </c>
      <c r="U93" s="191">
        <f t="shared" si="131"/>
        <v>3.2360297634449058</v>
      </c>
      <c r="V93" s="191">
        <f t="shared" si="132"/>
        <v>2.6238079163066805</v>
      </c>
      <c r="W93" s="191">
        <f t="shared" si="133"/>
        <v>3.8021237429509336</v>
      </c>
      <c r="X93" s="175">
        <f t="shared" si="134"/>
        <v>350</v>
      </c>
      <c r="Y93" s="386">
        <f t="shared" si="174"/>
        <v>155.6194576951865</v>
      </c>
      <c r="AA93" s="191">
        <f t="shared" si="135"/>
        <v>1.4388262767793685</v>
      </c>
      <c r="AB93" s="153">
        <f t="shared" si="136"/>
        <v>1.6905269570514774</v>
      </c>
      <c r="AC93" s="153">
        <f t="shared" si="137"/>
        <v>0.21283277814833412</v>
      </c>
      <c r="AD93" s="153"/>
      <c r="AE93" s="153">
        <f t="shared" si="138"/>
        <v>0.96344647519582249</v>
      </c>
      <c r="AF93" s="317">
        <f t="shared" si="139"/>
        <v>2227.7744728666798</v>
      </c>
      <c r="AG93" s="463">
        <f t="shared" si="140"/>
        <v>6.9127284595300251E-2</v>
      </c>
      <c r="AI93" s="153">
        <f t="shared" si="141"/>
        <v>2.1806912807825709</v>
      </c>
      <c r="AJ93" s="153">
        <f t="shared" si="142"/>
        <v>3.2360297634449058</v>
      </c>
      <c r="AK93" s="153">
        <f t="shared" si="143"/>
        <v>2.8106865089632707</v>
      </c>
      <c r="AM93" s="317">
        <f t="shared" si="144"/>
        <v>440</v>
      </c>
      <c r="AN93" s="147">
        <f t="shared" si="145"/>
        <v>155.6194576951865</v>
      </c>
      <c r="AP93">
        <f t="shared" si="146"/>
        <v>440</v>
      </c>
      <c r="AQ93">
        <f t="shared" si="147"/>
        <v>155.6194576951865</v>
      </c>
      <c r="AS93" s="5">
        <f t="shared" si="175"/>
        <v>6.425931659257615</v>
      </c>
      <c r="AT93" s="5">
        <f t="shared" si="148"/>
        <v>2.6238079163066805</v>
      </c>
      <c r="AU93" s="5">
        <f t="shared" si="176"/>
        <v>3.8021237429509345</v>
      </c>
      <c r="AV93" s="5">
        <f t="shared" si="149"/>
        <v>3.8021237429509336</v>
      </c>
      <c r="AW93" s="153">
        <f t="shared" si="177"/>
        <v>0.40831556503198291</v>
      </c>
      <c r="AX93" s="153">
        <f t="shared" si="150"/>
        <v>7.3333333333333304</v>
      </c>
      <c r="AY93" s="153">
        <f t="shared" si="151"/>
        <v>0.47867711053089623</v>
      </c>
      <c r="AZ93" s="153">
        <f t="shared" si="178"/>
        <v>15.32</v>
      </c>
      <c r="BA93" s="147">
        <f t="shared" si="152"/>
        <v>16.670079701628925</v>
      </c>
      <c r="BB93" s="147">
        <f t="shared" si="153"/>
        <v>14.481526665692719</v>
      </c>
      <c r="BC93" s="5">
        <f t="shared" si="154"/>
        <v>4.5259704214982852</v>
      </c>
      <c r="BD93" s="147">
        <f t="shared" si="155"/>
        <v>116.15987216068871</v>
      </c>
      <c r="BE93" s="5"/>
      <c r="BF93" s="153">
        <f t="shared" si="179"/>
        <v>1.1938502310968693</v>
      </c>
      <c r="BG93" s="153">
        <f t="shared" si="156"/>
        <v>0.71856648422577829</v>
      </c>
      <c r="BH93" s="153"/>
      <c r="BI93" s="463">
        <f t="shared" si="157"/>
        <v>0.1567806211719053</v>
      </c>
      <c r="BJ93" s="463">
        <f t="shared" si="158"/>
        <v>4.7236666666666663E-2</v>
      </c>
      <c r="BK93" s="463">
        <f t="shared" si="159"/>
        <v>7.7809728847593245E-3</v>
      </c>
      <c r="BL93" s="463">
        <f t="shared" si="160"/>
        <v>1.2322876152272727E-2</v>
      </c>
      <c r="BM93">
        <f t="shared" si="161"/>
        <v>3.2190000000000001E-3</v>
      </c>
      <c r="BN93">
        <f t="shared" si="162"/>
        <v>9.4927869194063764E-6</v>
      </c>
      <c r="BO93" s="463">
        <f t="shared" si="163"/>
        <v>0.25591769506535739</v>
      </c>
      <c r="BP93" s="147">
        <f t="shared" si="180"/>
        <v>255.91769506535738</v>
      </c>
      <c r="BQ93" s="463">
        <f t="shared" si="164"/>
        <v>0.24697641465619663</v>
      </c>
      <c r="BR93" s="463"/>
      <c r="BT93" s="147">
        <f t="shared" si="181"/>
        <v>246.97641465619662</v>
      </c>
      <c r="BU93" s="463">
        <f t="shared" si="165"/>
        <v>0.1211486618146541</v>
      </c>
      <c r="BV93" s="463">
        <f t="shared" si="166"/>
        <v>9.8104180527993176E-2</v>
      </c>
      <c r="BW93" s="463">
        <f t="shared" si="167"/>
        <v>0</v>
      </c>
      <c r="BX93" s="463">
        <f t="shared" si="168"/>
        <v>0.24994731618451466</v>
      </c>
      <c r="BY93" s="463">
        <f t="shared" si="169"/>
        <v>0.81481481481481455</v>
      </c>
      <c r="BZ93" s="147">
        <f t="shared" si="182"/>
        <v>1064.7621309993292</v>
      </c>
      <c r="CA93" s="153">
        <f t="shared" si="183"/>
        <v>1.5676562407208832</v>
      </c>
      <c r="CB93" s="5">
        <f t="shared" si="184"/>
        <v>6.6</v>
      </c>
      <c r="CC93" s="153">
        <f t="shared" si="185"/>
        <v>0.80806535014229242</v>
      </c>
      <c r="CD93" s="5">
        <f t="shared" si="186"/>
        <v>80.80653501422924</v>
      </c>
      <c r="CG93" s="59">
        <f t="shared" si="170"/>
        <v>-50</v>
      </c>
      <c r="CH93">
        <f t="shared" si="171"/>
        <v>-50</v>
      </c>
    </row>
    <row r="94" spans="5:86" x14ac:dyDescent="0.25">
      <c r="E94" s="150">
        <v>89</v>
      </c>
      <c r="F94" s="191">
        <f t="shared" si="172"/>
        <v>0.44500000000000001</v>
      </c>
      <c r="G94" s="191"/>
      <c r="H94" s="191">
        <f t="shared" si="120"/>
        <v>6.6749999999999998</v>
      </c>
      <c r="I94" s="472">
        <f t="shared" si="121"/>
        <v>11.1</v>
      </c>
      <c r="J94" s="152">
        <f t="shared" si="122"/>
        <v>7.66</v>
      </c>
      <c r="K94" s="386">
        <f t="shared" si="123"/>
        <v>18.759999999999998</v>
      </c>
      <c r="L94" s="386"/>
      <c r="M94" s="191">
        <f t="shared" si="124"/>
        <v>0.40831556503198302</v>
      </c>
      <c r="N94" s="152">
        <f t="shared" si="125"/>
        <v>8.3620986140724956</v>
      </c>
      <c r="O94" s="152">
        <f t="shared" si="173"/>
        <v>6.6749999999999998</v>
      </c>
      <c r="P94" s="191">
        <f t="shared" si="126"/>
        <v>0.55747324093816641</v>
      </c>
      <c r="Q94" s="191">
        <f t="shared" si="127"/>
        <v>15</v>
      </c>
      <c r="R94" s="191">
        <f t="shared" si="128"/>
        <v>0.61941471215351818</v>
      </c>
      <c r="S94" s="152">
        <f t="shared" si="129"/>
        <v>24.112113175952913</v>
      </c>
      <c r="T94" s="152">
        <f t="shared" si="130"/>
        <v>15</v>
      </c>
      <c r="U94" s="191">
        <f t="shared" si="131"/>
        <v>3.2728028289385982</v>
      </c>
      <c r="V94" s="191">
        <f t="shared" si="132"/>
        <v>2.6536239153556203</v>
      </c>
      <c r="W94" s="191">
        <f t="shared" si="133"/>
        <v>3.8453296945753768</v>
      </c>
      <c r="X94" s="175">
        <f t="shared" si="134"/>
        <v>350</v>
      </c>
      <c r="Y94" s="386">
        <f t="shared" si="174"/>
        <v>153.87092446265632</v>
      </c>
      <c r="AA94" s="191">
        <f t="shared" si="135"/>
        <v>1.4388262767793685</v>
      </c>
      <c r="AB94" s="153">
        <f t="shared" si="136"/>
        <v>1.6905269570514774</v>
      </c>
      <c r="AC94" s="153">
        <f t="shared" si="137"/>
        <v>0.21283277814833412</v>
      </c>
      <c r="AD94" s="153"/>
      <c r="AE94" s="153">
        <f t="shared" si="138"/>
        <v>0.96344647519582249</v>
      </c>
      <c r="AF94" s="317">
        <f t="shared" si="139"/>
        <v>2253.0900918765287</v>
      </c>
      <c r="AG94" s="463">
        <f t="shared" si="140"/>
        <v>6.9127284595300251E-2</v>
      </c>
      <c r="AI94" s="153">
        <f t="shared" si="141"/>
        <v>2.1930465710482752</v>
      </c>
      <c r="AJ94" s="153">
        <f t="shared" si="142"/>
        <v>3.2728028289385982</v>
      </c>
      <c r="AK94" s="153">
        <f t="shared" si="143"/>
        <v>2.8352018859590657</v>
      </c>
      <c r="AM94" s="317">
        <f t="shared" si="144"/>
        <v>445</v>
      </c>
      <c r="AN94" s="147">
        <f t="shared" si="145"/>
        <v>153.87092446265632</v>
      </c>
      <c r="AP94">
        <f t="shared" si="146"/>
        <v>445</v>
      </c>
      <c r="AQ94">
        <f t="shared" si="147"/>
        <v>153.87092446265632</v>
      </c>
      <c r="AS94" s="5">
        <f t="shared" si="175"/>
        <v>6.4989536099309966</v>
      </c>
      <c r="AT94" s="5">
        <f t="shared" si="148"/>
        <v>2.6536239153556203</v>
      </c>
      <c r="AU94" s="5">
        <f t="shared" si="176"/>
        <v>3.8453296945753763</v>
      </c>
      <c r="AV94" s="5">
        <f t="shared" si="149"/>
        <v>3.8453296945753768</v>
      </c>
      <c r="AW94" s="153">
        <f t="shared" si="177"/>
        <v>0.40831556503198296</v>
      </c>
      <c r="AX94" s="153">
        <f t="shared" si="150"/>
        <v>7.4166666666666643</v>
      </c>
      <c r="AY94" s="153">
        <f t="shared" si="151"/>
        <v>0.48411662315056553</v>
      </c>
      <c r="AZ94" s="153">
        <f t="shared" si="178"/>
        <v>15.32</v>
      </c>
      <c r="BA94" s="147">
        <f t="shared" si="152"/>
        <v>16.670079701628925</v>
      </c>
      <c r="BB94" s="147">
        <f t="shared" si="153"/>
        <v>14.797351849038229</v>
      </c>
      <c r="BC94" s="5">
        <f t="shared" si="154"/>
        <v>4.6294178342830463</v>
      </c>
      <c r="BD94" s="147">
        <f t="shared" si="155"/>
        <v>118.79209077846318</v>
      </c>
      <c r="BE94" s="5"/>
      <c r="BF94" s="153">
        <f t="shared" si="179"/>
        <v>1.2074167109956973</v>
      </c>
      <c r="BG94" s="153">
        <f t="shared" si="156"/>
        <v>0.72673201245561669</v>
      </c>
      <c r="BH94" s="153"/>
      <c r="BI94" s="463">
        <f t="shared" si="157"/>
        <v>0.16036406253908339</v>
      </c>
      <c r="BJ94" s="463">
        <f t="shared" si="158"/>
        <v>4.7236666666666663E-2</v>
      </c>
      <c r="BK94" s="463">
        <f t="shared" si="159"/>
        <v>7.6935462231328159E-3</v>
      </c>
      <c r="BL94" s="463">
        <f t="shared" si="160"/>
        <v>1.2184416869662922E-2</v>
      </c>
      <c r="BM94">
        <f t="shared" si="161"/>
        <v>3.2190000000000001E-3</v>
      </c>
      <c r="BN94">
        <f t="shared" si="162"/>
        <v>9.386126392222036E-6</v>
      </c>
      <c r="BO94" s="463">
        <f t="shared" si="163"/>
        <v>0.26005038159655292</v>
      </c>
      <c r="BP94" s="147">
        <f t="shared" si="180"/>
        <v>260.05038159655294</v>
      </c>
      <c r="BQ94" s="463">
        <f t="shared" si="164"/>
        <v>0.25068970305936644</v>
      </c>
      <c r="BR94" s="463"/>
      <c r="BT94" s="147">
        <f t="shared" si="181"/>
        <v>250.68970305936645</v>
      </c>
      <c r="BU94" s="463">
        <f t="shared" si="165"/>
        <v>0.12391768468929171</v>
      </c>
      <c r="BV94" s="463">
        <f t="shared" si="166"/>
        <v>0.10034648940628021</v>
      </c>
      <c r="BW94" s="463">
        <f t="shared" si="167"/>
        <v>0</v>
      </c>
      <c r="BX94" s="463">
        <f t="shared" si="168"/>
        <v>0.25576458159946486</v>
      </c>
      <c r="BY94" s="463">
        <f t="shared" si="169"/>
        <v>0.82407407407407396</v>
      </c>
      <c r="BZ94" s="147">
        <f t="shared" si="182"/>
        <v>1079.8386556735388</v>
      </c>
      <c r="CA94" s="153">
        <f t="shared" si="183"/>
        <v>1.5905787403294582</v>
      </c>
      <c r="CB94" s="5">
        <f t="shared" si="184"/>
        <v>6.6749999999999998</v>
      </c>
      <c r="CC94" s="153">
        <f t="shared" si="185"/>
        <v>0.80756595632333672</v>
      </c>
      <c r="CD94" s="5">
        <f t="shared" si="186"/>
        <v>80.756595632333671</v>
      </c>
      <c r="CG94" s="59">
        <f t="shared" si="170"/>
        <v>-50</v>
      </c>
      <c r="CH94">
        <f t="shared" si="171"/>
        <v>-50</v>
      </c>
    </row>
    <row r="95" spans="5:86" x14ac:dyDescent="0.25">
      <c r="E95" s="150">
        <v>90</v>
      </c>
      <c r="F95" s="191">
        <f t="shared" si="172"/>
        <v>0.45</v>
      </c>
      <c r="G95" s="191"/>
      <c r="H95" s="191">
        <f t="shared" si="120"/>
        <v>6.75</v>
      </c>
      <c r="I95" s="472">
        <f t="shared" si="121"/>
        <v>11.1</v>
      </c>
      <c r="J95" s="152">
        <f t="shared" si="122"/>
        <v>7.66</v>
      </c>
      <c r="K95" s="386">
        <f t="shared" si="123"/>
        <v>18.759999999999998</v>
      </c>
      <c r="L95" s="386"/>
      <c r="M95" s="191">
        <f t="shared" si="124"/>
        <v>0.40831556503198302</v>
      </c>
      <c r="N95" s="152">
        <f t="shared" si="125"/>
        <v>8.3620986140724956</v>
      </c>
      <c r="O95" s="152">
        <f t="shared" si="173"/>
        <v>6.75</v>
      </c>
      <c r="P95" s="191">
        <f t="shared" si="126"/>
        <v>0.55747324093816641</v>
      </c>
      <c r="Q95" s="191">
        <f t="shared" si="127"/>
        <v>15</v>
      </c>
      <c r="R95" s="191">
        <f t="shared" si="128"/>
        <v>0.61941471215351818</v>
      </c>
      <c r="S95" s="152">
        <f t="shared" si="129"/>
        <v>23.606904268115727</v>
      </c>
      <c r="T95" s="152">
        <f t="shared" si="130"/>
        <v>15</v>
      </c>
      <c r="U95" s="191">
        <f t="shared" si="131"/>
        <v>3.3095758944322902</v>
      </c>
      <c r="V95" s="191">
        <f t="shared" si="132"/>
        <v>2.6834399144045595</v>
      </c>
      <c r="W95" s="191">
        <f t="shared" si="133"/>
        <v>3.8885356461998186</v>
      </c>
      <c r="X95" s="175">
        <f t="shared" si="134"/>
        <v>350</v>
      </c>
      <c r="Y95" s="386">
        <f t="shared" si="174"/>
        <v>152.16124752418236</v>
      </c>
      <c r="AA95" s="191">
        <f t="shared" si="135"/>
        <v>1.4388262767793685</v>
      </c>
      <c r="AB95" s="153">
        <f t="shared" si="136"/>
        <v>1.6905269570514774</v>
      </c>
      <c r="AC95" s="153">
        <f t="shared" si="137"/>
        <v>0.21283277814833412</v>
      </c>
      <c r="AD95" s="153"/>
      <c r="AE95" s="153">
        <f t="shared" si="138"/>
        <v>0.96344647519582249</v>
      </c>
      <c r="AF95" s="317">
        <f t="shared" si="139"/>
        <v>2278.4057108863772</v>
      </c>
      <c r="AG95" s="463">
        <f t="shared" si="140"/>
        <v>6.9127284595300251E-2</v>
      </c>
      <c r="AI95" s="153">
        <f t="shared" si="141"/>
        <v>2.2053326423676007</v>
      </c>
      <c r="AJ95" s="153">
        <f t="shared" si="142"/>
        <v>3.3095758944322902</v>
      </c>
      <c r="AK95" s="153">
        <f t="shared" si="143"/>
        <v>2.8597172629548604</v>
      </c>
      <c r="AM95" s="317">
        <f t="shared" si="144"/>
        <v>450</v>
      </c>
      <c r="AN95" s="147">
        <f t="shared" si="145"/>
        <v>152.16124752418236</v>
      </c>
      <c r="AP95">
        <f t="shared" si="146"/>
        <v>450</v>
      </c>
      <c r="AQ95">
        <f t="shared" si="147"/>
        <v>152.16124752418236</v>
      </c>
      <c r="AS95" s="5">
        <f t="shared" si="175"/>
        <v>6.571975560604379</v>
      </c>
      <c r="AT95" s="5">
        <f t="shared" si="148"/>
        <v>2.6834399144045595</v>
      </c>
      <c r="AU95" s="5">
        <f t="shared" si="176"/>
        <v>3.8885356461998195</v>
      </c>
      <c r="AV95" s="5">
        <f t="shared" si="149"/>
        <v>3.8885356461998186</v>
      </c>
      <c r="AW95" s="153">
        <f t="shared" si="177"/>
        <v>0.40831556503198291</v>
      </c>
      <c r="AX95" s="153">
        <f t="shared" si="150"/>
        <v>7.4999999999999973</v>
      </c>
      <c r="AY95" s="153">
        <f t="shared" si="151"/>
        <v>0.48955613577023482</v>
      </c>
      <c r="AZ95" s="153">
        <f t="shared" si="178"/>
        <v>15.32</v>
      </c>
      <c r="BA95" s="147">
        <f t="shared" si="152"/>
        <v>16.670079701628925</v>
      </c>
      <c r="BB95" s="147">
        <f t="shared" si="153"/>
        <v>15.116576186997809</v>
      </c>
      <c r="BC95" s="5">
        <f t="shared" si="154"/>
        <v>4.7340341443874108</v>
      </c>
      <c r="BD95" s="147">
        <f t="shared" si="155"/>
        <v>121.45379748770944</v>
      </c>
      <c r="BE95" s="5"/>
      <c r="BF95" s="153">
        <f t="shared" si="179"/>
        <v>1.2209831908945254</v>
      </c>
      <c r="BG95" s="153">
        <f t="shared" si="156"/>
        <v>0.7348975406854551</v>
      </c>
      <c r="BH95" s="153"/>
      <c r="BI95" s="463">
        <f t="shared" si="157"/>
        <v>0.16398799476916751</v>
      </c>
      <c r="BJ95" s="463">
        <f t="shared" si="158"/>
        <v>4.7236666666666663E-2</v>
      </c>
      <c r="BK95" s="463">
        <f t="shared" si="159"/>
        <v>7.6080623762091173E-3</v>
      </c>
      <c r="BL95" s="463">
        <f t="shared" si="160"/>
        <v>1.204903446E-2</v>
      </c>
      <c r="BM95">
        <f t="shared" si="161"/>
        <v>3.2190000000000001E-3</v>
      </c>
      <c r="BN95">
        <f t="shared" si="162"/>
        <v>9.2818360989751239E-6</v>
      </c>
      <c r="BO95" s="463">
        <f t="shared" si="163"/>
        <v>0.26424330812966484</v>
      </c>
      <c r="BP95" s="147">
        <f t="shared" si="180"/>
        <v>264.24330812966485</v>
      </c>
      <c r="BQ95" s="463">
        <f t="shared" si="164"/>
        <v>0.25442336760268502</v>
      </c>
      <c r="BR95" s="463"/>
      <c r="BT95" s="147">
        <f t="shared" si="181"/>
        <v>254.42336760268503</v>
      </c>
      <c r="BU95" s="463">
        <f t="shared" si="165"/>
        <v>0.12671799595799307</v>
      </c>
      <c r="BV95" s="463">
        <f t="shared" si="166"/>
        <v>0.10261413510805073</v>
      </c>
      <c r="BW95" s="463">
        <f t="shared" si="167"/>
        <v>0</v>
      </c>
      <c r="BX95" s="463">
        <f t="shared" si="168"/>
        <v>0.26165241119866989</v>
      </c>
      <c r="BY95" s="463">
        <f t="shared" si="169"/>
        <v>0.83333333333333304</v>
      </c>
      <c r="BZ95" s="147">
        <f t="shared" si="182"/>
        <v>1094.9857445320031</v>
      </c>
      <c r="CA95" s="153">
        <f t="shared" si="183"/>
        <v>1.6136524202643527</v>
      </c>
      <c r="CB95" s="5">
        <f t="shared" si="184"/>
        <v>6.75</v>
      </c>
      <c r="CC95" s="153">
        <f t="shared" si="185"/>
        <v>0.8070636679790012</v>
      </c>
      <c r="CD95" s="5">
        <f t="shared" si="186"/>
        <v>80.706366797900117</v>
      </c>
      <c r="CG95" s="59">
        <f t="shared" si="170"/>
        <v>-50</v>
      </c>
      <c r="CH95">
        <f t="shared" si="171"/>
        <v>-50</v>
      </c>
    </row>
    <row r="96" spans="5:86" x14ac:dyDescent="0.25">
      <c r="E96" s="150">
        <v>91</v>
      </c>
      <c r="F96" s="191">
        <f t="shared" si="172"/>
        <v>0.45500000000000002</v>
      </c>
      <c r="G96" s="191"/>
      <c r="H96" s="191">
        <f t="shared" si="120"/>
        <v>6.8250000000000002</v>
      </c>
      <c r="I96" s="472">
        <f t="shared" si="121"/>
        <v>11.1</v>
      </c>
      <c r="J96" s="152">
        <f t="shared" si="122"/>
        <v>7.66</v>
      </c>
      <c r="K96" s="386">
        <f t="shared" si="123"/>
        <v>18.759999999999998</v>
      </c>
      <c r="L96" s="386"/>
      <c r="M96" s="191">
        <f t="shared" si="124"/>
        <v>0.40831556503198302</v>
      </c>
      <c r="N96" s="152">
        <f t="shared" si="125"/>
        <v>8.3620986140724956</v>
      </c>
      <c r="O96" s="152">
        <f t="shared" si="173"/>
        <v>6.8250000000000002</v>
      </c>
      <c r="P96" s="191">
        <f t="shared" si="126"/>
        <v>0.55747324093816641</v>
      </c>
      <c r="Q96" s="191">
        <f t="shared" si="127"/>
        <v>15</v>
      </c>
      <c r="R96" s="191">
        <f t="shared" si="128"/>
        <v>0.61941471215351818</v>
      </c>
      <c r="S96" s="152">
        <f t="shared" si="129"/>
        <v>23.113051648833483</v>
      </c>
      <c r="T96" s="191">
        <f t="shared" si="130"/>
        <v>15</v>
      </c>
      <c r="U96" s="191">
        <f t="shared" si="131"/>
        <v>3.3463489599259826</v>
      </c>
      <c r="V96" s="191">
        <f t="shared" si="132"/>
        <v>2.7132559134534997</v>
      </c>
      <c r="W96" s="191">
        <f t="shared" si="133"/>
        <v>3.9317415978242614</v>
      </c>
      <c r="X96" s="175">
        <f t="shared" si="134"/>
        <v>350</v>
      </c>
      <c r="Y96" s="386">
        <f t="shared" si="174"/>
        <v>150.48914590303747</v>
      </c>
      <c r="AA96" s="191">
        <f t="shared" si="135"/>
        <v>1.4388262767793685</v>
      </c>
      <c r="AB96" s="153">
        <f t="shared" si="136"/>
        <v>1.6905269570514774</v>
      </c>
      <c r="AC96" s="153">
        <f t="shared" si="137"/>
        <v>0.21283277814833412</v>
      </c>
      <c r="AD96" s="153"/>
      <c r="AE96" s="153">
        <f t="shared" si="138"/>
        <v>0.96344647519582249</v>
      </c>
      <c r="AF96" s="317">
        <f t="shared" si="139"/>
        <v>2303.7213298962261</v>
      </c>
      <c r="AG96" s="463">
        <f t="shared" si="140"/>
        <v>6.9127284595300251E-2</v>
      </c>
      <c r="AI96" s="153">
        <f t="shared" si="141"/>
        <v>2.2175506452384646</v>
      </c>
      <c r="AJ96" s="153">
        <f t="shared" si="142"/>
        <v>3.3463489599259826</v>
      </c>
      <c r="AK96" s="153">
        <f t="shared" si="143"/>
        <v>2.8842326399506555</v>
      </c>
      <c r="AM96" s="317">
        <f t="shared" si="144"/>
        <v>455</v>
      </c>
      <c r="AN96" s="147">
        <f t="shared" si="145"/>
        <v>150.48914590303747</v>
      </c>
      <c r="AP96">
        <f t="shared" si="146"/>
        <v>455</v>
      </c>
      <c r="AQ96">
        <f t="shared" si="147"/>
        <v>150.48914590303747</v>
      </c>
      <c r="AS96" s="5">
        <f t="shared" si="175"/>
        <v>6.6449975112777624</v>
      </c>
      <c r="AT96" s="5">
        <f t="shared" si="148"/>
        <v>2.7132559134534997</v>
      </c>
      <c r="AU96" s="5">
        <f t="shared" si="176"/>
        <v>3.9317415978242627</v>
      </c>
      <c r="AV96" s="5">
        <f t="shared" si="149"/>
        <v>3.9317415978242614</v>
      </c>
      <c r="AW96" s="153">
        <f t="shared" si="177"/>
        <v>0.40831556503198291</v>
      </c>
      <c r="AX96" s="153">
        <f t="shared" si="150"/>
        <v>7.5833333333333304</v>
      </c>
      <c r="AY96" s="153">
        <f t="shared" si="151"/>
        <v>0.49499564838990412</v>
      </c>
      <c r="AZ96" s="153">
        <f t="shared" si="178"/>
        <v>15.319999999999999</v>
      </c>
      <c r="BA96" s="147">
        <f t="shared" si="152"/>
        <v>16.670079701628925</v>
      </c>
      <c r="BB96" s="147">
        <f t="shared" si="153"/>
        <v>15.439199679571464</v>
      </c>
      <c r="BC96" s="5">
        <f t="shared" si="154"/>
        <v>4.8398193518113768</v>
      </c>
      <c r="BD96" s="147">
        <f t="shared" si="155"/>
        <v>124.1449922884275</v>
      </c>
      <c r="BE96" s="5"/>
      <c r="BF96" s="153">
        <f t="shared" si="179"/>
        <v>1.2345496707933534</v>
      </c>
      <c r="BG96" s="153">
        <f t="shared" si="156"/>
        <v>0.74306306891529361</v>
      </c>
      <c r="BH96" s="153"/>
      <c r="BI96" s="463">
        <f t="shared" si="157"/>
        <v>0.16765241786215751</v>
      </c>
      <c r="BJ96" s="463">
        <f t="shared" si="158"/>
        <v>4.7236666666666649E-2</v>
      </c>
      <c r="BK96" s="463">
        <f t="shared" si="159"/>
        <v>7.5244572951518734E-3</v>
      </c>
      <c r="BL96" s="463">
        <f t="shared" si="160"/>
        <v>1.1916627487912085E-2</v>
      </c>
      <c r="BM96">
        <f t="shared" si="161"/>
        <v>3.2190000000000001E-3</v>
      </c>
      <c r="BN96">
        <f t="shared" si="162"/>
        <v>9.1798379000852865E-6</v>
      </c>
      <c r="BO96" s="463">
        <f t="shared" si="163"/>
        <v>0.26849652547683689</v>
      </c>
      <c r="BP96" s="147">
        <f t="shared" si="180"/>
        <v>268.49652547683689</v>
      </c>
      <c r="BQ96" s="463">
        <f t="shared" si="164"/>
        <v>0.25817740828615249</v>
      </c>
      <c r="BR96" s="463"/>
      <c r="BT96" s="147">
        <f t="shared" si="181"/>
        <v>258.17740828615251</v>
      </c>
      <c r="BU96" s="463">
        <f t="shared" si="165"/>
        <v>0.12954959562075807</v>
      </c>
      <c r="BV96" s="463">
        <f t="shared" si="166"/>
        <v>0.10490711763330472</v>
      </c>
      <c r="BW96" s="463">
        <f t="shared" si="167"/>
        <v>0</v>
      </c>
      <c r="BX96" s="463">
        <f t="shared" si="168"/>
        <v>0.2676109739960571</v>
      </c>
      <c r="BY96" s="463">
        <f t="shared" si="169"/>
        <v>0.84259259259259234</v>
      </c>
      <c r="BZ96" s="147">
        <f t="shared" si="182"/>
        <v>1110.2035665886494</v>
      </c>
      <c r="CA96" s="153">
        <f t="shared" si="183"/>
        <v>1.6368775003516387</v>
      </c>
      <c r="CB96" s="5">
        <f t="shared" si="184"/>
        <v>6.8250000000000002</v>
      </c>
      <c r="CC96" s="153">
        <f t="shared" si="185"/>
        <v>0.80655859172109057</v>
      </c>
      <c r="CD96" s="5">
        <f t="shared" si="186"/>
        <v>80.655859172109061</v>
      </c>
      <c r="CG96" s="59">
        <f t="shared" si="170"/>
        <v>-50</v>
      </c>
      <c r="CH96">
        <f t="shared" si="171"/>
        <v>-50</v>
      </c>
    </row>
    <row r="97" spans="5:86" x14ac:dyDescent="0.25">
      <c r="E97" s="150">
        <v>92</v>
      </c>
      <c r="F97" s="191">
        <f t="shared" si="172"/>
        <v>0.46</v>
      </c>
      <c r="G97" s="191"/>
      <c r="H97" s="191">
        <f t="shared" si="120"/>
        <v>6.9</v>
      </c>
      <c r="I97" s="472">
        <f t="shared" si="121"/>
        <v>11.1</v>
      </c>
      <c r="J97" s="152">
        <f t="shared" si="122"/>
        <v>7.66</v>
      </c>
      <c r="K97" s="386">
        <f t="shared" si="123"/>
        <v>18.759999999999998</v>
      </c>
      <c r="L97" s="386"/>
      <c r="M97" s="191">
        <f t="shared" si="124"/>
        <v>0.40831556503198302</v>
      </c>
      <c r="N97" s="152">
        <f t="shared" si="125"/>
        <v>8.3620986140724956</v>
      </c>
      <c r="O97" s="152">
        <f t="shared" si="173"/>
        <v>6.9</v>
      </c>
      <c r="P97" s="191">
        <f t="shared" si="126"/>
        <v>0.55747324093816641</v>
      </c>
      <c r="Q97" s="191">
        <f t="shared" si="127"/>
        <v>15</v>
      </c>
      <c r="R97" s="191">
        <f t="shared" si="128"/>
        <v>0.61941471215351818</v>
      </c>
      <c r="S97" s="152">
        <f t="shared" si="129"/>
        <v>22.630192067053983</v>
      </c>
      <c r="T97" s="467">
        <f t="shared" si="130"/>
        <v>15</v>
      </c>
      <c r="U97" s="191">
        <f t="shared" si="131"/>
        <v>3.383122025419675</v>
      </c>
      <c r="V97" s="191">
        <f t="shared" si="132"/>
        <v>2.7430719125024394</v>
      </c>
      <c r="W97" s="191">
        <f t="shared" si="133"/>
        <v>3.9749475494487041</v>
      </c>
      <c r="X97" s="175">
        <f t="shared" si="134"/>
        <v>350</v>
      </c>
      <c r="Y97" s="386">
        <f t="shared" si="174"/>
        <v>148.8533943171349</v>
      </c>
      <c r="AA97" s="191">
        <f t="shared" si="135"/>
        <v>1.4388262767793685</v>
      </c>
      <c r="AB97" s="153">
        <f t="shared" si="136"/>
        <v>1.6905269570514774</v>
      </c>
      <c r="AC97" s="153">
        <f t="shared" si="137"/>
        <v>0.21283277814833412</v>
      </c>
      <c r="AD97" s="153"/>
      <c r="AE97" s="153">
        <f t="shared" si="138"/>
        <v>0.96344647519582249</v>
      </c>
      <c r="AF97" s="317">
        <f t="shared" si="139"/>
        <v>2329.0369489060749</v>
      </c>
      <c r="AG97" s="463">
        <f t="shared" si="140"/>
        <v>6.9127284595300251E-2</v>
      </c>
      <c r="AI97" s="153">
        <f t="shared" si="141"/>
        <v>2.2297016986366134</v>
      </c>
      <c r="AJ97" s="153">
        <f t="shared" si="142"/>
        <v>3.383122025419675</v>
      </c>
      <c r="AK97" s="153">
        <f t="shared" si="143"/>
        <v>2.9087480169464506</v>
      </c>
      <c r="AM97" s="317">
        <f t="shared" si="144"/>
        <v>460</v>
      </c>
      <c r="AN97" s="147">
        <f t="shared" si="145"/>
        <v>148.8533943171349</v>
      </c>
      <c r="AP97">
        <f t="shared" si="146"/>
        <v>460</v>
      </c>
      <c r="AQ97">
        <f t="shared" si="147"/>
        <v>148.8533943171349</v>
      </c>
      <c r="AS97" s="5">
        <f t="shared" si="175"/>
        <v>6.718019461951144</v>
      </c>
      <c r="AT97" s="5">
        <f t="shared" si="148"/>
        <v>2.7430719125024394</v>
      </c>
      <c r="AU97" s="5">
        <f t="shared" si="176"/>
        <v>3.9749475494487045</v>
      </c>
      <c r="AV97" s="5">
        <f t="shared" si="149"/>
        <v>3.9749475494487041</v>
      </c>
      <c r="AW97" s="153">
        <f t="shared" si="177"/>
        <v>0.40831556503198296</v>
      </c>
      <c r="AX97" s="153">
        <f t="shared" si="150"/>
        <v>7.6666666666666652</v>
      </c>
      <c r="AY97" s="153">
        <f t="shared" si="151"/>
        <v>0.50043516100957341</v>
      </c>
      <c r="AZ97" s="153">
        <f t="shared" si="178"/>
        <v>15.32</v>
      </c>
      <c r="BA97" s="147">
        <f t="shared" si="152"/>
        <v>16.670079701628925</v>
      </c>
      <c r="BB97" s="147">
        <f t="shared" si="153"/>
        <v>15.765222326759194</v>
      </c>
      <c r="BC97" s="5">
        <f t="shared" si="154"/>
        <v>4.9467734565549444</v>
      </c>
      <c r="BD97" s="147">
        <f t="shared" si="155"/>
        <v>126.86567518061729</v>
      </c>
      <c r="BE97" s="5"/>
      <c r="BF97" s="153">
        <f t="shared" si="179"/>
        <v>1.2481161506921816</v>
      </c>
      <c r="BG97" s="153">
        <f t="shared" si="156"/>
        <v>0.75122859714513202</v>
      </c>
      <c r="BH97" s="153"/>
      <c r="BI97" s="463">
        <f t="shared" si="157"/>
        <v>0.17135733181805354</v>
      </c>
      <c r="BJ97" s="463">
        <f t="shared" si="158"/>
        <v>4.7236666666666663E-2</v>
      </c>
      <c r="BK97" s="463">
        <f t="shared" si="159"/>
        <v>7.4426697158567444E-3</v>
      </c>
      <c r="BL97" s="463">
        <f t="shared" si="160"/>
        <v>1.1787098928260869E-2</v>
      </c>
      <c r="BM97">
        <f t="shared" si="161"/>
        <v>3.2190000000000001E-3</v>
      </c>
      <c r="BN97">
        <f t="shared" si="162"/>
        <v>9.0800570533452291E-6</v>
      </c>
      <c r="BO97" s="463">
        <f t="shared" si="163"/>
        <v>0.2728100948153675</v>
      </c>
      <c r="BP97" s="147">
        <f t="shared" si="180"/>
        <v>272.81009481536751</v>
      </c>
      <c r="BQ97" s="463">
        <f t="shared" si="164"/>
        <v>0.26195182510976872</v>
      </c>
      <c r="BR97" s="463"/>
      <c r="BT97" s="147">
        <f t="shared" si="181"/>
        <v>261.95182510976872</v>
      </c>
      <c r="BU97" s="463">
        <f t="shared" si="165"/>
        <v>0.13241248367758685</v>
      </c>
      <c r="BV97" s="463">
        <f t="shared" si="166"/>
        <v>0.10722543698204218</v>
      </c>
      <c r="BW97" s="463">
        <f t="shared" si="167"/>
        <v>0</v>
      </c>
      <c r="BX97" s="463">
        <f t="shared" si="168"/>
        <v>0.27364044124668357</v>
      </c>
      <c r="BY97" s="463">
        <f t="shared" si="169"/>
        <v>0.85185185185185175</v>
      </c>
      <c r="BZ97" s="147">
        <f t="shared" si="182"/>
        <v>1125.4922930985354</v>
      </c>
      <c r="CA97" s="153">
        <f t="shared" si="183"/>
        <v>1.6602542130236717</v>
      </c>
      <c r="CB97" s="5">
        <f t="shared" si="184"/>
        <v>6.9</v>
      </c>
      <c r="CC97" s="153">
        <f t="shared" si="185"/>
        <v>0.80605082843243825</v>
      </c>
      <c r="CD97" s="5">
        <f t="shared" si="186"/>
        <v>80.605082843243821</v>
      </c>
      <c r="CG97" s="59">
        <f t="shared" si="170"/>
        <v>-50</v>
      </c>
      <c r="CH97">
        <f t="shared" si="171"/>
        <v>-50</v>
      </c>
    </row>
    <row r="98" spans="5:86" x14ac:dyDescent="0.25">
      <c r="E98" s="150">
        <v>93</v>
      </c>
      <c r="F98" s="191">
        <f t="shared" si="172"/>
        <v>0.46500000000000002</v>
      </c>
      <c r="G98" s="191"/>
      <c r="H98" s="191">
        <f t="shared" si="120"/>
        <v>6.9750000000000005</v>
      </c>
      <c r="I98" s="472">
        <f t="shared" si="121"/>
        <v>11.1</v>
      </c>
      <c r="J98" s="152">
        <f t="shared" si="122"/>
        <v>7.66</v>
      </c>
      <c r="K98" s="386">
        <f t="shared" si="123"/>
        <v>18.759999999999998</v>
      </c>
      <c r="L98" s="386"/>
      <c r="M98" s="191">
        <f t="shared" si="124"/>
        <v>0.40831556503198302</v>
      </c>
      <c r="N98" s="152">
        <f t="shared" si="125"/>
        <v>8.3620986140724956</v>
      </c>
      <c r="O98" s="152">
        <f t="shared" si="173"/>
        <v>6.9750000000000005</v>
      </c>
      <c r="P98" s="191">
        <f t="shared" si="126"/>
        <v>0.55747324093816641</v>
      </c>
      <c r="Q98" s="191">
        <f t="shared" si="127"/>
        <v>15</v>
      </c>
      <c r="R98" s="191">
        <f t="shared" si="128"/>
        <v>0.61941471215351818</v>
      </c>
      <c r="S98" s="152">
        <f t="shared" si="129"/>
        <v>22.157978143695001</v>
      </c>
      <c r="T98" s="467">
        <f t="shared" si="130"/>
        <v>15</v>
      </c>
      <c r="U98" s="191">
        <f t="shared" si="131"/>
        <v>3.419895090913367</v>
      </c>
      <c r="V98" s="191">
        <f t="shared" si="132"/>
        <v>2.7728879115513787</v>
      </c>
      <c r="W98" s="191">
        <f t="shared" si="133"/>
        <v>4.0181535010731473</v>
      </c>
      <c r="X98" s="175">
        <f t="shared" si="134"/>
        <v>350</v>
      </c>
      <c r="Y98" s="386">
        <f t="shared" si="174"/>
        <v>147.25282018469258</v>
      </c>
      <c r="AA98" s="191">
        <f t="shared" si="135"/>
        <v>1.4388262767793685</v>
      </c>
      <c r="AB98" s="153">
        <f t="shared" si="136"/>
        <v>1.6905269570514774</v>
      </c>
      <c r="AC98" s="153">
        <f t="shared" si="137"/>
        <v>0.21283277814833412</v>
      </c>
      <c r="AD98" s="153"/>
      <c r="AE98" s="153">
        <f t="shared" si="138"/>
        <v>0.96344647519582249</v>
      </c>
      <c r="AF98" s="317">
        <f t="shared" si="139"/>
        <v>2354.3525679159234</v>
      </c>
      <c r="AG98" s="463">
        <f t="shared" si="140"/>
        <v>6.9127284595300251E-2</v>
      </c>
      <c r="AI98" s="153">
        <f t="shared" si="141"/>
        <v>2.2417868912116661</v>
      </c>
      <c r="AJ98" s="153">
        <f t="shared" si="142"/>
        <v>3.419895090913367</v>
      </c>
      <c r="AK98" s="153">
        <f t="shared" si="143"/>
        <v>2.9332633939422448</v>
      </c>
      <c r="AM98" s="317">
        <f t="shared" si="144"/>
        <v>465</v>
      </c>
      <c r="AN98" s="147">
        <f t="shared" si="145"/>
        <v>147.25282018469258</v>
      </c>
      <c r="AP98">
        <f t="shared" si="146"/>
        <v>465</v>
      </c>
      <c r="AQ98">
        <f t="shared" si="147"/>
        <v>147.25282018469258</v>
      </c>
      <c r="AS98" s="5">
        <f t="shared" si="175"/>
        <v>6.7910414126245255</v>
      </c>
      <c r="AT98" s="5">
        <f t="shared" si="148"/>
        <v>2.7728879115513787</v>
      </c>
      <c r="AU98" s="5">
        <f t="shared" si="176"/>
        <v>4.0181535010731473</v>
      </c>
      <c r="AV98" s="5">
        <f t="shared" si="149"/>
        <v>4.0181535010731473</v>
      </c>
      <c r="AW98" s="153">
        <f t="shared" si="177"/>
        <v>0.40831556503198291</v>
      </c>
      <c r="AX98" s="153">
        <f t="shared" si="150"/>
        <v>7.7499999999999973</v>
      </c>
      <c r="AY98" s="153">
        <f t="shared" si="151"/>
        <v>0.50587467362924265</v>
      </c>
      <c r="AZ98" s="153">
        <f t="shared" si="178"/>
        <v>15.32</v>
      </c>
      <c r="BA98" s="147">
        <f t="shared" si="152"/>
        <v>16.670079701628925</v>
      </c>
      <c r="BB98" s="147">
        <f t="shared" si="153"/>
        <v>16.094644128560994</v>
      </c>
      <c r="BC98" s="5">
        <f t="shared" si="154"/>
        <v>5.0548964586181135</v>
      </c>
      <c r="BD98" s="147">
        <f t="shared" si="155"/>
        <v>129.61584616427882</v>
      </c>
      <c r="BE98" s="5"/>
      <c r="BF98" s="153">
        <f t="shared" si="179"/>
        <v>1.2616826305910096</v>
      </c>
      <c r="BG98" s="153">
        <f t="shared" si="156"/>
        <v>0.75939412537497042</v>
      </c>
      <c r="BH98" s="153"/>
      <c r="BI98" s="463">
        <f t="shared" si="157"/>
        <v>0.17510273663685549</v>
      </c>
      <c r="BJ98" s="463">
        <f t="shared" si="158"/>
        <v>4.7236666666666663E-2</v>
      </c>
      <c r="BK98" s="463">
        <f t="shared" si="159"/>
        <v>7.3626410092346283E-3</v>
      </c>
      <c r="BL98" s="463">
        <f t="shared" si="160"/>
        <v>1.1660355929032256E-2</v>
      </c>
      <c r="BM98">
        <f t="shared" si="161"/>
        <v>3.2190000000000001E-3</v>
      </c>
      <c r="BN98">
        <f t="shared" si="162"/>
        <v>8.9824220312662484E-6</v>
      </c>
      <c r="BO98" s="463">
        <f t="shared" si="163"/>
        <v>0.27718408732871164</v>
      </c>
      <c r="BP98" s="147">
        <f t="shared" si="180"/>
        <v>277.18408732871166</v>
      </c>
      <c r="BQ98" s="463">
        <f t="shared" si="164"/>
        <v>0.26574661807353372</v>
      </c>
      <c r="BR98" s="463"/>
      <c r="BT98" s="147">
        <f t="shared" si="181"/>
        <v>265.74661807353374</v>
      </c>
      <c r="BU98" s="463">
        <f t="shared" si="165"/>
        <v>0.13530666012847925</v>
      </c>
      <c r="BV98" s="463">
        <f t="shared" si="166"/>
        <v>0.10956909315426309</v>
      </c>
      <c r="BW98" s="463">
        <f t="shared" si="167"/>
        <v>0</v>
      </c>
      <c r="BX98" s="463">
        <f t="shared" si="168"/>
        <v>0.27974098645933443</v>
      </c>
      <c r="BY98" s="463">
        <f t="shared" si="169"/>
        <v>0.86111111111111105</v>
      </c>
      <c r="BZ98" s="147">
        <f t="shared" si="182"/>
        <v>1140.8520975704455</v>
      </c>
      <c r="CA98" s="153">
        <f t="shared" si="183"/>
        <v>1.6837828029726909</v>
      </c>
      <c r="CB98" s="5">
        <f t="shared" si="184"/>
        <v>6.9750000000000005</v>
      </c>
      <c r="CC98" s="153">
        <f t="shared" si="185"/>
        <v>0.80554047361083791</v>
      </c>
      <c r="CD98" s="5">
        <f t="shared" si="186"/>
        <v>80.554047361083789</v>
      </c>
      <c r="CG98" s="59">
        <f t="shared" si="170"/>
        <v>-50</v>
      </c>
      <c r="CH98">
        <f t="shared" si="171"/>
        <v>-50</v>
      </c>
    </row>
    <row r="99" spans="5:86" x14ac:dyDescent="0.25">
      <c r="E99" s="150">
        <v>94</v>
      </c>
      <c r="F99" s="191">
        <f t="shared" si="172"/>
        <v>0.47</v>
      </c>
      <c r="G99" s="191"/>
      <c r="H99" s="191">
        <f t="shared" si="120"/>
        <v>7.05</v>
      </c>
      <c r="I99" s="472">
        <f t="shared" si="121"/>
        <v>11.1</v>
      </c>
      <c r="J99" s="152">
        <f t="shared" si="122"/>
        <v>7.66</v>
      </c>
      <c r="K99" s="386">
        <f t="shared" si="123"/>
        <v>18.759999999999998</v>
      </c>
      <c r="L99" s="386"/>
      <c r="M99" s="191">
        <f t="shared" si="124"/>
        <v>0.40831556503198302</v>
      </c>
      <c r="N99" s="152">
        <f t="shared" si="125"/>
        <v>8.3620986140724956</v>
      </c>
      <c r="O99" s="152">
        <f t="shared" si="173"/>
        <v>7.05</v>
      </c>
      <c r="P99" s="191">
        <f t="shared" si="126"/>
        <v>0.55747324093816641</v>
      </c>
      <c r="Q99" s="191">
        <f t="shared" si="127"/>
        <v>15</v>
      </c>
      <c r="R99" s="191">
        <f t="shared" si="128"/>
        <v>0.61941471215351818</v>
      </c>
      <c r="S99" s="152">
        <f t="shared" si="129"/>
        <v>21.696077537510153</v>
      </c>
      <c r="T99" s="467">
        <f t="shared" si="130"/>
        <v>15</v>
      </c>
      <c r="U99" s="191">
        <f t="shared" si="131"/>
        <v>3.4566681564070589</v>
      </c>
      <c r="V99" s="191">
        <f t="shared" si="132"/>
        <v>2.802703910600318</v>
      </c>
      <c r="W99" s="191">
        <f t="shared" si="133"/>
        <v>4.0613594526975882</v>
      </c>
      <c r="X99" s="175">
        <f t="shared" si="134"/>
        <v>350</v>
      </c>
      <c r="Y99" s="386">
        <f t="shared" si="174"/>
        <v>145.6863008210257</v>
      </c>
      <c r="AA99" s="191">
        <f t="shared" si="135"/>
        <v>1.4388262767793685</v>
      </c>
      <c r="AB99" s="153">
        <f t="shared" si="136"/>
        <v>1.6905269570514774</v>
      </c>
      <c r="AC99" s="153">
        <f t="shared" si="137"/>
        <v>0.21283277814833412</v>
      </c>
      <c r="AD99" s="153"/>
      <c r="AE99" s="153">
        <f t="shared" si="138"/>
        <v>0.96344647519582249</v>
      </c>
      <c r="AF99" s="317">
        <f t="shared" si="139"/>
        <v>2379.6681869257718</v>
      </c>
      <c r="AG99" s="463">
        <f t="shared" si="140"/>
        <v>6.9127284595300251E-2</v>
      </c>
      <c r="AI99" s="153">
        <f t="shared" si="141"/>
        <v>2.2538072824254369</v>
      </c>
      <c r="AJ99" s="153">
        <f t="shared" si="142"/>
        <v>3.4566681564070589</v>
      </c>
      <c r="AK99" s="153">
        <f t="shared" si="143"/>
        <v>2.9577787709380399</v>
      </c>
      <c r="AM99" s="317">
        <f t="shared" si="144"/>
        <v>470</v>
      </c>
      <c r="AN99" s="147">
        <f t="shared" si="145"/>
        <v>145.6863008210257</v>
      </c>
      <c r="AP99">
        <f t="shared" si="146"/>
        <v>470</v>
      </c>
      <c r="AQ99">
        <f t="shared" si="147"/>
        <v>145.6863008210257</v>
      </c>
      <c r="AS99" s="5">
        <f t="shared" si="175"/>
        <v>6.8640633632979045</v>
      </c>
      <c r="AT99" s="5">
        <f t="shared" si="148"/>
        <v>2.802703910600318</v>
      </c>
      <c r="AU99" s="5">
        <f t="shared" si="176"/>
        <v>4.0613594526975865</v>
      </c>
      <c r="AV99" s="5">
        <f t="shared" si="149"/>
        <v>4.0613594526975882</v>
      </c>
      <c r="AW99" s="153">
        <f t="shared" si="177"/>
        <v>0.40831556503198307</v>
      </c>
      <c r="AX99" s="153">
        <f t="shared" si="150"/>
        <v>7.833333333333333</v>
      </c>
      <c r="AY99" s="153">
        <f t="shared" si="151"/>
        <v>0.51131418624891189</v>
      </c>
      <c r="AZ99" s="153">
        <f t="shared" si="178"/>
        <v>15.320000000000006</v>
      </c>
      <c r="BA99" s="147">
        <f t="shared" si="152"/>
        <v>16.670079701628925</v>
      </c>
      <c r="BB99" s="147">
        <f t="shared" si="153"/>
        <v>16.427465084976866</v>
      </c>
      <c r="BC99" s="5">
        <f t="shared" si="154"/>
        <v>5.1641883580008798</v>
      </c>
      <c r="BD99" s="147">
        <f t="shared" si="155"/>
        <v>132.39550523941207</v>
      </c>
      <c r="BE99" s="5"/>
      <c r="BF99" s="153">
        <f t="shared" si="179"/>
        <v>1.2752491104898378</v>
      </c>
      <c r="BG99" s="153">
        <f t="shared" si="156"/>
        <v>0.7675596536048086</v>
      </c>
      <c r="BH99" s="153"/>
      <c r="BI99" s="463">
        <f t="shared" si="157"/>
        <v>0.17888863231856347</v>
      </c>
      <c r="BJ99" s="463">
        <f t="shared" si="158"/>
        <v>4.7236666666666677E-2</v>
      </c>
      <c r="BK99" s="463">
        <f t="shared" si="159"/>
        <v>7.2843150410512843E-3</v>
      </c>
      <c r="BL99" s="463">
        <f t="shared" si="160"/>
        <v>1.1536309589361703E-2</v>
      </c>
      <c r="BM99">
        <f t="shared" si="161"/>
        <v>3.2190000000000001E-3</v>
      </c>
      <c r="BN99">
        <f t="shared" si="162"/>
        <v>8.8868643500825688E-6</v>
      </c>
      <c r="BO99" s="463">
        <f t="shared" si="163"/>
        <v>0.28161858387267463</v>
      </c>
      <c r="BP99" s="147">
        <f t="shared" si="180"/>
        <v>281.61858387267461</v>
      </c>
      <c r="BQ99" s="463">
        <f t="shared" si="164"/>
        <v>0.2695617871774475</v>
      </c>
      <c r="BR99" s="463"/>
      <c r="BT99" s="147">
        <f t="shared" si="181"/>
        <v>269.56178717744751</v>
      </c>
      <c r="BU99" s="463">
        <f t="shared" si="165"/>
        <v>0.13823212497343543</v>
      </c>
      <c r="BV99" s="463">
        <f t="shared" si="166"/>
        <v>0.11193808614996742</v>
      </c>
      <c r="BW99" s="463">
        <f t="shared" si="167"/>
        <v>0</v>
      </c>
      <c r="BX99" s="463">
        <f t="shared" si="168"/>
        <v>0.28591278540930942</v>
      </c>
      <c r="BY99" s="463">
        <f t="shared" si="169"/>
        <v>0.87037037037037057</v>
      </c>
      <c r="BZ99" s="147">
        <f t="shared" si="182"/>
        <v>1156.2831557796801</v>
      </c>
      <c r="CA99" s="153">
        <f t="shared" si="183"/>
        <v>1.7074635268298022</v>
      </c>
      <c r="CB99" s="5">
        <f t="shared" si="184"/>
        <v>7.05</v>
      </c>
      <c r="CC99" s="153">
        <f t="shared" si="185"/>
        <v>0.80502761768875974</v>
      </c>
      <c r="CD99" s="5">
        <f t="shared" si="186"/>
        <v>80.50276176887597</v>
      </c>
      <c r="CG99" s="59">
        <f t="shared" si="170"/>
        <v>-50</v>
      </c>
      <c r="CH99">
        <f t="shared" si="171"/>
        <v>-50</v>
      </c>
    </row>
    <row r="100" spans="5:86" x14ac:dyDescent="0.25">
      <c r="E100" s="150">
        <v>95</v>
      </c>
      <c r="F100" s="191">
        <f t="shared" si="172"/>
        <v>0.47499999999999998</v>
      </c>
      <c r="G100" s="191"/>
      <c r="H100" s="191">
        <f t="shared" si="120"/>
        <v>7.125</v>
      </c>
      <c r="I100" s="472">
        <f t="shared" si="121"/>
        <v>11.1</v>
      </c>
      <c r="J100" s="152">
        <f t="shared" si="122"/>
        <v>7.66</v>
      </c>
      <c r="K100" s="386">
        <f t="shared" si="123"/>
        <v>18.759999999999998</v>
      </c>
      <c r="L100" s="386"/>
      <c r="M100" s="191">
        <f t="shared" si="124"/>
        <v>0.40831556503198302</v>
      </c>
      <c r="N100" s="152">
        <f t="shared" si="125"/>
        <v>8.3620986140724956</v>
      </c>
      <c r="O100" s="152">
        <f t="shared" si="173"/>
        <v>7.125</v>
      </c>
      <c r="P100" s="191">
        <f t="shared" si="126"/>
        <v>0.55747324093816641</v>
      </c>
      <c r="Q100" s="191">
        <f t="shared" si="127"/>
        <v>15</v>
      </c>
      <c r="R100" s="191">
        <f t="shared" si="128"/>
        <v>0.61941471215351818</v>
      </c>
      <c r="S100" s="152">
        <f t="shared" si="129"/>
        <v>21.244172164080346</v>
      </c>
      <c r="T100" s="467">
        <f t="shared" si="130"/>
        <v>15</v>
      </c>
      <c r="U100" s="191">
        <f t="shared" si="131"/>
        <v>3.4934412219007509</v>
      </c>
      <c r="V100" s="191">
        <f t="shared" si="132"/>
        <v>2.8325199096492577</v>
      </c>
      <c r="W100" s="191">
        <f t="shared" si="133"/>
        <v>4.104565404322031</v>
      </c>
      <c r="X100" s="175">
        <f t="shared" si="134"/>
        <v>350</v>
      </c>
      <c r="Y100" s="386">
        <f t="shared" si="174"/>
        <v>144.15276081238329</v>
      </c>
      <c r="AA100" s="191">
        <f t="shared" si="135"/>
        <v>1.4388262767793685</v>
      </c>
      <c r="AB100" s="153">
        <f t="shared" si="136"/>
        <v>1.6905269570514774</v>
      </c>
      <c r="AC100" s="153">
        <f t="shared" si="137"/>
        <v>0.21283277814833412</v>
      </c>
      <c r="AD100" s="153"/>
      <c r="AE100" s="153">
        <f t="shared" si="138"/>
        <v>0.96344647519582249</v>
      </c>
      <c r="AF100" s="317">
        <f t="shared" si="139"/>
        <v>2404.9838059356202</v>
      </c>
      <c r="AG100" s="463">
        <f t="shared" si="140"/>
        <v>6.9127284595300251E-2</v>
      </c>
      <c r="AI100" s="153">
        <f t="shared" si="141"/>
        <v>2.2657639036359019</v>
      </c>
      <c r="AJ100" s="153">
        <f t="shared" si="142"/>
        <v>3.4934412219007509</v>
      </c>
      <c r="AK100" s="153">
        <f t="shared" si="143"/>
        <v>2.9822941479338341</v>
      </c>
      <c r="AM100" s="317">
        <f t="shared" si="144"/>
        <v>475</v>
      </c>
      <c r="AN100" s="147">
        <f t="shared" si="145"/>
        <v>144.15276081238329</v>
      </c>
      <c r="AP100">
        <f t="shared" si="146"/>
        <v>475</v>
      </c>
      <c r="AQ100">
        <f t="shared" si="147"/>
        <v>144.15276081238329</v>
      </c>
      <c r="AS100" s="5">
        <f t="shared" si="175"/>
        <v>6.9370853139712878</v>
      </c>
      <c r="AT100" s="5">
        <f t="shared" si="148"/>
        <v>2.8325199096492577</v>
      </c>
      <c r="AU100" s="5">
        <f t="shared" si="176"/>
        <v>4.1045654043220301</v>
      </c>
      <c r="AV100" s="5">
        <f t="shared" si="149"/>
        <v>4.104565404322031</v>
      </c>
      <c r="AW100" s="153">
        <f t="shared" si="177"/>
        <v>0.40831556503198302</v>
      </c>
      <c r="AX100" s="153">
        <f t="shared" si="150"/>
        <v>7.9166666666666643</v>
      </c>
      <c r="AY100" s="153">
        <f t="shared" si="151"/>
        <v>0.51675369886858125</v>
      </c>
      <c r="AZ100" s="153">
        <f t="shared" si="178"/>
        <v>15.319999999999999</v>
      </c>
      <c r="BA100" s="147">
        <f t="shared" si="152"/>
        <v>16.670079701628925</v>
      </c>
      <c r="BB100" s="147">
        <f t="shared" si="153"/>
        <v>16.763685196006819</v>
      </c>
      <c r="BC100" s="5">
        <f t="shared" si="154"/>
        <v>5.2746491547032548</v>
      </c>
      <c r="BD100" s="147">
        <f t="shared" si="155"/>
        <v>135.20465240601723</v>
      </c>
      <c r="BE100" s="5"/>
      <c r="BF100" s="153">
        <f t="shared" si="179"/>
        <v>1.288815590388666</v>
      </c>
      <c r="BG100" s="153">
        <f t="shared" si="156"/>
        <v>0.77572518183464712</v>
      </c>
      <c r="BH100" s="153"/>
      <c r="BI100" s="463">
        <f t="shared" si="157"/>
        <v>0.18271501886317743</v>
      </c>
      <c r="BJ100" s="463">
        <f t="shared" si="158"/>
        <v>4.723666666666667E-2</v>
      </c>
      <c r="BK100" s="463">
        <f t="shared" si="159"/>
        <v>7.207638040619164E-3</v>
      </c>
      <c r="BL100" s="463">
        <f t="shared" si="160"/>
        <v>1.1414874751578949E-2</v>
      </c>
      <c r="BM100">
        <f t="shared" si="161"/>
        <v>3.2190000000000001E-3</v>
      </c>
      <c r="BN100">
        <f t="shared" si="162"/>
        <v>8.7933184095553821E-6</v>
      </c>
      <c r="BO100" s="463">
        <f t="shared" si="163"/>
        <v>0.28611367466498266</v>
      </c>
      <c r="BP100" s="147">
        <f t="shared" si="180"/>
        <v>286.11367466498268</v>
      </c>
      <c r="BQ100" s="463">
        <f t="shared" si="164"/>
        <v>0.27339733242151015</v>
      </c>
      <c r="BR100" s="463"/>
      <c r="BT100" s="147">
        <f t="shared" si="181"/>
        <v>273.39733242151016</v>
      </c>
      <c r="BU100" s="463">
        <f t="shared" si="165"/>
        <v>0.14118887821245529</v>
      </c>
      <c r="BV100" s="463">
        <f t="shared" si="166"/>
        <v>0.1143324159691553</v>
      </c>
      <c r="BW100" s="463">
        <f t="shared" si="167"/>
        <v>0</v>
      </c>
      <c r="BX100" s="463">
        <f t="shared" si="168"/>
        <v>0.29215601615139986</v>
      </c>
      <c r="BY100" s="463">
        <f t="shared" si="169"/>
        <v>0.87962962962962943</v>
      </c>
      <c r="BZ100" s="147">
        <f t="shared" si="182"/>
        <v>1171.7856457810294</v>
      </c>
      <c r="CA100" s="153">
        <f t="shared" si="183"/>
        <v>1.7312966528675222</v>
      </c>
      <c r="CB100" s="5">
        <f t="shared" si="184"/>
        <v>7.125</v>
      </c>
      <c r="CC100" s="153">
        <f t="shared" si="185"/>
        <v>0.80451234633079316</v>
      </c>
      <c r="CD100" s="5">
        <f t="shared" si="186"/>
        <v>80.451234633079309</v>
      </c>
      <c r="CG100" s="59">
        <f t="shared" si="170"/>
        <v>-50</v>
      </c>
      <c r="CH100">
        <f t="shared" si="171"/>
        <v>-50</v>
      </c>
    </row>
    <row r="101" spans="5:86" x14ac:dyDescent="0.25">
      <c r="E101" s="150">
        <v>96</v>
      </c>
      <c r="F101" s="191">
        <f t="shared" si="172"/>
        <v>0.48</v>
      </c>
      <c r="G101" s="191"/>
      <c r="H101" s="191">
        <f t="shared" ref="H101:H105" si="187">F101*Vout</f>
        <v>7.1999999999999993</v>
      </c>
      <c r="I101" s="472">
        <f t="shared" si="121"/>
        <v>11.1</v>
      </c>
      <c r="J101" s="152">
        <f t="shared" si="122"/>
        <v>7.66</v>
      </c>
      <c r="K101" s="386">
        <f t="shared" si="123"/>
        <v>18.759999999999998</v>
      </c>
      <c r="L101" s="386"/>
      <c r="M101" s="191">
        <f t="shared" si="124"/>
        <v>0.40831556503198302</v>
      </c>
      <c r="N101" s="152">
        <f t="shared" ref="N101:N105" si="188">M101*I101*Isw_max*0.5*Efficiency</f>
        <v>8.3620986140724956</v>
      </c>
      <c r="O101" s="152">
        <f t="shared" si="173"/>
        <v>7.1999999999999993</v>
      </c>
      <c r="P101" s="191">
        <f t="shared" ref="P101:P105" si="189">N101/Vout</f>
        <v>0.55747324093816641</v>
      </c>
      <c r="Q101" s="191">
        <f t="shared" si="127"/>
        <v>15</v>
      </c>
      <c r="R101" s="191">
        <f t="shared" ref="R101:R105" si="190">Isw_max/2*I101*Nps*(Q101+Vfwd1)/Q101/(I101+Nps*(Q101+Vfwd1))</f>
        <v>0.61941471215351818</v>
      </c>
      <c r="S101" s="152">
        <f t="shared" si="129"/>
        <v>20.801957464075947</v>
      </c>
      <c r="T101" s="467">
        <f t="shared" ref="T101:T105" si="191">MIN(Vout, S101)</f>
        <v>15</v>
      </c>
      <c r="U101" s="191">
        <f t="shared" si="131"/>
        <v>3.5302142873944429</v>
      </c>
      <c r="V101" s="191">
        <f t="shared" ref="V101:V105" si="192">L*U101/I101*1000000</f>
        <v>2.862335908698197</v>
      </c>
      <c r="W101" s="191">
        <f t="shared" si="133"/>
        <v>4.1477713559464728</v>
      </c>
      <c r="X101" s="175">
        <f t="shared" si="134"/>
        <v>350</v>
      </c>
      <c r="Y101" s="386">
        <f t="shared" si="174"/>
        <v>142.65116955392097</v>
      </c>
      <c r="AA101" s="191">
        <f t="shared" si="135"/>
        <v>1.4388262767793685</v>
      </c>
      <c r="AB101" s="153">
        <f t="shared" ref="AB101:AB105" si="193">L*AA101/J101*1000000</f>
        <v>1.6905269570514774</v>
      </c>
      <c r="AC101" s="153">
        <f t="shared" ref="AC101:AC105" si="194">0.5*AB101*AA101*Nps*X101/1000</f>
        <v>0.21283277814833412</v>
      </c>
      <c r="AD101" s="153"/>
      <c r="AE101" s="153">
        <f t="shared" si="138"/>
        <v>0.96344647519582249</v>
      </c>
      <c r="AF101" s="317">
        <f t="shared" ref="AF101:AF105" si="195">MAX(12, F101/(0.5*AE101/1000000*Isw_min*Nps)/1000)</f>
        <v>2430.2994249454691</v>
      </c>
      <c r="AG101" s="463">
        <f t="shared" si="140"/>
        <v>6.9127284595300251E-2</v>
      </c>
      <c r="AI101" s="153">
        <f t="shared" si="141"/>
        <v>2.2776577591299505</v>
      </c>
      <c r="AJ101" s="153">
        <f t="shared" ref="AJ101:AJ105" si="196">MAX(IF(F101&gt;AC101,U101,AI101),Isw_min)</f>
        <v>3.5302142873944429</v>
      </c>
      <c r="AK101" s="153">
        <f t="shared" ref="AK101:AK105" si="197">IF(F101&gt;AG101, (AJ101-Isw_min)/1.2*0.8+1.2, AF101*0.2/350+1)</f>
        <v>3.0068095249296292</v>
      </c>
      <c r="AM101" s="317">
        <f t="shared" si="144"/>
        <v>480</v>
      </c>
      <c r="AN101" s="147">
        <f t="shared" si="145"/>
        <v>142.65116955392097</v>
      </c>
      <c r="AP101">
        <f t="shared" si="146"/>
        <v>480</v>
      </c>
      <c r="AQ101">
        <f t="shared" si="147"/>
        <v>142.65116955392097</v>
      </c>
      <c r="AS101" s="5">
        <f t="shared" si="175"/>
        <v>7.0101072646446703</v>
      </c>
      <c r="AT101" s="5">
        <f t="shared" si="148"/>
        <v>2.862335908698197</v>
      </c>
      <c r="AU101" s="5">
        <f t="shared" si="176"/>
        <v>4.1477713559464728</v>
      </c>
      <c r="AV101" s="5">
        <f t="shared" si="149"/>
        <v>4.1477713559464728</v>
      </c>
      <c r="AW101" s="153">
        <f t="shared" si="177"/>
        <v>0.40831556503198296</v>
      </c>
      <c r="AX101" s="153">
        <f t="shared" si="150"/>
        <v>7.9999999999999982</v>
      </c>
      <c r="AY101" s="153">
        <f t="shared" si="151"/>
        <v>0.52219321148825049</v>
      </c>
      <c r="AZ101" s="153">
        <f t="shared" si="178"/>
        <v>15.320000000000002</v>
      </c>
      <c r="BA101" s="147">
        <f t="shared" si="152"/>
        <v>16.670079701628925</v>
      </c>
      <c r="BB101" s="147">
        <f t="shared" si="153"/>
        <v>17.10330446165084</v>
      </c>
      <c r="BC101" s="5">
        <f t="shared" si="154"/>
        <v>5.3862788487252296</v>
      </c>
      <c r="BD101" s="147">
        <f t="shared" si="155"/>
        <v>138.04328766409407</v>
      </c>
      <c r="BE101" s="5"/>
      <c r="BF101" s="153">
        <f t="shared" si="179"/>
        <v>1.3023820702874938</v>
      </c>
      <c r="BG101" s="153">
        <f t="shared" si="156"/>
        <v>0.78389071006448541</v>
      </c>
      <c r="BH101" s="153"/>
      <c r="BI101" s="463">
        <f t="shared" si="157"/>
        <v>0.18658189627069721</v>
      </c>
      <c r="BJ101" s="463">
        <f t="shared" si="158"/>
        <v>4.7236666666666663E-2</v>
      </c>
      <c r="BK101" s="463">
        <f t="shared" si="159"/>
        <v>7.1325584776960474E-3</v>
      </c>
      <c r="BL101" s="463">
        <f t="shared" si="160"/>
        <v>1.129596980625E-2</v>
      </c>
      <c r="BM101">
        <f t="shared" si="161"/>
        <v>3.2190000000000001E-3</v>
      </c>
      <c r="BN101">
        <f t="shared" si="162"/>
        <v>8.7017213427891795E-6</v>
      </c>
      <c r="BO101" s="463">
        <f t="shared" ref="BO101:BO105" si="198">(BJ101+BK101+BL101+BM101+BN101+BI101*(1+RdsonTC*(Ta-25)))/(1-BI101*RdsonTC*ThetaJA)</f>
        <v>0.29066945899657132</v>
      </c>
      <c r="BP101" s="147">
        <f t="shared" si="180"/>
        <v>290.66945899657134</v>
      </c>
      <c r="BQ101" s="463">
        <f t="shared" si="164"/>
        <v>0.27725325380572158</v>
      </c>
      <c r="BR101" s="463"/>
      <c r="BT101" s="147">
        <f t="shared" si="181"/>
        <v>277.25325380572156</v>
      </c>
      <c r="BU101" s="463">
        <f t="shared" si="165"/>
        <v>0.14417691984553876</v>
      </c>
      <c r="BV101" s="463">
        <f t="shared" si="166"/>
        <v>0.1167520826118266</v>
      </c>
      <c r="BW101" s="463">
        <f t="shared" si="167"/>
        <v>0</v>
      </c>
      <c r="BX101" s="463">
        <f t="shared" ref="BX101:BX105" si="199">(BW101+(BU101+BV101)*(1+Ltc*(Ta-25)))/(1-(BU101+BV101)*Ltc*ThetaCa)</f>
        <v>0.29847085903305631</v>
      </c>
      <c r="BY101" s="463">
        <f t="shared" si="169"/>
        <v>0.88888888888888873</v>
      </c>
      <c r="BZ101" s="147">
        <f t="shared" si="182"/>
        <v>1187.3597479219452</v>
      </c>
      <c r="CA101" s="153">
        <f t="shared" si="183"/>
        <v>1.7552824607242381</v>
      </c>
      <c r="CB101" s="5">
        <f t="shared" si="184"/>
        <v>7.1999999999999993</v>
      </c>
      <c r="CC101" s="153">
        <f t="shared" si="185"/>
        <v>0.80399474071058119</v>
      </c>
      <c r="CD101" s="5">
        <f t="shared" si="186"/>
        <v>80.399474071058123</v>
      </c>
      <c r="CG101" s="59">
        <f t="shared" si="170"/>
        <v>-50</v>
      </c>
      <c r="CH101">
        <f t="shared" si="171"/>
        <v>-50</v>
      </c>
    </row>
    <row r="102" spans="5:86" x14ac:dyDescent="0.25">
      <c r="E102" s="150">
        <v>97</v>
      </c>
      <c r="F102" s="191">
        <f t="shared" ref="F102:F105" si="200">IF(PLOT_TYPE=1, E102/100*Iout_max, min_I*EXP(N102*rr/100))</f>
        <v>0.48499999999999999</v>
      </c>
      <c r="G102" s="191"/>
      <c r="H102" s="191">
        <f t="shared" si="187"/>
        <v>7.2749999999999995</v>
      </c>
      <c r="I102" s="472">
        <f t="shared" si="121"/>
        <v>11.1</v>
      </c>
      <c r="J102" s="152">
        <f t="shared" si="122"/>
        <v>7.66</v>
      </c>
      <c r="K102" s="386">
        <f t="shared" si="123"/>
        <v>18.759999999999998</v>
      </c>
      <c r="L102" s="386"/>
      <c r="M102" s="191">
        <f t="shared" si="124"/>
        <v>0.40831556503198302</v>
      </c>
      <c r="N102" s="152">
        <f t="shared" si="188"/>
        <v>8.3620986140724956</v>
      </c>
      <c r="O102" s="152">
        <f t="shared" si="173"/>
        <v>7.2749999999999995</v>
      </c>
      <c r="P102" s="191">
        <f t="shared" si="189"/>
        <v>0.55747324093816641</v>
      </c>
      <c r="Q102" s="191">
        <f t="shared" si="127"/>
        <v>15</v>
      </c>
      <c r="R102" s="191">
        <f t="shared" si="190"/>
        <v>0.61941471215351818</v>
      </c>
      <c r="S102" s="152">
        <f t="shared" si="129"/>
        <v>20.369141717252699</v>
      </c>
      <c r="T102" s="467">
        <f t="shared" si="191"/>
        <v>15</v>
      </c>
      <c r="U102" s="191">
        <f t="shared" si="131"/>
        <v>3.5669873528881348</v>
      </c>
      <c r="V102" s="191">
        <f t="shared" si="192"/>
        <v>2.8921519077471367</v>
      </c>
      <c r="W102" s="191">
        <f t="shared" si="133"/>
        <v>4.1909773075709156</v>
      </c>
      <c r="X102" s="175">
        <f t="shared" si="134"/>
        <v>350</v>
      </c>
      <c r="Y102" s="386">
        <f t="shared" si="174"/>
        <v>141.18053893996301</v>
      </c>
      <c r="AA102" s="191">
        <f t="shared" si="135"/>
        <v>1.4388262767793685</v>
      </c>
      <c r="AB102" s="153">
        <f t="shared" si="193"/>
        <v>1.6905269570514774</v>
      </c>
      <c r="AC102" s="153">
        <f t="shared" si="194"/>
        <v>0.21283277814833412</v>
      </c>
      <c r="AD102" s="153"/>
      <c r="AE102" s="153">
        <f t="shared" si="138"/>
        <v>0.96344647519582249</v>
      </c>
      <c r="AF102" s="317">
        <f t="shared" si="195"/>
        <v>2455.6150439553176</v>
      </c>
      <c r="AG102" s="463">
        <f t="shared" si="140"/>
        <v>6.9127284595300251E-2</v>
      </c>
      <c r="AI102" s="153">
        <f t="shared" si="141"/>
        <v>2.2894898271078503</v>
      </c>
      <c r="AJ102" s="153">
        <f t="shared" si="196"/>
        <v>3.5669873528881348</v>
      </c>
      <c r="AK102" s="153">
        <f t="shared" si="197"/>
        <v>3.0313249019254234</v>
      </c>
      <c r="AM102" s="317">
        <f t="shared" si="144"/>
        <v>485</v>
      </c>
      <c r="AN102" s="147">
        <f t="shared" si="145"/>
        <v>141.18053893996301</v>
      </c>
      <c r="AP102">
        <f t="shared" si="146"/>
        <v>485</v>
      </c>
      <c r="AQ102">
        <f t="shared" si="147"/>
        <v>141.18053893996301</v>
      </c>
      <c r="AS102" s="5">
        <f t="shared" si="175"/>
        <v>7.0831292153180527</v>
      </c>
      <c r="AT102" s="5">
        <f t="shared" si="148"/>
        <v>2.8921519077471367</v>
      </c>
      <c r="AU102" s="5">
        <f t="shared" si="176"/>
        <v>4.1909773075709165</v>
      </c>
      <c r="AV102" s="5">
        <f t="shared" si="149"/>
        <v>4.1909773075709156</v>
      </c>
      <c r="AW102" s="153">
        <f t="shared" si="177"/>
        <v>0.40831556503198296</v>
      </c>
      <c r="AX102" s="153">
        <f t="shared" si="150"/>
        <v>8.0833333333333321</v>
      </c>
      <c r="AY102" s="153">
        <f t="shared" si="151"/>
        <v>0.52763272410791973</v>
      </c>
      <c r="AZ102" s="153">
        <f t="shared" si="178"/>
        <v>15.320000000000004</v>
      </c>
      <c r="BA102" s="147">
        <f t="shared" si="152"/>
        <v>16.670079701628925</v>
      </c>
      <c r="BB102" s="147">
        <f t="shared" si="153"/>
        <v>17.446322881908934</v>
      </c>
      <c r="BC102" s="5">
        <f t="shared" si="154"/>
        <v>5.4990774400668077</v>
      </c>
      <c r="BD102" s="147">
        <f t="shared" si="155"/>
        <v>140.91141101364281</v>
      </c>
      <c r="BE102" s="5"/>
      <c r="BF102" s="153">
        <f t="shared" si="179"/>
        <v>1.3159485501863217</v>
      </c>
      <c r="BG102" s="153">
        <f t="shared" si="156"/>
        <v>0.79205623829432381</v>
      </c>
      <c r="BH102" s="153"/>
      <c r="BI102" s="463">
        <f t="shared" si="157"/>
        <v>0.19048926454112303</v>
      </c>
      <c r="BJ102" s="463">
        <f t="shared" si="158"/>
        <v>4.7236666666666649E-2</v>
      </c>
      <c r="BK102" s="463">
        <f t="shared" si="159"/>
        <v>7.0590269469981504E-3</v>
      </c>
      <c r="BL102" s="463">
        <f t="shared" si="160"/>
        <v>1.1179516509278351E-2</v>
      </c>
      <c r="BM102">
        <f t="shared" si="161"/>
        <v>3.2190000000000001E-3</v>
      </c>
      <c r="BN102">
        <f t="shared" si="162"/>
        <v>8.6120128753377452E-6</v>
      </c>
      <c r="BO102" s="463">
        <f t="shared" si="198"/>
        <v>0.29528604496306621</v>
      </c>
      <c r="BP102" s="147">
        <f t="shared" si="180"/>
        <v>295.28604496306622</v>
      </c>
      <c r="BQ102" s="463">
        <f t="shared" si="164"/>
        <v>0.28112955133008188</v>
      </c>
      <c r="BR102" s="463"/>
      <c r="BT102" s="147">
        <f t="shared" si="181"/>
        <v>281.12955133008188</v>
      </c>
      <c r="BU102" s="463">
        <f t="shared" si="165"/>
        <v>0.14719624987268598</v>
      </c>
      <c r="BV102" s="463">
        <f t="shared" si="166"/>
        <v>0.11919708607798138</v>
      </c>
      <c r="BW102" s="463">
        <f t="shared" si="167"/>
        <v>0</v>
      </c>
      <c r="BX102" s="463">
        <f t="shared" si="199"/>
        <v>0.30485749670775131</v>
      </c>
      <c r="BY102" s="463">
        <f t="shared" si="169"/>
        <v>0.89814814814814792</v>
      </c>
      <c r="BZ102" s="147">
        <f t="shared" si="182"/>
        <v>1203.0056448558992</v>
      </c>
      <c r="CA102" s="153">
        <f t="shared" si="183"/>
        <v>1.7794212411490473</v>
      </c>
      <c r="CB102" s="5">
        <f t="shared" si="184"/>
        <v>7.2749999999999995</v>
      </c>
      <c r="CC102" s="153">
        <f t="shared" si="185"/>
        <v>0.80347487776885995</v>
      </c>
      <c r="CD102" s="5">
        <f t="shared" si="186"/>
        <v>80.347487776885998</v>
      </c>
      <c r="CG102" s="59">
        <f t="shared" si="170"/>
        <v>-50</v>
      </c>
      <c r="CH102">
        <f t="shared" si="171"/>
        <v>-50</v>
      </c>
    </row>
    <row r="103" spans="5:86" x14ac:dyDescent="0.25">
      <c r="E103" s="150">
        <v>98</v>
      </c>
      <c r="F103" s="191">
        <f t="shared" si="200"/>
        <v>0.49</v>
      </c>
      <c r="G103" s="191"/>
      <c r="H103" s="191">
        <f t="shared" si="187"/>
        <v>7.35</v>
      </c>
      <c r="I103" s="472">
        <f t="shared" si="121"/>
        <v>11.1</v>
      </c>
      <c r="J103" s="152">
        <f t="shared" si="122"/>
        <v>7.66</v>
      </c>
      <c r="K103" s="386">
        <f t="shared" si="123"/>
        <v>18.759999999999998</v>
      </c>
      <c r="L103" s="386"/>
      <c r="M103" s="191">
        <f t="shared" si="124"/>
        <v>0.40831556503198302</v>
      </c>
      <c r="N103" s="152">
        <f t="shared" si="188"/>
        <v>8.3620986140724956</v>
      </c>
      <c r="O103" s="152">
        <f t="shared" si="173"/>
        <v>7.35</v>
      </c>
      <c r="P103" s="191">
        <f t="shared" si="189"/>
        <v>0.55747324093816641</v>
      </c>
      <c r="Q103" s="191">
        <f t="shared" si="127"/>
        <v>15</v>
      </c>
      <c r="R103" s="191">
        <f t="shared" si="190"/>
        <v>0.61941471215351818</v>
      </c>
      <c r="S103" s="152">
        <f t="shared" si="129"/>
        <v>19.945445398934176</v>
      </c>
      <c r="T103" s="467">
        <f t="shared" si="191"/>
        <v>15</v>
      </c>
      <c r="U103" s="191">
        <f t="shared" si="131"/>
        <v>3.6037604183818273</v>
      </c>
      <c r="V103" s="191">
        <f t="shared" si="192"/>
        <v>2.9219679067960764</v>
      </c>
      <c r="W103" s="191">
        <f t="shared" si="133"/>
        <v>4.2341832591953583</v>
      </c>
      <c r="X103" s="175">
        <f t="shared" si="134"/>
        <v>350</v>
      </c>
      <c r="Y103" s="386">
        <f t="shared" si="174"/>
        <v>139.73992119567765</v>
      </c>
      <c r="AA103" s="191">
        <f t="shared" si="135"/>
        <v>1.4388262767793685</v>
      </c>
      <c r="AB103" s="153">
        <f t="shared" si="193"/>
        <v>1.6905269570514774</v>
      </c>
      <c r="AC103" s="153">
        <f t="shared" si="194"/>
        <v>0.21283277814833412</v>
      </c>
      <c r="AD103" s="153"/>
      <c r="AE103" s="153">
        <f t="shared" si="138"/>
        <v>0.96344647519582249</v>
      </c>
      <c r="AF103" s="317">
        <f t="shared" si="195"/>
        <v>2480.9306629651664</v>
      </c>
      <c r="AG103" s="463">
        <f t="shared" si="140"/>
        <v>6.9127284595300251E-2</v>
      </c>
      <c r="AI103" s="153">
        <f t="shared" si="141"/>
        <v>2.3012610606221542</v>
      </c>
      <c r="AJ103" s="153">
        <f t="shared" si="196"/>
        <v>3.6037604183818273</v>
      </c>
      <c r="AK103" s="153">
        <f t="shared" si="197"/>
        <v>3.0558402789212185</v>
      </c>
      <c r="AM103" s="317">
        <f t="shared" si="144"/>
        <v>490</v>
      </c>
      <c r="AN103" s="147">
        <f t="shared" si="145"/>
        <v>139.73992119567765</v>
      </c>
      <c r="AP103">
        <f t="shared" si="146"/>
        <v>490</v>
      </c>
      <c r="AQ103">
        <f t="shared" si="147"/>
        <v>139.73992119567765</v>
      </c>
      <c r="AS103" s="5">
        <f t="shared" si="175"/>
        <v>7.1561511659914361</v>
      </c>
      <c r="AT103" s="5">
        <f t="shared" si="148"/>
        <v>2.9219679067960764</v>
      </c>
      <c r="AU103" s="5">
        <f t="shared" si="176"/>
        <v>4.2341832591953601</v>
      </c>
      <c r="AV103" s="5">
        <f t="shared" si="149"/>
        <v>4.2341832591953583</v>
      </c>
      <c r="AW103" s="153">
        <f t="shared" si="177"/>
        <v>0.40831556503198291</v>
      </c>
      <c r="AX103" s="153">
        <f t="shared" si="150"/>
        <v>8.1666666666666625</v>
      </c>
      <c r="AY103" s="153">
        <f t="shared" si="151"/>
        <v>0.53307223672758908</v>
      </c>
      <c r="AZ103" s="153">
        <f t="shared" si="178"/>
        <v>15.319999999999997</v>
      </c>
      <c r="BA103" s="147">
        <f t="shared" si="152"/>
        <v>16.670079701628925</v>
      </c>
      <c r="BB103" s="147">
        <f t="shared" si="153"/>
        <v>17.792740456781104</v>
      </c>
      <c r="BC103" s="5">
        <f t="shared" si="154"/>
        <v>5.6130449287279882</v>
      </c>
      <c r="BD103" s="147">
        <f t="shared" si="155"/>
        <v>143.80902245466328</v>
      </c>
      <c r="BE103" s="5"/>
      <c r="BF103" s="153">
        <f t="shared" si="179"/>
        <v>1.3295150300851499</v>
      </c>
      <c r="BG103" s="153">
        <f t="shared" si="156"/>
        <v>0.80022176652416221</v>
      </c>
      <c r="BH103" s="153"/>
      <c r="BI103" s="463">
        <f t="shared" si="157"/>
        <v>0.1944371236744549</v>
      </c>
      <c r="BJ103" s="463">
        <f t="shared" si="158"/>
        <v>4.7236666666666663E-2</v>
      </c>
      <c r="BK103" s="463">
        <f t="shared" si="159"/>
        <v>6.9869960597838824E-3</v>
      </c>
      <c r="BL103" s="463">
        <f t="shared" si="160"/>
        <v>1.1065439810204079E-2</v>
      </c>
      <c r="BM103">
        <f t="shared" si="161"/>
        <v>3.2190000000000001E-3</v>
      </c>
      <c r="BN103">
        <f t="shared" si="162"/>
        <v>8.5241351929363373E-6</v>
      </c>
      <c r="BO103" s="463">
        <f t="shared" si="198"/>
        <v>0.29996354921505858</v>
      </c>
      <c r="BP103" s="147">
        <f t="shared" si="180"/>
        <v>299.96354921505861</v>
      </c>
      <c r="BQ103" s="463">
        <f t="shared" si="164"/>
        <v>0.28502622499459096</v>
      </c>
      <c r="BR103" s="463"/>
      <c r="BT103" s="147">
        <f t="shared" si="181"/>
        <v>285.02622499459096</v>
      </c>
      <c r="BU103" s="463">
        <f t="shared" si="165"/>
        <v>0.15024686829389697</v>
      </c>
      <c r="BV103" s="463">
        <f t="shared" si="166"/>
        <v>0.12166742636761965</v>
      </c>
      <c r="BW103" s="463">
        <f t="shared" si="167"/>
        <v>0</v>
      </c>
      <c r="BX103" s="463">
        <f t="shared" si="199"/>
        <v>0.31131611414853572</v>
      </c>
      <c r="BY103" s="463">
        <f t="shared" si="169"/>
        <v>0.907407407407407</v>
      </c>
      <c r="BZ103" s="147">
        <f t="shared" si="182"/>
        <v>1218.7235215559426</v>
      </c>
      <c r="CA103" s="153">
        <f t="shared" si="183"/>
        <v>1.8037132957655921</v>
      </c>
      <c r="CB103" s="5">
        <f t="shared" si="184"/>
        <v>7.35</v>
      </c>
      <c r="CC103" s="153">
        <f t="shared" si="185"/>
        <v>0.80295283045406607</v>
      </c>
      <c r="CD103" s="5">
        <f t="shared" si="186"/>
        <v>80.295283045406606</v>
      </c>
      <c r="CG103" s="59">
        <f t="shared" si="170"/>
        <v>-50</v>
      </c>
      <c r="CH103">
        <f t="shared" si="171"/>
        <v>-50</v>
      </c>
    </row>
    <row r="104" spans="5:86" x14ac:dyDescent="0.25">
      <c r="E104" s="150">
        <v>99</v>
      </c>
      <c r="F104" s="191">
        <f t="shared" si="200"/>
        <v>0.495</v>
      </c>
      <c r="G104" s="191"/>
      <c r="H104" s="191">
        <f t="shared" si="187"/>
        <v>7.4249999999999998</v>
      </c>
      <c r="I104" s="472">
        <f t="shared" si="121"/>
        <v>11.1</v>
      </c>
      <c r="J104" s="152">
        <f t="shared" si="122"/>
        <v>7.66</v>
      </c>
      <c r="K104" s="386">
        <f t="shared" si="123"/>
        <v>18.759999999999998</v>
      </c>
      <c r="L104" s="386"/>
      <c r="M104" s="191">
        <f t="shared" si="124"/>
        <v>0.40831556503198302</v>
      </c>
      <c r="N104" s="152">
        <f t="shared" si="188"/>
        <v>8.3620986140724956</v>
      </c>
      <c r="O104" s="152">
        <f t="shared" si="173"/>
        <v>7.4249999999999998</v>
      </c>
      <c r="P104" s="191">
        <f t="shared" si="189"/>
        <v>0.55747324093816641</v>
      </c>
      <c r="Q104" s="191">
        <f t="shared" si="127"/>
        <v>15</v>
      </c>
      <c r="R104" s="191">
        <f t="shared" si="190"/>
        <v>0.61941471215351818</v>
      </c>
      <c r="S104" s="152">
        <f t="shared" si="129"/>
        <v>19.530600575996015</v>
      </c>
      <c r="T104" s="467">
        <f t="shared" si="191"/>
        <v>15</v>
      </c>
      <c r="U104" s="191">
        <f t="shared" si="131"/>
        <v>3.6405334838755192</v>
      </c>
      <c r="V104" s="191">
        <f t="shared" si="192"/>
        <v>2.9517839058450157</v>
      </c>
      <c r="W104" s="191">
        <f t="shared" si="133"/>
        <v>4.2773892108198002</v>
      </c>
      <c r="X104" s="175">
        <f t="shared" si="134"/>
        <v>350</v>
      </c>
      <c r="Y104" s="386">
        <f t="shared" si="174"/>
        <v>138.3284068401658</v>
      </c>
      <c r="AA104" s="191">
        <f t="shared" si="135"/>
        <v>1.4388262767793685</v>
      </c>
      <c r="AB104" s="153">
        <f t="shared" si="193"/>
        <v>1.6905269570514774</v>
      </c>
      <c r="AC104" s="153">
        <f t="shared" si="194"/>
        <v>0.21283277814833412</v>
      </c>
      <c r="AD104" s="153"/>
      <c r="AE104" s="153">
        <f t="shared" si="138"/>
        <v>0.96344647519582249</v>
      </c>
      <c r="AF104" s="317">
        <f t="shared" si="195"/>
        <v>2506.2462819750149</v>
      </c>
      <c r="AG104" s="463">
        <f t="shared" si="140"/>
        <v>6.9127284595300251E-2</v>
      </c>
      <c r="AI104" s="153">
        <f t="shared" si="141"/>
        <v>2.3129723884735998</v>
      </c>
      <c r="AJ104" s="153">
        <f t="shared" si="196"/>
        <v>3.6405334838755192</v>
      </c>
      <c r="AK104" s="153">
        <f t="shared" si="197"/>
        <v>3.0803556559170131</v>
      </c>
      <c r="AM104" s="317">
        <f t="shared" si="144"/>
        <v>495</v>
      </c>
      <c r="AN104" s="147">
        <f t="shared" si="145"/>
        <v>138.3284068401658</v>
      </c>
      <c r="AP104">
        <f t="shared" si="146"/>
        <v>495</v>
      </c>
      <c r="AQ104">
        <f t="shared" si="147"/>
        <v>138.3284068401658</v>
      </c>
      <c r="AS104" s="5">
        <f t="shared" si="175"/>
        <v>7.2291731166648159</v>
      </c>
      <c r="AT104" s="5">
        <f t="shared" si="148"/>
        <v>2.9517839058450157</v>
      </c>
      <c r="AU104" s="5">
        <f t="shared" si="176"/>
        <v>4.2773892108198002</v>
      </c>
      <c r="AV104" s="5">
        <f t="shared" si="149"/>
        <v>4.2773892108198002</v>
      </c>
      <c r="AW104" s="153">
        <f t="shared" si="177"/>
        <v>0.40831556503198296</v>
      </c>
      <c r="AX104" s="153">
        <f t="shared" si="150"/>
        <v>8.2499999999999964</v>
      </c>
      <c r="AY104" s="153">
        <f t="shared" si="151"/>
        <v>0.53851174934725832</v>
      </c>
      <c r="AZ104" s="153">
        <f t="shared" si="178"/>
        <v>15.319999999999999</v>
      </c>
      <c r="BA104" s="147">
        <f t="shared" si="152"/>
        <v>16.670079701628925</v>
      </c>
      <c r="BB104" s="147">
        <f t="shared" si="153"/>
        <v>18.14255718626735</v>
      </c>
      <c r="BC104" s="5">
        <f t="shared" si="154"/>
        <v>5.7281813147087659</v>
      </c>
      <c r="BD104" s="147">
        <f t="shared" si="155"/>
        <v>146.73612198715543</v>
      </c>
      <c r="BE104" s="5"/>
      <c r="BF104" s="153">
        <f t="shared" si="179"/>
        <v>1.3430815099839779</v>
      </c>
      <c r="BG104" s="153">
        <f t="shared" si="156"/>
        <v>0.80838729475400062</v>
      </c>
      <c r="BH104" s="153"/>
      <c r="BI104" s="463">
        <f t="shared" si="157"/>
        <v>0.19842547367069263</v>
      </c>
      <c r="BJ104" s="463">
        <f t="shared" si="158"/>
        <v>4.7236666666666663E-2</v>
      </c>
      <c r="BK104" s="463">
        <f t="shared" si="159"/>
        <v>6.9164203420082901E-3</v>
      </c>
      <c r="BL104" s="463">
        <f t="shared" si="160"/>
        <v>1.0953667690909092E-2</v>
      </c>
      <c r="BM104">
        <f t="shared" si="161"/>
        <v>3.2190000000000001E-3</v>
      </c>
      <c r="BN104">
        <f t="shared" si="162"/>
        <v>8.4380328172501139E-6</v>
      </c>
      <c r="BO104" s="463">
        <f t="shared" si="198"/>
        <v>0.30470209672589005</v>
      </c>
      <c r="BP104" s="147">
        <f t="shared" si="180"/>
        <v>304.70209672589004</v>
      </c>
      <c r="BQ104" s="463">
        <f t="shared" si="164"/>
        <v>0.28894327479924886</v>
      </c>
      <c r="BR104" s="463"/>
      <c r="BT104" s="147">
        <f t="shared" si="181"/>
        <v>288.94327479924885</v>
      </c>
      <c r="BU104" s="463">
        <f t="shared" si="165"/>
        <v>0.15332877510917159</v>
      </c>
      <c r="BV104" s="463">
        <f t="shared" si="166"/>
        <v>0.12416310348074137</v>
      </c>
      <c r="BW104" s="463">
        <f t="shared" si="167"/>
        <v>0</v>
      </c>
      <c r="BX104" s="463">
        <f t="shared" si="199"/>
        <v>0.31784689866179366</v>
      </c>
      <c r="BY104" s="463">
        <f t="shared" si="169"/>
        <v>0.91666666666666652</v>
      </c>
      <c r="BZ104" s="147">
        <f t="shared" si="182"/>
        <v>1234.5135653284603</v>
      </c>
      <c r="CA104" s="153">
        <f t="shared" si="183"/>
        <v>1.8281589368535991</v>
      </c>
      <c r="CB104" s="5">
        <f t="shared" si="184"/>
        <v>7.4249999999999998</v>
      </c>
      <c r="CC104" s="153">
        <f t="shared" si="185"/>
        <v>0.80242866794685819</v>
      </c>
      <c r="CD104" s="5">
        <f t="shared" si="186"/>
        <v>80.242866794685824</v>
      </c>
      <c r="CG104" s="59">
        <f t="shared" si="170"/>
        <v>-50</v>
      </c>
      <c r="CH104">
        <f t="shared" si="171"/>
        <v>-50</v>
      </c>
    </row>
    <row r="105" spans="5:86" x14ac:dyDescent="0.25">
      <c r="E105" s="150">
        <v>100</v>
      </c>
      <c r="F105" s="191">
        <f t="shared" si="200"/>
        <v>0.5</v>
      </c>
      <c r="G105" s="191"/>
      <c r="H105" s="191">
        <f t="shared" si="187"/>
        <v>7.5</v>
      </c>
      <c r="I105" s="472">
        <f t="shared" si="121"/>
        <v>11.1</v>
      </c>
      <c r="J105" s="152">
        <f t="shared" si="122"/>
        <v>7.66</v>
      </c>
      <c r="K105" s="386">
        <f t="shared" si="123"/>
        <v>18.759999999999998</v>
      </c>
      <c r="L105" s="386"/>
      <c r="M105" s="191">
        <f t="shared" si="124"/>
        <v>0.40831556503198302</v>
      </c>
      <c r="N105" s="152">
        <f t="shared" si="188"/>
        <v>8.3620986140724956</v>
      </c>
      <c r="O105" s="152">
        <f t="shared" si="173"/>
        <v>7.5</v>
      </c>
      <c r="P105" s="191">
        <f t="shared" si="189"/>
        <v>0.55747324093816641</v>
      </c>
      <c r="Q105" s="191">
        <f t="shared" si="127"/>
        <v>15</v>
      </c>
      <c r="R105" s="191">
        <f t="shared" si="190"/>
        <v>0.61941471215351818</v>
      </c>
      <c r="S105" s="152">
        <f t="shared" si="129"/>
        <v>19.124350339606345</v>
      </c>
      <c r="T105" s="467">
        <f t="shared" si="191"/>
        <v>15</v>
      </c>
      <c r="U105" s="191">
        <f t="shared" si="131"/>
        <v>3.6773065493692116</v>
      </c>
      <c r="V105" s="191">
        <f t="shared" si="192"/>
        <v>2.9815999048939554</v>
      </c>
      <c r="W105" s="191">
        <f t="shared" si="133"/>
        <v>4.3205951624442438</v>
      </c>
      <c r="X105" s="175">
        <f t="shared" si="134"/>
        <v>350</v>
      </c>
      <c r="Y105" s="386">
        <f t="shared" si="174"/>
        <v>136.94512277176409</v>
      </c>
      <c r="AA105" s="191">
        <f t="shared" si="135"/>
        <v>1.4388262767793685</v>
      </c>
      <c r="AB105" s="153">
        <f t="shared" si="193"/>
        <v>1.6905269570514774</v>
      </c>
      <c r="AC105" s="153">
        <f t="shared" si="194"/>
        <v>0.21283277814833412</v>
      </c>
      <c r="AD105" s="153"/>
      <c r="AE105" s="153">
        <f t="shared" si="138"/>
        <v>0.96344647519582249</v>
      </c>
      <c r="AF105" s="317">
        <f t="shared" si="195"/>
        <v>2531.5619009848638</v>
      </c>
      <c r="AG105" s="463">
        <f t="shared" si="140"/>
        <v>6.9127284595300251E-2</v>
      </c>
      <c r="AI105" s="153">
        <f t="shared" si="141"/>
        <v>2.3246247160663884</v>
      </c>
      <c r="AJ105" s="153">
        <f t="shared" si="196"/>
        <v>3.6773065493692116</v>
      </c>
      <c r="AK105" s="153">
        <f t="shared" si="197"/>
        <v>3.1048710329128082</v>
      </c>
      <c r="AM105" s="317">
        <f t="shared" si="144"/>
        <v>500</v>
      </c>
      <c r="AN105" s="147">
        <f t="shared" si="145"/>
        <v>136.94512277176409</v>
      </c>
      <c r="AP105">
        <f t="shared" si="146"/>
        <v>500</v>
      </c>
      <c r="AQ105" s="3">
        <f t="shared" si="147"/>
        <v>136.94512277176409</v>
      </c>
      <c r="AS105" s="5">
        <f t="shared" si="175"/>
        <v>7.3021950673382001</v>
      </c>
      <c r="AT105" s="5">
        <f t="shared" si="148"/>
        <v>2.9815999048939554</v>
      </c>
      <c r="AU105" s="5">
        <f t="shared" si="176"/>
        <v>4.3205951624442447</v>
      </c>
      <c r="AV105" s="5">
        <f t="shared" si="149"/>
        <v>4.3205951624442438</v>
      </c>
      <c r="AW105" s="153">
        <f t="shared" si="177"/>
        <v>0.40831556503198285</v>
      </c>
      <c r="AX105" s="153">
        <f t="shared" si="150"/>
        <v>8.3333333333333304</v>
      </c>
      <c r="AY105" s="153">
        <f t="shared" si="151"/>
        <v>0.54395126196692767</v>
      </c>
      <c r="AZ105" s="153">
        <f t="shared" si="178"/>
        <v>15.319999999999997</v>
      </c>
      <c r="BA105" s="147">
        <f t="shared" si="152"/>
        <v>16.670079701628925</v>
      </c>
      <c r="BB105" s="147">
        <f t="shared" si="153"/>
        <v>18.495773070367665</v>
      </c>
      <c r="BC105" s="5">
        <f t="shared" si="154"/>
        <v>5.8444865980091505</v>
      </c>
      <c r="BD105" s="147">
        <f t="shared" si="155"/>
        <v>149.69270961111945</v>
      </c>
      <c r="BE105" s="5"/>
      <c r="BF105" s="153">
        <f t="shared" si="179"/>
        <v>1.3566479898828061</v>
      </c>
      <c r="BG105" s="153">
        <f t="shared" si="156"/>
        <v>0.81655282298383913</v>
      </c>
      <c r="BH105" s="153"/>
      <c r="BI105" s="463">
        <f t="shared" si="157"/>
        <v>0.20245431452983642</v>
      </c>
      <c r="BJ105" s="463">
        <f t="shared" si="158"/>
        <v>4.7236666666666649E-2</v>
      </c>
      <c r="BK105" s="463">
        <f t="shared" si="159"/>
        <v>6.8472561385882038E-3</v>
      </c>
      <c r="BL105" s="463">
        <f t="shared" si="160"/>
        <v>1.0844131013999997E-2</v>
      </c>
      <c r="BM105">
        <f t="shared" si="161"/>
        <v>3.2190000000000001E-3</v>
      </c>
      <c r="BN105">
        <f t="shared" si="162"/>
        <v>8.3536524890776095E-6</v>
      </c>
      <c r="BO105" s="463">
        <f t="shared" si="198"/>
        <v>0.30950182057576769</v>
      </c>
      <c r="BP105" s="147">
        <f t="shared" si="180"/>
        <v>309.50182057576768</v>
      </c>
      <c r="BQ105" s="463">
        <f t="shared" si="164"/>
        <v>0.29288070074405559</v>
      </c>
      <c r="BR105" s="463"/>
      <c r="BT105" s="147">
        <f t="shared" si="181"/>
        <v>292.88070074405562</v>
      </c>
      <c r="BU105" s="463">
        <f t="shared" si="165"/>
        <v>0.15644197031850998</v>
      </c>
      <c r="BV105" s="463">
        <f t="shared" si="166"/>
        <v>0.12668411741734661</v>
      </c>
      <c r="BW105" s="463">
        <f t="shared" si="167"/>
        <v>0</v>
      </c>
      <c r="BX105" s="463">
        <f t="shared" si="199"/>
        <v>0.32445003990119686</v>
      </c>
      <c r="BY105" s="463">
        <f t="shared" si="169"/>
        <v>0.92592592592592571</v>
      </c>
      <c r="BZ105" s="147">
        <f t="shared" si="182"/>
        <v>1250.3759658271226</v>
      </c>
      <c r="CA105" s="153">
        <f t="shared" si="183"/>
        <v>1.852758487146946</v>
      </c>
      <c r="CB105" s="5">
        <f t="shared" si="184"/>
        <v>7.5</v>
      </c>
      <c r="CC105" s="153">
        <f t="shared" si="185"/>
        <v>0.80190245586977305</v>
      </c>
      <c r="CD105" s="5">
        <f t="shared" si="186"/>
        <v>80.190245586977298</v>
      </c>
      <c r="CG105" s="59">
        <f t="shared" si="170"/>
        <v>-50</v>
      </c>
      <c r="CH105">
        <f t="shared" si="171"/>
        <v>-50</v>
      </c>
    </row>
    <row r="106" spans="5:86" x14ac:dyDescent="0.25">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5">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5">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0.51270504201680678</v>
      </c>
    </row>
    <row r="109" spans="5:86" ht="45" customHeight="1" thickBot="1" x14ac:dyDescent="0.3">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5">
      <c r="E110" s="150">
        <v>0.1</v>
      </c>
      <c r="F110" s="191">
        <v>1.0000000000000001E-9</v>
      </c>
      <c r="G110" s="191"/>
      <c r="H110" s="191">
        <f t="shared" ref="H110:H141" si="201">F110*Vout</f>
        <v>1.5000000000000002E-8</v>
      </c>
      <c r="I110" s="472">
        <f t="shared" ref="I110:I141" si="202">VIN_min</f>
        <v>9</v>
      </c>
      <c r="J110" s="386">
        <f t="shared" ref="J110:J141" si="203">(T110+Vfwd1)*Nps</f>
        <v>7.66</v>
      </c>
      <c r="K110" s="386">
        <f t="shared" ref="K110:K141" si="204">(Vout+Vfwd1)*Nps+I110</f>
        <v>16.66</v>
      </c>
      <c r="L110" s="386"/>
      <c r="M110" s="191">
        <f t="shared" ref="M110:M141" si="205">(Vout+Vfwd1)*Nps/((Vout+Vfwd1)*Nps+I110)</f>
        <v>0.45978391356542619</v>
      </c>
      <c r="N110" s="152">
        <f t="shared" ref="N110:N141" si="206">M110*I110*(Isw_max+VIN_min/Lmag*ILIM_delay)*0.5*Efficiency</f>
        <v>7.6905756302521011</v>
      </c>
      <c r="O110" s="152">
        <f t="shared" si="173"/>
        <v>1.5000000000000002E-8</v>
      </c>
      <c r="P110" s="191">
        <f t="shared" ref="P110:P141" si="207">N110/Vout</f>
        <v>0.51270504201680678</v>
      </c>
      <c r="Q110" s="191">
        <f t="shared" ref="Q110:Q141" si="208">MIN(Vout,N110/F110)</f>
        <v>15</v>
      </c>
      <c r="R110" s="191"/>
      <c r="S110" s="152">
        <f t="shared" ref="S110:S141" si="209">(SQRT(Isw_max^2*Nps^2*I110^2+4*Isw_max*F110/Efficiency*(Nps^2*Vfwd1*I110-Nps*I110^2)+4*(F110/Efficiency)^2*Nps^2*Vfwd1^2+8*(F110/Efficiency)^2*Nps*Vfwd1*I110+4*(F110/Efficiency)^2*I110^2)-2*F110/Efficiency*I110-2*F110/Efficiency*Nps*Vfwd1+Isw_max*Nps*I110)/(4*F110/Efficiency*Nps)</f>
        <v>16604999981.999998</v>
      </c>
      <c r="T110" s="152">
        <f t="shared" ref="T110:T141" si="210">MIN(Vout, S110)</f>
        <v>15</v>
      </c>
      <c r="U110" s="191">
        <f t="shared" ref="U110:U141" si="211">MIN(2*Vout*F110/(Efficiency*I110*M110), Isw_max)</f>
        <v>8.055313799439126E-9</v>
      </c>
      <c r="V110" s="191">
        <f t="shared" ref="V110:V141" si="212">L*U110/I110*1000000</f>
        <v>8.055313799439126E-9</v>
      </c>
      <c r="W110" s="191">
        <f t="shared" ref="W110:W141" si="213">L*U110/J110*1000000</f>
        <v>9.4644679105681652E-9</v>
      </c>
      <c r="X110" s="175">
        <f t="shared" ref="X110:X141" si="214">IF(1/((350000*L)*(1/I110+1/J110))&gt;Isw_min, 350, 0.001/((Isw_min*L)*(1/I110+1/J110)))</f>
        <v>350</v>
      </c>
      <c r="Y110" s="386">
        <f t="shared" ref="Y110:Y169" si="215">MIN(1/(V110+W110)*1000, 350)</f>
        <v>350</v>
      </c>
      <c r="AA110" s="191">
        <f t="shared" ref="AA110:AA141" si="216">1/((X110*1000*L)*(1/I110+1/J110))</f>
        <v>1.3136683244726464</v>
      </c>
      <c r="AB110" s="153">
        <f t="shared" ref="AB110:AB141" si="217">L*AA110/J110*1000000</f>
        <v>1.5434745326702111</v>
      </c>
      <c r="AC110" s="153">
        <f t="shared" ref="AC110:AC141" si="218">0.5*AB110*AA110*Nps*X110/1000</f>
        <v>0.17741619027991926</v>
      </c>
      <c r="AD110" s="153"/>
      <c r="AE110" s="153">
        <f t="shared" ref="AE110:AE141" si="219">L*Isw_min/J110*1000000</f>
        <v>0.96344647519582249</v>
      </c>
      <c r="AF110" s="317">
        <f t="shared" ref="AF110:AF141" si="220">MAX(12000,F110/(0.5*AE110/1000000*Isw_min*Nps))/1000</f>
        <v>12</v>
      </c>
      <c r="AG110" s="463">
        <f t="shared" ref="AG110:AG141" si="221">0.5*AE110/1000000*Isw_min*Nps*X110*1000</f>
        <v>6.9127284595300251E-2</v>
      </c>
      <c r="AI110" s="153">
        <f t="shared" ref="AI110:AI141" si="222">SQRT(F110/(0.5*L/J110*Fsw_DCM*Nps))</f>
        <v>9.8625474026663759E-5</v>
      </c>
      <c r="AJ110" s="153">
        <f t="shared" ref="AJ110:AJ141" si="223">MAX(IF(F110&gt;AC110,U110,AI110),Isw_min)</f>
        <v>0.82</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0.82</v>
      </c>
      <c r="AU110" s="5">
        <f t="shared" ref="AU110:AU169" si="230">AS110-AT110</f>
        <v>82.513333333333335</v>
      </c>
      <c r="AV110" s="5"/>
      <c r="AW110" s="153">
        <f t="shared" ref="AW110:AW169" si="231">AT110/AS110</f>
        <v>9.8399999999999998E-3</v>
      </c>
      <c r="AX110" s="153">
        <f t="shared" si="150"/>
        <v>3.6309599999999997E-2</v>
      </c>
      <c r="AY110" s="153">
        <f t="shared" si="151"/>
        <v>0.20298279999999999</v>
      </c>
      <c r="AZ110" s="153">
        <f t="shared" si="178"/>
        <v>0.17888018098085157</v>
      </c>
      <c r="BA110" s="147">
        <f t="shared" ref="BA110:BA141" si="232">L*Isw_max^2/(2*Vout_ripple*Vout)*1000000000*((1+M110)/2)^2</f>
        <v>17.910795069528412</v>
      </c>
      <c r="BB110" s="147">
        <f t="shared" ref="BB110:BB141" si="233">L*F110^2/(2*Cout*Vout*Nps^2)*1000000000*((1+M110)/(1-M110))^2+F110*RCoutEsr</f>
        <v>3.0000000876240595E-9</v>
      </c>
      <c r="BC110" s="5">
        <f t="shared" ref="BC110:BC116" si="234">H110/Efficiency/I110*AU110/Vinripple1</f>
        <v>2.7531976420865312E-7</v>
      </c>
      <c r="BD110" s="147">
        <f t="shared" ref="BD110:BD141" si="235">((CB110/I110/Efficiency)*AU110/Cin+(CB110/I110/Efficiency)*RCinEsr)*1000</f>
        <v>6.9511223344556692E-6</v>
      </c>
      <c r="BF110" s="153">
        <f t="shared" si="179"/>
        <v>4.6962453087546437E-2</v>
      </c>
      <c r="BG110" s="153">
        <f t="shared" si="156"/>
        <v>0.2355461002295163</v>
      </c>
      <c r="BI110" s="463">
        <f t="shared" ref="BI110:BI169" si="236">Rdson*BF110^2</f>
        <v>2.4260191999999999E-4</v>
      </c>
      <c r="BJ110" s="463">
        <f t="shared" ref="BJ110:BJ169" si="237">0.5*K110*AJ110*AN110*1000*Trise</f>
        <v>8.1967200000000002E-4</v>
      </c>
      <c r="BK110" s="463">
        <f t="shared" ref="BK110:BK169" si="238">Qg*Vdd*AN110*1000</f>
        <v>5.9999999999999995E-4</v>
      </c>
      <c r="BL110" s="463">
        <f t="shared" ref="BL110:BL169" si="239">0.5*(Coss+Csw)*K110^2*AN110*1000</f>
        <v>7.4940011999999996E-4</v>
      </c>
      <c r="BM110">
        <f t="shared" ref="BM110:BM169" si="240">I110*IQ</f>
        <v>2.6099999999999999E-3</v>
      </c>
      <c r="BN110">
        <f t="shared" ref="BN110:BN141" si="241">(I110-Vdd)*Qg*AN110</f>
        <v>4.8000000000000006E-7</v>
      </c>
      <c r="BO110" s="463">
        <f t="shared" ref="BO110:BO141" si="242">(BJ110+BK110+BL110+BM110+BN110+BI110*(1+RdsonTC*(Ta-25)))/(1-BI110*RdsonTC*ThetaJA)</f>
        <v>5.0551315671631368E-3</v>
      </c>
      <c r="BP110" s="147">
        <f t="shared" ref="BP110:BP169" si="243">SUM(BI110:BM110)*1000</f>
        <v>5.0216740399999997</v>
      </c>
      <c r="BQ110" s="463">
        <f t="shared" ref="BQ110:BQ141" si="244">(Vfwd2*F110+BG110^2*Rdiode)*(1+Diode_TC/1000*(Ta-25))</f>
        <v>8.4776446849333352E-3</v>
      </c>
      <c r="BT110" s="147">
        <f t="shared" ref="BT110:BT169" si="245">SUM(BQ110:BS110)*1000</f>
        <v>8.4776446849333347</v>
      </c>
      <c r="BU110" s="463">
        <f t="shared" ref="BU110:BU169" si="246">Rdcr_pri*BF110^2</f>
        <v>1.8746512E-4</v>
      </c>
      <c r="BV110" s="463">
        <f t="shared" ref="BV110:BV169" si="247">Rdcr_sec*BG110^2</f>
        <v>1.0541573413333335E-2</v>
      </c>
      <c r="BW110" s="463">
        <f t="shared" ref="BW110:BW169" si="248">AJ110^2.5*AN110^2.5*k_core</f>
        <v>0</v>
      </c>
      <c r="BX110" s="463"/>
      <c r="BY110" s="463">
        <f t="shared" ref="BY110:BY169" si="249">0.5*Lleak*0.000000001*AJ110^2*AN110*1000</f>
        <v>4.0343999999999996E-3</v>
      </c>
      <c r="BZ110" s="147">
        <f t="shared" ref="BZ110:BZ169" si="250">SUM(BU110:BY110)*1000</f>
        <v>14.763438533333336</v>
      </c>
      <c r="CA110" s="153">
        <f t="shared" ref="CA110:CA169" si="251">SUM(BI110:BM110,BQ110:BS110,BU110:BY110)</f>
        <v>2.8262757258266671E-2</v>
      </c>
      <c r="CB110" s="5">
        <f t="shared" ref="CB110:CB169" si="252">MIN(H110,O110)</f>
        <v>1.5000000000000002E-8</v>
      </c>
      <c r="CC110" s="153">
        <f t="shared" ref="CC110:CC169" si="253">CB110/(CB110+CA110)</f>
        <v>5.307334985729365E-7</v>
      </c>
      <c r="CD110" s="5">
        <f t="shared" ref="CD110:CD169" si="254">CC110*100</f>
        <v>5.3073349857293646E-5</v>
      </c>
      <c r="CG110" s="59">
        <f t="shared" ref="CG110:CG141" si="255">IF(ABS(F110-Ioutmax_Vinmin)&lt;Iout/200, AN110, -50)</f>
        <v>-50</v>
      </c>
      <c r="CH110">
        <f t="shared" ref="CH110:CH141" si="256">IF(ABS(F110-Ioutmax_Vinmin)&lt;Iout/200, N110*CC110, -50)</f>
        <v>-50</v>
      </c>
    </row>
    <row r="111" spans="5:86" x14ac:dyDescent="0.25">
      <c r="E111" s="150">
        <v>1</v>
      </c>
      <c r="F111" s="191">
        <f t="shared" ref="F111:F142" si="257">IF(PLOT_TYPE=1, E111/100*Iout_max, min_I*EXP(N111*rr/100))</f>
        <v>5.0000000000000001E-3</v>
      </c>
      <c r="G111" s="191"/>
      <c r="H111" s="191">
        <f t="shared" si="201"/>
        <v>7.4999999999999997E-2</v>
      </c>
      <c r="I111" s="472">
        <f t="shared" si="202"/>
        <v>9</v>
      </c>
      <c r="J111" s="386">
        <f t="shared" si="203"/>
        <v>7.66</v>
      </c>
      <c r="K111" s="386">
        <f t="shared" si="204"/>
        <v>16.66</v>
      </c>
      <c r="L111" s="386"/>
      <c r="M111" s="191">
        <f t="shared" si="205"/>
        <v>0.45978391356542619</v>
      </c>
      <c r="N111" s="152">
        <f t="shared" si="206"/>
        <v>7.6905756302521011</v>
      </c>
      <c r="O111" s="152">
        <f t="shared" si="173"/>
        <v>7.4999999999999997E-2</v>
      </c>
      <c r="P111" s="191">
        <f t="shared" si="207"/>
        <v>0.51270504201680678</v>
      </c>
      <c r="Q111" s="191">
        <f t="shared" si="208"/>
        <v>15</v>
      </c>
      <c r="R111" s="191"/>
      <c r="S111" s="152">
        <f t="shared" si="209"/>
        <v>3303.0017436993558</v>
      </c>
      <c r="T111" s="152">
        <f t="shared" si="210"/>
        <v>15</v>
      </c>
      <c r="U111" s="191">
        <f t="shared" si="211"/>
        <v>4.0276568997195623E-2</v>
      </c>
      <c r="V111" s="191">
        <f t="shared" si="212"/>
        <v>4.027656899719563E-2</v>
      </c>
      <c r="W111" s="191">
        <f t="shared" si="213"/>
        <v>4.7322339552840813E-2</v>
      </c>
      <c r="X111" s="175">
        <f t="shared" si="214"/>
        <v>350</v>
      </c>
      <c r="Y111" s="386">
        <f t="shared" si="215"/>
        <v>350</v>
      </c>
      <c r="AA111" s="191">
        <f t="shared" si="216"/>
        <v>1.3136683244726464</v>
      </c>
      <c r="AB111" s="153">
        <f t="shared" si="217"/>
        <v>1.5434745326702111</v>
      </c>
      <c r="AC111" s="153">
        <f t="shared" si="218"/>
        <v>0.17741619027991926</v>
      </c>
      <c r="AD111" s="153"/>
      <c r="AE111" s="153">
        <f t="shared" si="219"/>
        <v>0.96344647519582249</v>
      </c>
      <c r="AF111" s="317">
        <f t="shared" si="220"/>
        <v>25.315619009848636</v>
      </c>
      <c r="AG111" s="463">
        <f t="shared" si="221"/>
        <v>6.9127284595300251E-2</v>
      </c>
      <c r="AI111" s="153">
        <f t="shared" si="222"/>
        <v>0.22053326423676006</v>
      </c>
      <c r="AJ111" s="153">
        <f t="shared" si="223"/>
        <v>0.82</v>
      </c>
      <c r="AK111" s="153">
        <f t="shared" si="224"/>
        <v>1.0144660680056279</v>
      </c>
      <c r="AM111" s="317">
        <f t="shared" si="225"/>
        <v>5</v>
      </c>
      <c r="AN111" s="147">
        <f t="shared" si="226"/>
        <v>25.315619009848636</v>
      </c>
      <c r="AP111" s="147">
        <f t="shared" si="227"/>
        <v>5</v>
      </c>
      <c r="AQ111" s="147">
        <f t="shared" si="228"/>
        <v>25.315619009848636</v>
      </c>
      <c r="AS111" s="5">
        <f t="shared" si="175"/>
        <v>39.501305483028723</v>
      </c>
      <c r="AT111" s="5">
        <f t="shared" si="229"/>
        <v>0.82</v>
      </c>
      <c r="AU111" s="5">
        <f t="shared" si="230"/>
        <v>38.681305483028723</v>
      </c>
      <c r="AV111" s="5"/>
      <c r="AW111" s="153">
        <f t="shared" si="231"/>
        <v>2.0758807588075877E-2</v>
      </c>
      <c r="AX111" s="153">
        <f t="shared" si="150"/>
        <v>7.6599999999999988E-2</v>
      </c>
      <c r="AY111" s="153">
        <f t="shared" si="151"/>
        <v>0.20074444444444442</v>
      </c>
      <c r="AZ111" s="153">
        <f t="shared" si="178"/>
        <v>0.38157967565174072</v>
      </c>
      <c r="BA111" s="147">
        <f t="shared" si="232"/>
        <v>17.910795069528412</v>
      </c>
      <c r="BB111" s="147">
        <f t="shared" si="233"/>
        <v>1.7190601481481483E-2</v>
      </c>
      <c r="BC111" s="5">
        <f t="shared" si="234"/>
        <v>0.64533375847562091</v>
      </c>
      <c r="BD111" s="147">
        <f t="shared" si="235"/>
        <v>16.307788502958218</v>
      </c>
      <c r="BF111" s="153">
        <f t="shared" si="179"/>
        <v>6.8211001610742672E-2</v>
      </c>
      <c r="BG111" s="153">
        <f t="shared" si="156"/>
        <v>0.23424377931579771</v>
      </c>
      <c r="BI111" s="463">
        <f t="shared" si="236"/>
        <v>5.118014814814813E-4</v>
      </c>
      <c r="BJ111" s="463">
        <f t="shared" si="237"/>
        <v>1.729208672086721E-3</v>
      </c>
      <c r="BK111" s="463">
        <f t="shared" si="238"/>
        <v>1.2657809504924317E-3</v>
      </c>
      <c r="BL111" s="463">
        <f t="shared" si="239"/>
        <v>1.5809606603212375E-3</v>
      </c>
      <c r="BM111">
        <f t="shared" si="240"/>
        <v>2.6099999999999999E-3</v>
      </c>
      <c r="BN111">
        <f t="shared" si="241"/>
        <v>1.0126247603939454E-6</v>
      </c>
      <c r="BO111" s="463">
        <f t="shared" si="242"/>
        <v>7.7685911567997026E-3</v>
      </c>
      <c r="BP111" s="147">
        <f t="shared" si="243"/>
        <v>7.6977517643818709</v>
      </c>
      <c r="BQ111" s="463">
        <f t="shared" si="244"/>
        <v>1.0294158637037037E-2</v>
      </c>
      <c r="BT111" s="147">
        <f t="shared" si="245"/>
        <v>10.294158637037038</v>
      </c>
      <c r="BU111" s="463">
        <f t="shared" si="246"/>
        <v>3.954829629629629E-4</v>
      </c>
      <c r="BV111" s="463">
        <f t="shared" si="247"/>
        <v>1.0425328148148148E-2</v>
      </c>
      <c r="BW111" s="463">
        <f t="shared" si="248"/>
        <v>0</v>
      </c>
      <c r="BX111" s="463"/>
      <c r="BY111" s="463">
        <f t="shared" si="249"/>
        <v>8.5111111111111117E-3</v>
      </c>
      <c r="BZ111" s="147">
        <f t="shared" si="250"/>
        <v>19.331922222222222</v>
      </c>
      <c r="CA111" s="153">
        <f t="shared" si="251"/>
        <v>3.7323832623641126E-2</v>
      </c>
      <c r="CB111" s="5">
        <f t="shared" si="252"/>
        <v>7.4999999999999997E-2</v>
      </c>
      <c r="CC111" s="153">
        <f t="shared" si="253"/>
        <v>0.66771225881598462</v>
      </c>
      <c r="CD111" s="5">
        <f t="shared" si="254"/>
        <v>66.771225881598468</v>
      </c>
      <c r="CG111" s="59">
        <f t="shared" si="255"/>
        <v>-50</v>
      </c>
      <c r="CH111">
        <f t="shared" si="256"/>
        <v>-50</v>
      </c>
    </row>
    <row r="112" spans="5:86" x14ac:dyDescent="0.25">
      <c r="E112" s="150">
        <v>2</v>
      </c>
      <c r="F112" s="191">
        <f t="shared" si="257"/>
        <v>0.01</v>
      </c>
      <c r="G112" s="191"/>
      <c r="H112" s="191">
        <f t="shared" si="201"/>
        <v>0.15</v>
      </c>
      <c r="I112" s="472">
        <f t="shared" si="202"/>
        <v>9</v>
      </c>
      <c r="J112" s="386">
        <f t="shared" si="203"/>
        <v>7.66</v>
      </c>
      <c r="K112" s="386">
        <f t="shared" si="204"/>
        <v>16.66</v>
      </c>
      <c r="L112" s="386"/>
      <c r="M112" s="191">
        <f t="shared" si="205"/>
        <v>0.45978391356542619</v>
      </c>
      <c r="N112" s="152">
        <f t="shared" si="206"/>
        <v>7.6905756302521011</v>
      </c>
      <c r="O112" s="152">
        <f t="shared" si="173"/>
        <v>0.15</v>
      </c>
      <c r="P112" s="191">
        <f t="shared" si="207"/>
        <v>0.51270504201680678</v>
      </c>
      <c r="Q112" s="191">
        <f t="shared" si="208"/>
        <v>15</v>
      </c>
      <c r="R112" s="191"/>
      <c r="S112" s="152">
        <f t="shared" si="209"/>
        <v>1642.5035061587434</v>
      </c>
      <c r="T112" s="152">
        <f t="shared" si="210"/>
        <v>15</v>
      </c>
      <c r="U112" s="191">
        <f t="shared" si="211"/>
        <v>8.0553137994391247E-2</v>
      </c>
      <c r="V112" s="191">
        <f t="shared" si="212"/>
        <v>8.0553137994391261E-2</v>
      </c>
      <c r="W112" s="191">
        <f t="shared" si="213"/>
        <v>9.4644679105681626E-2</v>
      </c>
      <c r="X112" s="175">
        <f t="shared" si="214"/>
        <v>350</v>
      </c>
      <c r="Y112" s="386">
        <f t="shared" si="215"/>
        <v>350</v>
      </c>
      <c r="AA112" s="191">
        <f t="shared" si="216"/>
        <v>1.3136683244726464</v>
      </c>
      <c r="AB112" s="153">
        <f t="shared" si="217"/>
        <v>1.5434745326702111</v>
      </c>
      <c r="AC112" s="153">
        <f t="shared" si="218"/>
        <v>0.17741619027991926</v>
      </c>
      <c r="AD112" s="153"/>
      <c r="AE112" s="153">
        <f t="shared" si="219"/>
        <v>0.96344647519582249</v>
      </c>
      <c r="AF112" s="317">
        <f t="shared" si="220"/>
        <v>50.631238019697271</v>
      </c>
      <c r="AG112" s="463">
        <f t="shared" si="221"/>
        <v>6.9127284595300251E-2</v>
      </c>
      <c r="AI112" s="153">
        <f t="shared" si="222"/>
        <v>0.31188113323803551</v>
      </c>
      <c r="AJ112" s="153">
        <f t="shared" si="223"/>
        <v>0.82</v>
      </c>
      <c r="AK112" s="153">
        <f t="shared" si="224"/>
        <v>1.0289321360112555</v>
      </c>
      <c r="AM112" s="317">
        <f t="shared" si="225"/>
        <v>10</v>
      </c>
      <c r="AN112" s="147">
        <f t="shared" si="226"/>
        <v>50.631238019697271</v>
      </c>
      <c r="AP112" s="147">
        <f t="shared" si="227"/>
        <v>10</v>
      </c>
      <c r="AQ112" s="147">
        <f t="shared" si="228"/>
        <v>50.631238019697271</v>
      </c>
      <c r="AS112" s="5">
        <f t="shared" si="175"/>
        <v>19.750652741514362</v>
      </c>
      <c r="AT112" s="5">
        <f t="shared" si="229"/>
        <v>0.82</v>
      </c>
      <c r="AU112" s="5">
        <f t="shared" si="230"/>
        <v>18.930652741514361</v>
      </c>
      <c r="AV112" s="5"/>
      <c r="AW112" s="153">
        <f t="shared" si="231"/>
        <v>4.1517615176151754E-2</v>
      </c>
      <c r="AX112" s="153">
        <f t="shared" si="150"/>
        <v>0.15319999999999998</v>
      </c>
      <c r="AY112" s="153">
        <f t="shared" si="151"/>
        <v>0.19648888888888888</v>
      </c>
      <c r="AZ112" s="153">
        <f t="shared" si="178"/>
        <v>0.77968785342682645</v>
      </c>
      <c r="BA112" s="147">
        <f t="shared" si="232"/>
        <v>17.910795069528412</v>
      </c>
      <c r="BB112" s="147">
        <f t="shared" si="233"/>
        <v>3.8762405925925933E-2</v>
      </c>
      <c r="BC112" s="5">
        <f t="shared" si="234"/>
        <v>0.63165341146194054</v>
      </c>
      <c r="BD112" s="147">
        <f t="shared" si="235"/>
        <v>15.990448435618147</v>
      </c>
      <c r="BF112" s="153">
        <f t="shared" si="179"/>
        <v>9.6464923580965325E-2</v>
      </c>
      <c r="BG112" s="153">
        <f t="shared" si="156"/>
        <v>0.23174762773966631</v>
      </c>
      <c r="BI112" s="463">
        <f t="shared" si="236"/>
        <v>1.0236029629629628E-3</v>
      </c>
      <c r="BJ112" s="463">
        <f t="shared" si="237"/>
        <v>3.458417344173442E-3</v>
      </c>
      <c r="BK112" s="463">
        <f t="shared" si="238"/>
        <v>2.5315619009848634E-3</v>
      </c>
      <c r="BL112" s="463">
        <f t="shared" si="239"/>
        <v>3.1619213206424751E-3</v>
      </c>
      <c r="BM112">
        <f t="shared" si="240"/>
        <v>2.6099999999999999E-3</v>
      </c>
      <c r="BN112">
        <f t="shared" si="241"/>
        <v>2.0252495207878907E-6</v>
      </c>
      <c r="BO112" s="463">
        <f t="shared" si="242"/>
        <v>1.2928156722047141E-2</v>
      </c>
      <c r="BP112" s="147">
        <f t="shared" si="243"/>
        <v>12.785503528763742</v>
      </c>
      <c r="BQ112" s="463">
        <f t="shared" si="244"/>
        <v>1.202642394074074E-2</v>
      </c>
      <c r="BT112" s="147">
        <f t="shared" si="245"/>
        <v>12.02642394074074</v>
      </c>
      <c r="BU112" s="463">
        <f t="shared" si="246"/>
        <v>7.9096592592592591E-4</v>
      </c>
      <c r="BV112" s="463">
        <f t="shared" si="247"/>
        <v>1.0204322962962961E-2</v>
      </c>
      <c r="BW112" s="463">
        <f t="shared" si="248"/>
        <v>0</v>
      </c>
      <c r="BX112" s="463"/>
      <c r="BY112" s="463">
        <f t="shared" si="249"/>
        <v>1.7022222222222223E-2</v>
      </c>
      <c r="BZ112" s="147">
        <f t="shared" si="250"/>
        <v>28.017511111111109</v>
      </c>
      <c r="CA112" s="153">
        <f t="shared" si="251"/>
        <v>5.2829438580615597E-2</v>
      </c>
      <c r="CB112" s="5">
        <f t="shared" si="252"/>
        <v>0.15</v>
      </c>
      <c r="CC112" s="153">
        <f t="shared" si="253"/>
        <v>0.73953761864987733</v>
      </c>
      <c r="CD112" s="5">
        <f t="shared" si="254"/>
        <v>73.953761864987726</v>
      </c>
      <c r="CG112" s="59">
        <f t="shared" si="255"/>
        <v>-50</v>
      </c>
      <c r="CH112">
        <f t="shared" si="256"/>
        <v>-50</v>
      </c>
    </row>
    <row r="113" spans="5:86" x14ac:dyDescent="0.25">
      <c r="E113" s="150">
        <v>3</v>
      </c>
      <c r="F113" s="191">
        <f t="shared" si="257"/>
        <v>1.4999999999999999E-2</v>
      </c>
      <c r="G113" s="191"/>
      <c r="H113" s="191">
        <f t="shared" si="201"/>
        <v>0.22499999999999998</v>
      </c>
      <c r="I113" s="472">
        <f t="shared" si="202"/>
        <v>9</v>
      </c>
      <c r="J113" s="386">
        <f t="shared" si="203"/>
        <v>7.66</v>
      </c>
      <c r="K113" s="386">
        <f t="shared" si="204"/>
        <v>16.66</v>
      </c>
      <c r="L113" s="386"/>
      <c r="M113" s="191">
        <f t="shared" si="205"/>
        <v>0.45978391356542619</v>
      </c>
      <c r="N113" s="152">
        <f t="shared" si="206"/>
        <v>7.6905756302521011</v>
      </c>
      <c r="O113" s="152">
        <f t="shared" si="173"/>
        <v>0.22499999999999998</v>
      </c>
      <c r="P113" s="191">
        <f t="shared" si="207"/>
        <v>0.51270504201680678</v>
      </c>
      <c r="Q113" s="191">
        <f t="shared" si="208"/>
        <v>15</v>
      </c>
      <c r="R113" s="191"/>
      <c r="S113" s="152">
        <f t="shared" si="209"/>
        <v>1089.0052876767529</v>
      </c>
      <c r="T113" s="152">
        <f t="shared" si="210"/>
        <v>15</v>
      </c>
      <c r="U113" s="191">
        <f t="shared" si="211"/>
        <v>0.12082970699158688</v>
      </c>
      <c r="V113" s="191">
        <f t="shared" si="212"/>
        <v>0.12082970699158688</v>
      </c>
      <c r="W113" s="191">
        <f t="shared" si="213"/>
        <v>0.14196701865852243</v>
      </c>
      <c r="X113" s="175">
        <f t="shared" si="214"/>
        <v>350</v>
      </c>
      <c r="Y113" s="386">
        <f t="shared" si="215"/>
        <v>350</v>
      </c>
      <c r="AA113" s="191">
        <f t="shared" si="216"/>
        <v>1.3136683244726464</v>
      </c>
      <c r="AB113" s="153">
        <f t="shared" si="217"/>
        <v>1.5434745326702111</v>
      </c>
      <c r="AC113" s="153">
        <f t="shared" si="218"/>
        <v>0.17741619027991926</v>
      </c>
      <c r="AD113" s="153"/>
      <c r="AE113" s="153">
        <f t="shared" si="219"/>
        <v>0.96344647519582249</v>
      </c>
      <c r="AF113" s="317">
        <f t="shared" si="220"/>
        <v>75.94685702954591</v>
      </c>
      <c r="AG113" s="463">
        <f t="shared" si="221"/>
        <v>6.9127284595300251E-2</v>
      </c>
      <c r="AI113" s="153">
        <f t="shared" si="222"/>
        <v>0.38197481841708086</v>
      </c>
      <c r="AJ113" s="153">
        <f t="shared" si="223"/>
        <v>0.82</v>
      </c>
      <c r="AK113" s="153">
        <f t="shared" si="224"/>
        <v>1.0433982040168834</v>
      </c>
      <c r="AM113" s="317">
        <f t="shared" si="225"/>
        <v>15</v>
      </c>
      <c r="AN113" s="147">
        <f t="shared" si="226"/>
        <v>75.94685702954591</v>
      </c>
      <c r="AP113" s="147">
        <f t="shared" si="227"/>
        <v>15</v>
      </c>
      <c r="AQ113" s="147">
        <f t="shared" si="228"/>
        <v>75.94685702954591</v>
      </c>
      <c r="AS113" s="5">
        <f t="shared" si="175"/>
        <v>13.167101827676239</v>
      </c>
      <c r="AT113" s="5">
        <f t="shared" si="229"/>
        <v>0.82</v>
      </c>
      <c r="AU113" s="5">
        <f t="shared" si="230"/>
        <v>12.347101827676239</v>
      </c>
      <c r="AV113" s="5"/>
      <c r="AW113" s="153">
        <f t="shared" si="231"/>
        <v>6.2276422764227644E-2</v>
      </c>
      <c r="AX113" s="153">
        <f t="shared" si="150"/>
        <v>0.22979999999999998</v>
      </c>
      <c r="AY113" s="153">
        <f t="shared" si="151"/>
        <v>0.19223333333333334</v>
      </c>
      <c r="AZ113" s="153">
        <f t="shared" si="178"/>
        <v>1.1954222299289057</v>
      </c>
      <c r="BA113" s="147">
        <f t="shared" si="232"/>
        <v>17.910795069528412</v>
      </c>
      <c r="BB113" s="147">
        <f t="shared" si="233"/>
        <v>6.4715413333333333E-2</v>
      </c>
      <c r="BC113" s="5">
        <f t="shared" si="234"/>
        <v>0.61797306444826006</v>
      </c>
      <c r="BD113" s="147">
        <f t="shared" si="235"/>
        <v>15.673108368278076</v>
      </c>
      <c r="BF113" s="153">
        <f t="shared" si="179"/>
        <v>0.11814492042496884</v>
      </c>
      <c r="BG113" s="153">
        <f t="shared" si="156"/>
        <v>0.22922429578423351</v>
      </c>
      <c r="BI113" s="463">
        <f t="shared" si="236"/>
        <v>1.5354044444444441E-3</v>
      </c>
      <c r="BJ113" s="463">
        <f t="shared" si="237"/>
        <v>5.1876260162601624E-3</v>
      </c>
      <c r="BK113" s="463">
        <f t="shared" si="238"/>
        <v>3.7973428514772953E-3</v>
      </c>
      <c r="BL113" s="463">
        <f t="shared" si="239"/>
        <v>4.742881980963713E-3</v>
      </c>
      <c r="BM113">
        <f t="shared" si="240"/>
        <v>2.6099999999999999E-3</v>
      </c>
      <c r="BN113">
        <f t="shared" si="241"/>
        <v>3.0378742811818363E-6</v>
      </c>
      <c r="BO113" s="463">
        <f t="shared" si="242"/>
        <v>1.8088696971853023E-2</v>
      </c>
      <c r="BP113" s="147">
        <f t="shared" si="243"/>
        <v>17.873255293145615</v>
      </c>
      <c r="BQ113" s="463">
        <f t="shared" si="244"/>
        <v>1.3758689244444445E-2</v>
      </c>
      <c r="BT113" s="147">
        <f t="shared" si="245"/>
        <v>13.758689244444446</v>
      </c>
      <c r="BU113" s="463">
        <f t="shared" si="246"/>
        <v>1.1864488888888888E-3</v>
      </c>
      <c r="BV113" s="463">
        <f t="shared" si="247"/>
        <v>9.9833177777777764E-3</v>
      </c>
      <c r="BW113" s="463">
        <f t="shared" si="248"/>
        <v>0</v>
      </c>
      <c r="BX113" s="463"/>
      <c r="BY113" s="463">
        <f t="shared" si="249"/>
        <v>2.5533333333333335E-2</v>
      </c>
      <c r="BZ113" s="147">
        <f t="shared" si="250"/>
        <v>36.703099999999999</v>
      </c>
      <c r="CA113" s="153">
        <f t="shared" si="251"/>
        <v>6.8335044537590067E-2</v>
      </c>
      <c r="CB113" s="5">
        <f t="shared" si="252"/>
        <v>0.22499999999999998</v>
      </c>
      <c r="CC113" s="153">
        <f t="shared" si="253"/>
        <v>0.7670409798961707</v>
      </c>
      <c r="CD113" s="5">
        <f t="shared" si="254"/>
        <v>76.704097989617068</v>
      </c>
      <c r="CG113" s="59">
        <f t="shared" si="255"/>
        <v>-50</v>
      </c>
      <c r="CH113">
        <f t="shared" si="256"/>
        <v>-50</v>
      </c>
    </row>
    <row r="114" spans="5:86" x14ac:dyDescent="0.25">
      <c r="E114" s="150">
        <v>4</v>
      </c>
      <c r="F114" s="191">
        <f t="shared" si="257"/>
        <v>0.02</v>
      </c>
      <c r="G114" s="191"/>
      <c r="H114" s="191">
        <f t="shared" si="201"/>
        <v>0.3</v>
      </c>
      <c r="I114" s="472">
        <f t="shared" si="202"/>
        <v>9</v>
      </c>
      <c r="J114" s="386">
        <f t="shared" si="203"/>
        <v>7.66</v>
      </c>
      <c r="K114" s="386">
        <f t="shared" si="204"/>
        <v>16.66</v>
      </c>
      <c r="L114" s="386"/>
      <c r="M114" s="191">
        <f t="shared" si="205"/>
        <v>0.45978391356542619</v>
      </c>
      <c r="N114" s="152">
        <f t="shared" si="206"/>
        <v>7.6905756302521011</v>
      </c>
      <c r="O114" s="152">
        <f t="shared" si="173"/>
        <v>0.3</v>
      </c>
      <c r="P114" s="191">
        <f t="shared" si="207"/>
        <v>0.51270504201680678</v>
      </c>
      <c r="Q114" s="191">
        <f t="shared" si="208"/>
        <v>15</v>
      </c>
      <c r="R114" s="191"/>
      <c r="S114" s="152">
        <f t="shared" si="209"/>
        <v>812.25708855821927</v>
      </c>
      <c r="T114" s="152">
        <f t="shared" si="210"/>
        <v>15</v>
      </c>
      <c r="U114" s="191">
        <f t="shared" si="211"/>
        <v>0.16110627598878249</v>
      </c>
      <c r="V114" s="191">
        <f t="shared" si="212"/>
        <v>0.16110627598878252</v>
      </c>
      <c r="W114" s="191">
        <f t="shared" si="213"/>
        <v>0.18928935821136325</v>
      </c>
      <c r="X114" s="175">
        <f t="shared" si="214"/>
        <v>350</v>
      </c>
      <c r="Y114" s="386">
        <f t="shared" si="215"/>
        <v>350</v>
      </c>
      <c r="AA114" s="191">
        <f t="shared" si="216"/>
        <v>1.3136683244726464</v>
      </c>
      <c r="AB114" s="153">
        <f t="shared" si="217"/>
        <v>1.5434745326702111</v>
      </c>
      <c r="AC114" s="153">
        <f t="shared" si="218"/>
        <v>0.17741619027991926</v>
      </c>
      <c r="AD114" s="153"/>
      <c r="AE114" s="153">
        <f t="shared" si="219"/>
        <v>0.96344647519582249</v>
      </c>
      <c r="AF114" s="317">
        <f t="shared" si="220"/>
        <v>101.26247603939454</v>
      </c>
      <c r="AG114" s="463">
        <f t="shared" si="221"/>
        <v>6.9127284595300251E-2</v>
      </c>
      <c r="AI114" s="153">
        <f t="shared" si="222"/>
        <v>0.44106652847352013</v>
      </c>
      <c r="AJ114" s="153">
        <f t="shared" si="223"/>
        <v>0.82</v>
      </c>
      <c r="AK114" s="153">
        <f t="shared" si="224"/>
        <v>1.0578642720225111</v>
      </c>
      <c r="AM114" s="317">
        <f t="shared" si="225"/>
        <v>20</v>
      </c>
      <c r="AN114" s="147">
        <f t="shared" si="226"/>
        <v>101.26247603939454</v>
      </c>
      <c r="AP114" s="147">
        <f t="shared" si="227"/>
        <v>20</v>
      </c>
      <c r="AQ114" s="147">
        <f t="shared" si="228"/>
        <v>101.26247603939454</v>
      </c>
      <c r="AS114" s="5">
        <f t="shared" si="175"/>
        <v>9.8753263707571808</v>
      </c>
      <c r="AT114" s="5">
        <f t="shared" si="229"/>
        <v>0.82</v>
      </c>
      <c r="AU114" s="5">
        <f t="shared" si="230"/>
        <v>9.0553263707571805</v>
      </c>
      <c r="AV114" s="5"/>
      <c r="AW114" s="153">
        <f t="shared" si="231"/>
        <v>8.3035230352303507E-2</v>
      </c>
      <c r="AX114" s="153">
        <f t="shared" si="150"/>
        <v>0.30639999999999995</v>
      </c>
      <c r="AY114" s="153">
        <f t="shared" si="151"/>
        <v>0.18797777777777777</v>
      </c>
      <c r="AZ114" s="153">
        <f t="shared" si="178"/>
        <v>1.6299799030618274</v>
      </c>
      <c r="BA114" s="147">
        <f t="shared" si="232"/>
        <v>17.910795069528412</v>
      </c>
      <c r="BB114" s="147">
        <f t="shared" si="233"/>
        <v>9.504962370370372E-2</v>
      </c>
      <c r="BC114" s="5">
        <f t="shared" si="234"/>
        <v>0.6042927174345798</v>
      </c>
      <c r="BD114" s="147">
        <f t="shared" si="235"/>
        <v>15.355768300938012</v>
      </c>
      <c r="BF114" s="153">
        <f t="shared" si="179"/>
        <v>0.13642200322148534</v>
      </c>
      <c r="BG114" s="153">
        <f t="shared" si="156"/>
        <v>0.22667287573195119</v>
      </c>
      <c r="BI114" s="463">
        <f t="shared" si="236"/>
        <v>2.0472059259259252E-3</v>
      </c>
      <c r="BJ114" s="463">
        <f t="shared" si="237"/>
        <v>6.916834688346884E-3</v>
      </c>
      <c r="BK114" s="463">
        <f t="shared" si="238"/>
        <v>5.0631238019697268E-3</v>
      </c>
      <c r="BL114" s="463">
        <f t="shared" si="239"/>
        <v>6.3238426412849501E-3</v>
      </c>
      <c r="BM114">
        <f t="shared" si="240"/>
        <v>2.6099999999999999E-3</v>
      </c>
      <c r="BN114">
        <f t="shared" si="241"/>
        <v>4.0504990415757815E-6</v>
      </c>
      <c r="BO114" s="463">
        <f t="shared" si="242"/>
        <v>2.3250212182432388E-2</v>
      </c>
      <c r="BP114" s="147">
        <f t="shared" si="243"/>
        <v>22.961007057527489</v>
      </c>
      <c r="BQ114" s="463">
        <f t="shared" si="244"/>
        <v>1.5490954548148148E-2</v>
      </c>
      <c r="BT114" s="147">
        <f t="shared" si="245"/>
        <v>15.490954548148148</v>
      </c>
      <c r="BU114" s="463">
        <f t="shared" si="246"/>
        <v>1.5819318518518516E-3</v>
      </c>
      <c r="BV114" s="463">
        <f t="shared" si="247"/>
        <v>9.7623125925925917E-3</v>
      </c>
      <c r="BW114" s="463">
        <f t="shared" si="248"/>
        <v>0</v>
      </c>
      <c r="BX114" s="463"/>
      <c r="BY114" s="463">
        <f t="shared" si="249"/>
        <v>3.4044444444444447E-2</v>
      </c>
      <c r="BZ114" s="147">
        <f t="shared" si="250"/>
        <v>45.388688888888886</v>
      </c>
      <c r="CA114" s="153">
        <f t="shared" si="251"/>
        <v>8.3840650494564531E-2</v>
      </c>
      <c r="CB114" s="5">
        <f t="shared" si="252"/>
        <v>0.3</v>
      </c>
      <c r="CC114" s="153">
        <f t="shared" si="253"/>
        <v>0.78157433198766479</v>
      </c>
      <c r="CD114" s="5">
        <f t="shared" si="254"/>
        <v>78.157433198766483</v>
      </c>
      <c r="CG114" s="59">
        <f t="shared" si="255"/>
        <v>-50</v>
      </c>
      <c r="CH114">
        <f t="shared" si="256"/>
        <v>-50</v>
      </c>
    </row>
    <row r="115" spans="5:86" x14ac:dyDescent="0.25">
      <c r="E115" s="150">
        <v>5</v>
      </c>
      <c r="F115" s="191">
        <f t="shared" si="257"/>
        <v>2.5000000000000001E-2</v>
      </c>
      <c r="G115" s="191"/>
      <c r="H115" s="191">
        <f t="shared" si="201"/>
        <v>0.375</v>
      </c>
      <c r="I115" s="472">
        <f t="shared" si="202"/>
        <v>9</v>
      </c>
      <c r="J115" s="386">
        <f t="shared" si="203"/>
        <v>7.66</v>
      </c>
      <c r="K115" s="386">
        <f t="shared" si="204"/>
        <v>16.66</v>
      </c>
      <c r="L115" s="386"/>
      <c r="M115" s="191">
        <f t="shared" si="205"/>
        <v>0.45978391356542619</v>
      </c>
      <c r="N115" s="152">
        <f t="shared" si="206"/>
        <v>7.6905756302521011</v>
      </c>
      <c r="O115" s="152">
        <f t="shared" si="173"/>
        <v>0.375</v>
      </c>
      <c r="P115" s="191">
        <f t="shared" si="207"/>
        <v>0.51270504201680678</v>
      </c>
      <c r="Q115" s="191">
        <f t="shared" si="208"/>
        <v>15</v>
      </c>
      <c r="R115" s="191"/>
      <c r="S115" s="152">
        <f t="shared" si="209"/>
        <v>646.20890911437789</v>
      </c>
      <c r="T115" s="152">
        <f t="shared" si="210"/>
        <v>15</v>
      </c>
      <c r="U115" s="191">
        <f t="shared" si="211"/>
        <v>0.20138284498597814</v>
      </c>
      <c r="V115" s="191">
        <f t="shared" si="212"/>
        <v>0.20138284498597814</v>
      </c>
      <c r="W115" s="191">
        <f t="shared" si="213"/>
        <v>0.23661169776420407</v>
      </c>
      <c r="X115" s="175">
        <f t="shared" si="214"/>
        <v>350</v>
      </c>
      <c r="Y115" s="386">
        <f t="shared" si="215"/>
        <v>350</v>
      </c>
      <c r="AA115" s="191">
        <f t="shared" si="216"/>
        <v>1.3136683244726464</v>
      </c>
      <c r="AB115" s="153">
        <f t="shared" si="217"/>
        <v>1.5434745326702111</v>
      </c>
      <c r="AC115" s="153">
        <f t="shared" si="218"/>
        <v>0.17741619027991926</v>
      </c>
      <c r="AD115" s="153"/>
      <c r="AE115" s="153">
        <f t="shared" si="219"/>
        <v>0.96344647519582249</v>
      </c>
      <c r="AF115" s="317">
        <f t="shared" si="220"/>
        <v>126.5780950492432</v>
      </c>
      <c r="AG115" s="463">
        <f t="shared" si="221"/>
        <v>6.9127284595300251E-2</v>
      </c>
      <c r="AI115" s="153">
        <f t="shared" si="222"/>
        <v>0.49312737013331881</v>
      </c>
      <c r="AJ115" s="153">
        <f t="shared" si="223"/>
        <v>0.82</v>
      </c>
      <c r="AK115" s="153">
        <f t="shared" si="224"/>
        <v>1.072330340028139</v>
      </c>
      <c r="AM115" s="317">
        <f t="shared" si="225"/>
        <v>25</v>
      </c>
      <c r="AN115" s="147">
        <f t="shared" si="226"/>
        <v>126.5780950492432</v>
      </c>
      <c r="AP115" s="147">
        <f t="shared" si="227"/>
        <v>25</v>
      </c>
      <c r="AQ115" s="147">
        <f t="shared" si="228"/>
        <v>126.5780950492432</v>
      </c>
      <c r="AS115" s="5">
        <f t="shared" si="175"/>
        <v>7.9002610966057425</v>
      </c>
      <c r="AT115" s="5">
        <f t="shared" si="229"/>
        <v>0.82</v>
      </c>
      <c r="AU115" s="5">
        <f t="shared" si="230"/>
        <v>7.0802610966057422</v>
      </c>
      <c r="AV115" s="5"/>
      <c r="AW115" s="153">
        <f t="shared" si="231"/>
        <v>0.10379403794037942</v>
      </c>
      <c r="AX115" s="153">
        <f t="shared" si="150"/>
        <v>0.38300000000000006</v>
      </c>
      <c r="AY115" s="153">
        <f t="shared" si="151"/>
        <v>0.1837222222222222</v>
      </c>
      <c r="AZ115" s="153">
        <f t="shared" si="178"/>
        <v>2.0846688841850627</v>
      </c>
      <c r="BA115" s="147">
        <f t="shared" si="232"/>
        <v>17.910795069528412</v>
      </c>
      <c r="BB115" s="147">
        <f t="shared" si="233"/>
        <v>0.12976503703703707</v>
      </c>
      <c r="BC115" s="5">
        <f t="shared" si="234"/>
        <v>0.59061237042089942</v>
      </c>
      <c r="BD115" s="147">
        <f t="shared" si="235"/>
        <v>15.038428233597942</v>
      </c>
      <c r="BF115" s="153">
        <f t="shared" si="179"/>
        <v>0.15252443641496827</v>
      </c>
      <c r="BG115" s="153">
        <f t="shared" si="156"/>
        <v>0.22409240818779963</v>
      </c>
      <c r="BI115" s="463">
        <f t="shared" si="236"/>
        <v>2.5590074074074072E-3</v>
      </c>
      <c r="BJ115" s="463">
        <f t="shared" si="237"/>
        <v>8.6460433604336074E-3</v>
      </c>
      <c r="BK115" s="463">
        <f t="shared" si="238"/>
        <v>6.3289047524621601E-3</v>
      </c>
      <c r="BL115" s="463">
        <f t="shared" si="239"/>
        <v>7.9048033016061881E-3</v>
      </c>
      <c r="BM115">
        <f t="shared" si="240"/>
        <v>2.6099999999999999E-3</v>
      </c>
      <c r="BN115">
        <f t="shared" si="241"/>
        <v>5.0631238019697283E-6</v>
      </c>
      <c r="BO115" s="463">
        <f t="shared" si="242"/>
        <v>2.8412702630104644E-2</v>
      </c>
      <c r="BP115" s="147">
        <f t="shared" si="243"/>
        <v>28.04875882190936</v>
      </c>
      <c r="BQ115" s="463">
        <f t="shared" si="244"/>
        <v>1.7223219851851854E-2</v>
      </c>
      <c r="BT115" s="147">
        <f t="shared" si="245"/>
        <v>17.223219851851855</v>
      </c>
      <c r="BU115" s="463">
        <f t="shared" si="246"/>
        <v>1.9774148148148144E-3</v>
      </c>
      <c r="BV115" s="463">
        <f t="shared" si="247"/>
        <v>9.541307407407407E-3</v>
      </c>
      <c r="BW115" s="463">
        <f t="shared" si="248"/>
        <v>0</v>
      </c>
      <c r="BX115" s="463"/>
      <c r="BY115" s="463">
        <f t="shared" si="249"/>
        <v>4.2555555555555569E-2</v>
      </c>
      <c r="BZ115" s="147">
        <f t="shared" si="250"/>
        <v>54.074277777777787</v>
      </c>
      <c r="CA115" s="153">
        <f t="shared" si="251"/>
        <v>9.9346256451539008E-2</v>
      </c>
      <c r="CB115" s="5">
        <f t="shared" si="252"/>
        <v>0.375</v>
      </c>
      <c r="CC115" s="153">
        <f t="shared" si="253"/>
        <v>0.7905617360728795</v>
      </c>
      <c r="CD115" s="5">
        <f t="shared" si="254"/>
        <v>79.056173607287946</v>
      </c>
      <c r="CG115" s="59">
        <f t="shared" si="255"/>
        <v>-50</v>
      </c>
      <c r="CH115">
        <f t="shared" si="256"/>
        <v>-50</v>
      </c>
    </row>
    <row r="116" spans="5:86" x14ac:dyDescent="0.25">
      <c r="E116" s="150">
        <v>6</v>
      </c>
      <c r="F116" s="191">
        <f t="shared" si="257"/>
        <v>0.03</v>
      </c>
      <c r="G116" s="191"/>
      <c r="H116" s="191">
        <f t="shared" si="201"/>
        <v>0.44999999999999996</v>
      </c>
      <c r="I116" s="472">
        <f t="shared" si="202"/>
        <v>9</v>
      </c>
      <c r="J116" s="386">
        <f t="shared" si="203"/>
        <v>7.66</v>
      </c>
      <c r="K116" s="386">
        <f t="shared" si="204"/>
        <v>16.66</v>
      </c>
      <c r="L116" s="386"/>
      <c r="M116" s="191">
        <f t="shared" si="205"/>
        <v>0.45978391356542619</v>
      </c>
      <c r="N116" s="152">
        <f t="shared" si="206"/>
        <v>7.6905756302521011</v>
      </c>
      <c r="O116" s="152">
        <f t="shared" si="173"/>
        <v>0.44999999999999996</v>
      </c>
      <c r="P116" s="191">
        <f t="shared" si="207"/>
        <v>0.51270504201680678</v>
      </c>
      <c r="Q116" s="191">
        <f t="shared" si="208"/>
        <v>15</v>
      </c>
      <c r="R116" s="191"/>
      <c r="S116" s="152">
        <f t="shared" si="209"/>
        <v>535.51074966303008</v>
      </c>
      <c r="T116" s="152">
        <f t="shared" si="210"/>
        <v>15</v>
      </c>
      <c r="U116" s="191">
        <f t="shared" si="211"/>
        <v>0.24165941398317375</v>
      </c>
      <c r="V116" s="191">
        <f t="shared" si="212"/>
        <v>0.24165941398317375</v>
      </c>
      <c r="W116" s="191">
        <f t="shared" si="213"/>
        <v>0.28393403731704486</v>
      </c>
      <c r="X116" s="175">
        <f t="shared" si="214"/>
        <v>350</v>
      </c>
      <c r="Y116" s="386">
        <f t="shared" si="215"/>
        <v>350</v>
      </c>
      <c r="AA116" s="191">
        <f t="shared" si="216"/>
        <v>1.3136683244726464</v>
      </c>
      <c r="AB116" s="153">
        <f t="shared" si="217"/>
        <v>1.5434745326702111</v>
      </c>
      <c r="AC116" s="153">
        <f t="shared" si="218"/>
        <v>0.17741619027991926</v>
      </c>
      <c r="AD116" s="153"/>
      <c r="AE116" s="153">
        <f t="shared" si="219"/>
        <v>0.96344647519582249</v>
      </c>
      <c r="AF116" s="317">
        <f t="shared" si="220"/>
        <v>151.89371405909182</v>
      </c>
      <c r="AG116" s="463">
        <f t="shared" si="221"/>
        <v>6.9127284595300251E-2</v>
      </c>
      <c r="AI116" s="153">
        <f t="shared" si="222"/>
        <v>0.54019396869043601</v>
      </c>
      <c r="AJ116" s="153">
        <f t="shared" si="223"/>
        <v>0.82</v>
      </c>
      <c r="AK116" s="153">
        <f t="shared" si="224"/>
        <v>1.0867964080337669</v>
      </c>
      <c r="AM116" s="317">
        <f t="shared" si="225"/>
        <v>30</v>
      </c>
      <c r="AN116" s="147">
        <f t="shared" si="226"/>
        <v>151.89371405909182</v>
      </c>
      <c r="AP116" s="147">
        <f t="shared" si="227"/>
        <v>30</v>
      </c>
      <c r="AQ116" s="147">
        <f t="shared" si="228"/>
        <v>151.89371405909182</v>
      </c>
      <c r="AS116" s="5">
        <f t="shared" si="175"/>
        <v>6.5835509138381196</v>
      </c>
      <c r="AT116" s="5">
        <f t="shared" si="229"/>
        <v>0.82</v>
      </c>
      <c r="AU116" s="5">
        <f t="shared" si="230"/>
        <v>5.7635509138381193</v>
      </c>
      <c r="AV116" s="5"/>
      <c r="AW116" s="153">
        <f t="shared" si="231"/>
        <v>0.12455284552845529</v>
      </c>
      <c r="AX116" s="153">
        <f t="shared" si="150"/>
        <v>0.45959999999999995</v>
      </c>
      <c r="AY116" s="153">
        <f t="shared" si="151"/>
        <v>0.17946666666666666</v>
      </c>
      <c r="AZ116" s="153">
        <f t="shared" si="178"/>
        <v>2.5609212481426447</v>
      </c>
      <c r="BA116" s="147">
        <f t="shared" si="232"/>
        <v>17.910795069528412</v>
      </c>
      <c r="BB116" s="147">
        <f t="shared" si="233"/>
        <v>0.16886165333333336</v>
      </c>
      <c r="BC116" s="5">
        <f t="shared" si="234"/>
        <v>0.57693202340721905</v>
      </c>
      <c r="BD116" s="147">
        <f t="shared" si="235"/>
        <v>14.721088166257875</v>
      </c>
      <c r="BF116" s="153">
        <f t="shared" si="179"/>
        <v>0.16708214879048103</v>
      </c>
      <c r="BG116" s="153">
        <f t="shared" si="156"/>
        <v>0.22148187786413184</v>
      </c>
      <c r="BI116" s="463">
        <f t="shared" si="236"/>
        <v>3.0708088888888887E-3</v>
      </c>
      <c r="BJ116" s="463">
        <f t="shared" si="237"/>
        <v>1.0375252032520325E-2</v>
      </c>
      <c r="BK116" s="463">
        <f t="shared" si="238"/>
        <v>7.5946857029545907E-3</v>
      </c>
      <c r="BL116" s="463">
        <f t="shared" si="239"/>
        <v>9.4857639619274261E-3</v>
      </c>
      <c r="BM116">
        <f t="shared" si="240"/>
        <v>2.6099999999999999E-3</v>
      </c>
      <c r="BN116">
        <f t="shared" si="241"/>
        <v>6.0757485623636726E-6</v>
      </c>
      <c r="BO116" s="463">
        <f t="shared" si="242"/>
        <v>3.3576168591293636E-2</v>
      </c>
      <c r="BP116" s="147">
        <f t="shared" si="243"/>
        <v>33.13651058629123</v>
      </c>
      <c r="BQ116" s="463">
        <f t="shared" si="244"/>
        <v>1.8955485155555556E-2</v>
      </c>
      <c r="BT116" s="147">
        <f t="shared" si="245"/>
        <v>18.955485155555557</v>
      </c>
      <c r="BU116" s="463">
        <f t="shared" si="246"/>
        <v>2.3728977777777776E-3</v>
      </c>
      <c r="BV116" s="463">
        <f t="shared" si="247"/>
        <v>9.3203022222222206E-3</v>
      </c>
      <c r="BW116" s="463">
        <f t="shared" si="248"/>
        <v>0</v>
      </c>
      <c r="BX116" s="463"/>
      <c r="BY116" s="463">
        <f t="shared" si="249"/>
        <v>5.106666666666667E-2</v>
      </c>
      <c r="BZ116" s="147">
        <f t="shared" si="250"/>
        <v>62.759866666666667</v>
      </c>
      <c r="CA116" s="153">
        <f t="shared" si="251"/>
        <v>0.11485186240851344</v>
      </c>
      <c r="CB116" s="5">
        <f t="shared" si="252"/>
        <v>0.44999999999999996</v>
      </c>
      <c r="CC116" s="153">
        <f t="shared" si="253"/>
        <v>0.796669055991445</v>
      </c>
      <c r="CD116" s="5">
        <f t="shared" si="254"/>
        <v>79.666905599144499</v>
      </c>
      <c r="CG116" s="59">
        <f t="shared" si="255"/>
        <v>-50</v>
      </c>
      <c r="CH116">
        <f t="shared" si="256"/>
        <v>-50</v>
      </c>
    </row>
    <row r="117" spans="5:86" x14ac:dyDescent="0.25">
      <c r="E117" s="150">
        <v>7</v>
      </c>
      <c r="F117" s="191">
        <f t="shared" si="257"/>
        <v>3.5000000000000003E-2</v>
      </c>
      <c r="G117" s="191"/>
      <c r="H117" s="191">
        <f t="shared" si="201"/>
        <v>0.52500000000000002</v>
      </c>
      <c r="I117" s="472">
        <f t="shared" si="202"/>
        <v>9</v>
      </c>
      <c r="J117" s="386">
        <f t="shared" si="203"/>
        <v>7.66</v>
      </c>
      <c r="K117" s="386">
        <f t="shared" si="204"/>
        <v>16.66</v>
      </c>
      <c r="L117" s="386"/>
      <c r="M117" s="191">
        <f t="shared" si="205"/>
        <v>0.45978391356542619</v>
      </c>
      <c r="N117" s="152">
        <f t="shared" si="206"/>
        <v>7.6905756302521011</v>
      </c>
      <c r="O117" s="152">
        <f t="shared" si="173"/>
        <v>0.52500000000000002</v>
      </c>
      <c r="P117" s="191">
        <f t="shared" si="207"/>
        <v>0.51270504201680678</v>
      </c>
      <c r="Q117" s="191">
        <f t="shared" si="208"/>
        <v>15</v>
      </c>
      <c r="R117" s="191"/>
      <c r="S117" s="152">
        <f t="shared" si="209"/>
        <v>456.4411819572843</v>
      </c>
      <c r="T117" s="152">
        <f t="shared" si="210"/>
        <v>15</v>
      </c>
      <c r="U117" s="191">
        <f t="shared" si="211"/>
        <v>0.28193598298036943</v>
      </c>
      <c r="V117" s="191">
        <f t="shared" si="212"/>
        <v>0.28193598298036943</v>
      </c>
      <c r="W117" s="191">
        <f t="shared" si="213"/>
        <v>0.33125637686988574</v>
      </c>
      <c r="X117" s="175">
        <f t="shared" si="214"/>
        <v>350</v>
      </c>
      <c r="Y117" s="386">
        <f t="shared" si="215"/>
        <v>350</v>
      </c>
      <c r="AA117" s="191">
        <f t="shared" si="216"/>
        <v>1.3136683244726464</v>
      </c>
      <c r="AB117" s="153">
        <f t="shared" si="217"/>
        <v>1.5434745326702111</v>
      </c>
      <c r="AC117" s="153">
        <f t="shared" si="218"/>
        <v>0.17741619027991926</v>
      </c>
      <c r="AD117" s="153"/>
      <c r="AE117" s="153">
        <f t="shared" si="219"/>
        <v>0.96344647519582249</v>
      </c>
      <c r="AF117" s="317">
        <f t="shared" si="220"/>
        <v>177.20933306894048</v>
      </c>
      <c r="AG117" s="463">
        <f t="shared" si="221"/>
        <v>6.9127284595300251E-2</v>
      </c>
      <c r="AI117" s="153">
        <f t="shared" si="222"/>
        <v>0.58347617298776178</v>
      </c>
      <c r="AJ117" s="153">
        <f t="shared" si="223"/>
        <v>0.82</v>
      </c>
      <c r="AK117" s="153">
        <f t="shared" si="224"/>
        <v>1.1012624760393945</v>
      </c>
      <c r="AM117" s="317">
        <f t="shared" si="225"/>
        <v>35</v>
      </c>
      <c r="AN117" s="147">
        <f t="shared" si="226"/>
        <v>177.20933306894048</v>
      </c>
      <c r="AP117" s="147">
        <f t="shared" si="227"/>
        <v>35</v>
      </c>
      <c r="AQ117" s="147">
        <f t="shared" si="228"/>
        <v>177.20933306894048</v>
      </c>
      <c r="AS117" s="5">
        <f t="shared" si="175"/>
        <v>5.6430436404326736</v>
      </c>
      <c r="AT117" s="5">
        <f t="shared" si="229"/>
        <v>0.82</v>
      </c>
      <c r="AU117" s="5">
        <f t="shared" si="230"/>
        <v>4.8230436404326733</v>
      </c>
      <c r="AV117" s="5"/>
      <c r="AW117" s="153">
        <f t="shared" si="231"/>
        <v>0.14531165311653119</v>
      </c>
      <c r="AX117" s="153">
        <f t="shared" si="150"/>
        <v>0.53620000000000001</v>
      </c>
      <c r="AY117" s="153">
        <f t="shared" si="151"/>
        <v>0.1752111111111111</v>
      </c>
      <c r="AZ117" s="153">
        <f t="shared" si="178"/>
        <v>3.0603081996321899</v>
      </c>
      <c r="BA117" s="147">
        <f t="shared" si="232"/>
        <v>17.910795069528412</v>
      </c>
      <c r="BB117" s="147">
        <f t="shared" si="233"/>
        <v>0.21233947259259267</v>
      </c>
      <c r="BC117" s="5">
        <f t="shared" ref="BC117:BC180" si="258">H117/Efficiency/I117*AU117/Vinripple1</f>
        <v>0.56325167639353879</v>
      </c>
      <c r="BD117" s="147">
        <f t="shared" si="235"/>
        <v>14.403748098917809</v>
      </c>
      <c r="BF117" s="153">
        <f t="shared" si="179"/>
        <v>0.18046934694065137</v>
      </c>
      <c r="BG117" s="153">
        <f t="shared" si="156"/>
        <v>0.21884020891288927</v>
      </c>
      <c r="BI117" s="463">
        <f t="shared" si="236"/>
        <v>3.5826103703703706E-3</v>
      </c>
      <c r="BJ117" s="463">
        <f t="shared" si="237"/>
        <v>1.2104460704607047E-2</v>
      </c>
      <c r="BK117" s="463">
        <f t="shared" si="238"/>
        <v>8.8604666534470248E-3</v>
      </c>
      <c r="BL117" s="463">
        <f t="shared" si="239"/>
        <v>1.1066724622248664E-2</v>
      </c>
      <c r="BM117">
        <f t="shared" si="240"/>
        <v>2.6099999999999999E-3</v>
      </c>
      <c r="BN117">
        <f t="shared" si="241"/>
        <v>7.0883733227576195E-6</v>
      </c>
      <c r="BO117" s="463">
        <f t="shared" si="242"/>
        <v>3.8740610342527695E-2</v>
      </c>
      <c r="BP117" s="147">
        <f t="shared" si="243"/>
        <v>38.224262350673101</v>
      </c>
      <c r="BQ117" s="463">
        <f t="shared" si="244"/>
        <v>2.068775045925926E-2</v>
      </c>
      <c r="BT117" s="147">
        <f t="shared" si="245"/>
        <v>20.687750459259259</v>
      </c>
      <c r="BU117" s="463">
        <f t="shared" si="246"/>
        <v>2.7683807407407413E-3</v>
      </c>
      <c r="BV117" s="463">
        <f t="shared" si="247"/>
        <v>9.0992970370370341E-3</v>
      </c>
      <c r="BW117" s="463">
        <f t="shared" si="248"/>
        <v>0</v>
      </c>
      <c r="BX117" s="463"/>
      <c r="BY117" s="463">
        <f t="shared" si="249"/>
        <v>5.9577777777777792E-2</v>
      </c>
      <c r="BZ117" s="147">
        <f t="shared" si="250"/>
        <v>71.445455555555569</v>
      </c>
      <c r="CA117" s="153">
        <f t="shared" si="251"/>
        <v>0.13035746836548792</v>
      </c>
      <c r="CB117" s="5">
        <f t="shared" si="252"/>
        <v>0.52500000000000002</v>
      </c>
      <c r="CC117" s="153">
        <f t="shared" si="253"/>
        <v>0.80108952036419223</v>
      </c>
      <c r="CD117" s="5">
        <f t="shared" si="254"/>
        <v>80.108952036419225</v>
      </c>
      <c r="CG117" s="59">
        <f t="shared" si="255"/>
        <v>-50</v>
      </c>
      <c r="CH117">
        <f t="shared" si="256"/>
        <v>-50</v>
      </c>
    </row>
    <row r="118" spans="5:86" x14ac:dyDescent="0.25">
      <c r="E118" s="150">
        <v>8</v>
      </c>
      <c r="F118" s="191">
        <f t="shared" si="257"/>
        <v>0.04</v>
      </c>
      <c r="G118" s="191"/>
      <c r="H118" s="191">
        <f t="shared" si="201"/>
        <v>0.6</v>
      </c>
      <c r="I118" s="472">
        <f t="shared" si="202"/>
        <v>9</v>
      </c>
      <c r="J118" s="386">
        <f t="shared" si="203"/>
        <v>7.66</v>
      </c>
      <c r="K118" s="386">
        <f t="shared" si="204"/>
        <v>16.66</v>
      </c>
      <c r="L118" s="386"/>
      <c r="M118" s="191">
        <f t="shared" si="205"/>
        <v>0.45978391356542619</v>
      </c>
      <c r="N118" s="152">
        <f t="shared" si="206"/>
        <v>7.6905756302521011</v>
      </c>
      <c r="O118" s="152">
        <f t="shared" si="173"/>
        <v>0.6</v>
      </c>
      <c r="P118" s="191">
        <f t="shared" si="207"/>
        <v>0.51270504201680678</v>
      </c>
      <c r="Q118" s="191">
        <f t="shared" si="208"/>
        <v>15</v>
      </c>
      <c r="R118" s="191"/>
      <c r="S118" s="152">
        <f t="shared" si="209"/>
        <v>397.13949204287553</v>
      </c>
      <c r="T118" s="152">
        <f t="shared" si="210"/>
        <v>15</v>
      </c>
      <c r="U118" s="191">
        <f t="shared" si="211"/>
        <v>0.32221255197756499</v>
      </c>
      <c r="V118" s="191">
        <f t="shared" si="212"/>
        <v>0.32221255197756504</v>
      </c>
      <c r="W118" s="191">
        <f t="shared" si="213"/>
        <v>0.3785787164227265</v>
      </c>
      <c r="X118" s="175">
        <f t="shared" si="214"/>
        <v>350</v>
      </c>
      <c r="Y118" s="386">
        <f t="shared" si="215"/>
        <v>350</v>
      </c>
      <c r="AA118" s="191">
        <f t="shared" si="216"/>
        <v>1.3136683244726464</v>
      </c>
      <c r="AB118" s="153">
        <f t="shared" si="217"/>
        <v>1.5434745326702111</v>
      </c>
      <c r="AC118" s="153">
        <f t="shared" si="218"/>
        <v>0.17741619027991926</v>
      </c>
      <c r="AD118" s="153"/>
      <c r="AE118" s="153">
        <f t="shared" si="219"/>
        <v>0.96344647519582249</v>
      </c>
      <c r="AF118" s="317">
        <f t="shared" si="220"/>
        <v>202.52495207878908</v>
      </c>
      <c r="AG118" s="463">
        <f t="shared" si="221"/>
        <v>6.9127284595300251E-2</v>
      </c>
      <c r="AI118" s="153">
        <f t="shared" si="222"/>
        <v>0.62376226647607103</v>
      </c>
      <c r="AJ118" s="153">
        <f t="shared" si="223"/>
        <v>0.82</v>
      </c>
      <c r="AK118" s="153">
        <f t="shared" si="224"/>
        <v>1.1157285440450224</v>
      </c>
      <c r="AM118" s="317">
        <f t="shared" si="225"/>
        <v>40</v>
      </c>
      <c r="AN118" s="147">
        <f t="shared" si="226"/>
        <v>202.52495207878908</v>
      </c>
      <c r="AP118" s="147">
        <f t="shared" si="227"/>
        <v>40</v>
      </c>
      <c r="AQ118" s="147">
        <f t="shared" si="228"/>
        <v>202.52495207878908</v>
      </c>
      <c r="AS118" s="5">
        <f t="shared" si="175"/>
        <v>4.9376631853785904</v>
      </c>
      <c r="AT118" s="5">
        <f t="shared" si="229"/>
        <v>0.82</v>
      </c>
      <c r="AU118" s="5">
        <f t="shared" si="230"/>
        <v>4.1176631853785901</v>
      </c>
      <c r="AV118" s="5"/>
      <c r="AW118" s="153">
        <f t="shared" si="231"/>
        <v>0.16607046070460701</v>
      </c>
      <c r="AX118" s="153">
        <f t="shared" si="150"/>
        <v>0.6127999999999999</v>
      </c>
      <c r="AY118" s="153">
        <f t="shared" si="151"/>
        <v>0.17095555555555553</v>
      </c>
      <c r="AZ118" s="153">
        <f t="shared" si="178"/>
        <v>3.5845573898349148</v>
      </c>
      <c r="BA118" s="147">
        <f t="shared" si="232"/>
        <v>17.910795069528412</v>
      </c>
      <c r="BB118" s="147">
        <f t="shared" si="233"/>
        <v>0.26019849481481488</v>
      </c>
      <c r="BC118" s="5">
        <f t="shared" si="258"/>
        <v>0.54957132937985842</v>
      </c>
      <c r="BD118" s="147">
        <f t="shared" si="235"/>
        <v>14.086408031577744</v>
      </c>
      <c r="BF118" s="153">
        <f t="shared" si="179"/>
        <v>0.19292984716193065</v>
      </c>
      <c r="BG118" s="153">
        <f t="shared" si="156"/>
        <v>0.21616625974432699</v>
      </c>
      <c r="BI118" s="463">
        <f t="shared" si="236"/>
        <v>4.0944118518518513E-3</v>
      </c>
      <c r="BJ118" s="463">
        <f t="shared" si="237"/>
        <v>1.3833669376693768E-2</v>
      </c>
      <c r="BK118" s="463">
        <f t="shared" si="238"/>
        <v>1.0126247603939454E-2</v>
      </c>
      <c r="BL118" s="463">
        <f t="shared" si="239"/>
        <v>1.26476852825699E-2</v>
      </c>
      <c r="BM118">
        <f t="shared" si="240"/>
        <v>2.6099999999999999E-3</v>
      </c>
      <c r="BN118">
        <f t="shared" si="241"/>
        <v>8.1009980831515629E-6</v>
      </c>
      <c r="BO118" s="463">
        <f t="shared" si="242"/>
        <v>4.3906028160439647E-2</v>
      </c>
      <c r="BP118" s="147">
        <f t="shared" si="243"/>
        <v>43.312014115054978</v>
      </c>
      <c r="BQ118" s="463">
        <f t="shared" si="244"/>
        <v>2.2420015762962962E-2</v>
      </c>
      <c r="BT118" s="147">
        <f t="shared" si="245"/>
        <v>22.420015762962962</v>
      </c>
      <c r="BU118" s="463">
        <f t="shared" si="246"/>
        <v>3.1638637037037036E-3</v>
      </c>
      <c r="BV118" s="463">
        <f t="shared" si="247"/>
        <v>8.8782918518518494E-3</v>
      </c>
      <c r="BW118" s="463">
        <f t="shared" si="248"/>
        <v>0</v>
      </c>
      <c r="BX118" s="463"/>
      <c r="BY118" s="463">
        <f t="shared" si="249"/>
        <v>6.8088888888888893E-2</v>
      </c>
      <c r="BZ118" s="147">
        <f t="shared" si="250"/>
        <v>80.131044444444456</v>
      </c>
      <c r="CA118" s="153">
        <f t="shared" si="251"/>
        <v>0.14586307432246237</v>
      </c>
      <c r="CB118" s="5">
        <f t="shared" si="252"/>
        <v>0.6</v>
      </c>
      <c r="CC118" s="153">
        <f t="shared" si="253"/>
        <v>0.80443719585533369</v>
      </c>
      <c r="CD118" s="5">
        <f t="shared" si="254"/>
        <v>80.443719585533373</v>
      </c>
      <c r="CG118" s="59">
        <f t="shared" si="255"/>
        <v>-50</v>
      </c>
      <c r="CH118">
        <f t="shared" si="256"/>
        <v>-50</v>
      </c>
    </row>
    <row r="119" spans="5:86" x14ac:dyDescent="0.25">
      <c r="E119" s="150">
        <v>9</v>
      </c>
      <c r="F119" s="191">
        <f t="shared" si="257"/>
        <v>4.4999999999999998E-2</v>
      </c>
      <c r="G119" s="191"/>
      <c r="H119" s="191">
        <f t="shared" si="201"/>
        <v>0.67499999999999993</v>
      </c>
      <c r="I119" s="472">
        <f t="shared" si="202"/>
        <v>9</v>
      </c>
      <c r="J119" s="386">
        <f t="shared" si="203"/>
        <v>7.66</v>
      </c>
      <c r="K119" s="386">
        <f t="shared" si="204"/>
        <v>16.66</v>
      </c>
      <c r="L119" s="386"/>
      <c r="M119" s="191">
        <f t="shared" si="205"/>
        <v>0.45978391356542619</v>
      </c>
      <c r="N119" s="152">
        <f t="shared" si="206"/>
        <v>7.6905756302521011</v>
      </c>
      <c r="O119" s="152">
        <f t="shared" si="173"/>
        <v>0.67499999999999993</v>
      </c>
      <c r="P119" s="191">
        <f t="shared" si="207"/>
        <v>0.51270504201680678</v>
      </c>
      <c r="Q119" s="191">
        <f t="shared" si="208"/>
        <v>15</v>
      </c>
      <c r="R119" s="191"/>
      <c r="S119" s="152">
        <f t="shared" si="209"/>
        <v>351.01639454405938</v>
      </c>
      <c r="T119" s="152">
        <f t="shared" si="210"/>
        <v>15</v>
      </c>
      <c r="U119" s="191">
        <f t="shared" si="211"/>
        <v>0.3624891209747606</v>
      </c>
      <c r="V119" s="191">
        <f t="shared" si="212"/>
        <v>0.3624891209747606</v>
      </c>
      <c r="W119" s="191">
        <f t="shared" si="213"/>
        <v>0.42590105597556727</v>
      </c>
      <c r="X119" s="175">
        <f t="shared" si="214"/>
        <v>350</v>
      </c>
      <c r="Y119" s="386">
        <f t="shared" si="215"/>
        <v>350</v>
      </c>
      <c r="AA119" s="191">
        <f t="shared" si="216"/>
        <v>1.3136683244726464</v>
      </c>
      <c r="AB119" s="153">
        <f t="shared" si="217"/>
        <v>1.5434745326702111</v>
      </c>
      <c r="AC119" s="153">
        <f t="shared" si="218"/>
        <v>0.17741619027991926</v>
      </c>
      <c r="AD119" s="153"/>
      <c r="AE119" s="153">
        <f t="shared" si="219"/>
        <v>0.96344647519582249</v>
      </c>
      <c r="AF119" s="317">
        <f t="shared" si="220"/>
        <v>227.84057108863772</v>
      </c>
      <c r="AG119" s="463">
        <f t="shared" si="221"/>
        <v>6.9127284595300251E-2</v>
      </c>
      <c r="AI119" s="153">
        <f t="shared" si="222"/>
        <v>0.66159979271028024</v>
      </c>
      <c r="AJ119" s="153">
        <f t="shared" si="223"/>
        <v>0.82</v>
      </c>
      <c r="AK119" s="153">
        <f t="shared" si="224"/>
        <v>1.1301946120506501</v>
      </c>
      <c r="AM119" s="317">
        <f t="shared" si="225"/>
        <v>45</v>
      </c>
      <c r="AN119" s="147">
        <f t="shared" si="226"/>
        <v>227.84057108863772</v>
      </c>
      <c r="AP119" s="147">
        <f t="shared" si="227"/>
        <v>45</v>
      </c>
      <c r="AQ119" s="147">
        <f t="shared" si="228"/>
        <v>227.84057108863772</v>
      </c>
      <c r="AS119" s="5">
        <f t="shared" si="175"/>
        <v>4.389033942558747</v>
      </c>
      <c r="AT119" s="5">
        <f t="shared" si="229"/>
        <v>0.82</v>
      </c>
      <c r="AU119" s="5">
        <f t="shared" si="230"/>
        <v>3.5690339425587472</v>
      </c>
      <c r="AV119" s="5"/>
      <c r="AW119" s="153">
        <f t="shared" si="231"/>
        <v>0.1868292682926829</v>
      </c>
      <c r="AX119" s="153">
        <f t="shared" si="150"/>
        <v>0.68939999999999979</v>
      </c>
      <c r="AY119" s="153">
        <f t="shared" si="151"/>
        <v>0.16670000000000001</v>
      </c>
      <c r="AZ119" s="153">
        <f t="shared" si="178"/>
        <v>4.1355728854229135</v>
      </c>
      <c r="BA119" s="147">
        <f t="shared" si="232"/>
        <v>17.910795069528412</v>
      </c>
      <c r="BB119" s="147">
        <f t="shared" si="233"/>
        <v>0.31243872000000006</v>
      </c>
      <c r="BC119" s="5">
        <f t="shared" si="258"/>
        <v>0.53589098236617805</v>
      </c>
      <c r="BD119" s="147">
        <f t="shared" si="235"/>
        <v>13.769067964237678</v>
      </c>
      <c r="BF119" s="153">
        <f t="shared" si="179"/>
        <v>0.20463300483222802</v>
      </c>
      <c r="BG119" s="153">
        <f t="shared" si="156"/>
        <v>0.21345881726147237</v>
      </c>
      <c r="BI119" s="463">
        <f t="shared" si="236"/>
        <v>4.6062133333333319E-3</v>
      </c>
      <c r="BJ119" s="463">
        <f t="shared" si="237"/>
        <v>1.5562878048780489E-2</v>
      </c>
      <c r="BK119" s="463">
        <f t="shared" si="238"/>
        <v>1.1392028554431886E-2</v>
      </c>
      <c r="BL119" s="463">
        <f t="shared" si="239"/>
        <v>1.4228645942891137E-2</v>
      </c>
      <c r="BM119">
        <f t="shared" si="240"/>
        <v>2.6099999999999999E-3</v>
      </c>
      <c r="BN119">
        <f t="shared" si="241"/>
        <v>9.1136228435455081E-6</v>
      </c>
      <c r="BO119" s="463">
        <f t="shared" si="242"/>
        <v>4.907242232176693E-2</v>
      </c>
      <c r="BP119" s="147">
        <f t="shared" si="243"/>
        <v>48.399765879436849</v>
      </c>
      <c r="BQ119" s="463">
        <f t="shared" si="244"/>
        <v>2.4152281066666663E-2</v>
      </c>
      <c r="BT119" s="147">
        <f t="shared" si="245"/>
        <v>24.152281066666664</v>
      </c>
      <c r="BU119" s="463">
        <f t="shared" si="246"/>
        <v>3.559346666666666E-3</v>
      </c>
      <c r="BV119" s="463">
        <f t="shared" si="247"/>
        <v>8.6572866666666647E-3</v>
      </c>
      <c r="BW119" s="463">
        <f t="shared" si="248"/>
        <v>0</v>
      </c>
      <c r="BX119" s="463"/>
      <c r="BY119" s="463">
        <f t="shared" si="249"/>
        <v>7.6600000000000001E-2</v>
      </c>
      <c r="BZ119" s="147">
        <f t="shared" si="250"/>
        <v>88.816633333333343</v>
      </c>
      <c r="CA119" s="153">
        <f t="shared" si="251"/>
        <v>0.16136868027943685</v>
      </c>
      <c r="CB119" s="5">
        <f t="shared" si="252"/>
        <v>0.67499999999999993</v>
      </c>
      <c r="CC119" s="153">
        <f t="shared" si="253"/>
        <v>0.80706035019685052</v>
      </c>
      <c r="CD119" s="5">
        <f t="shared" si="254"/>
        <v>80.706035019685046</v>
      </c>
      <c r="CG119" s="59">
        <f t="shared" si="255"/>
        <v>-50</v>
      </c>
      <c r="CH119">
        <f t="shared" si="256"/>
        <v>-50</v>
      </c>
    </row>
    <row r="120" spans="5:86" x14ac:dyDescent="0.25">
      <c r="E120" s="150">
        <v>10</v>
      </c>
      <c r="F120" s="191">
        <f t="shared" si="257"/>
        <v>0.05</v>
      </c>
      <c r="G120" s="191"/>
      <c r="H120" s="191">
        <f t="shared" si="201"/>
        <v>0.75</v>
      </c>
      <c r="I120" s="472">
        <f t="shared" si="202"/>
        <v>9</v>
      </c>
      <c r="J120" s="386">
        <f t="shared" si="203"/>
        <v>7.66</v>
      </c>
      <c r="K120" s="386">
        <f t="shared" si="204"/>
        <v>16.66</v>
      </c>
      <c r="L120" s="386"/>
      <c r="M120" s="191">
        <f t="shared" si="205"/>
        <v>0.45978391356542619</v>
      </c>
      <c r="N120" s="152">
        <f t="shared" si="206"/>
        <v>7.6905756302521011</v>
      </c>
      <c r="O120" s="152">
        <f t="shared" si="173"/>
        <v>0.75</v>
      </c>
      <c r="P120" s="191">
        <f t="shared" si="207"/>
        <v>0.51270504201680678</v>
      </c>
      <c r="Q120" s="191">
        <f t="shared" si="208"/>
        <v>15</v>
      </c>
      <c r="R120" s="191"/>
      <c r="S120" s="152">
        <f t="shared" si="209"/>
        <v>314.11831837808347</v>
      </c>
      <c r="T120" s="152">
        <f t="shared" si="210"/>
        <v>15</v>
      </c>
      <c r="U120" s="191">
        <f t="shared" si="211"/>
        <v>0.40276568997195628</v>
      </c>
      <c r="V120" s="191">
        <f t="shared" si="212"/>
        <v>0.40276568997195628</v>
      </c>
      <c r="W120" s="191">
        <f t="shared" si="213"/>
        <v>0.47322339552840814</v>
      </c>
      <c r="X120" s="175">
        <f t="shared" si="214"/>
        <v>350</v>
      </c>
      <c r="Y120" s="386">
        <f t="shared" si="215"/>
        <v>350</v>
      </c>
      <c r="AA120" s="191">
        <f t="shared" si="216"/>
        <v>1.3136683244726464</v>
      </c>
      <c r="AB120" s="153">
        <f t="shared" si="217"/>
        <v>1.5434745326702111</v>
      </c>
      <c r="AC120" s="153">
        <f t="shared" si="218"/>
        <v>0.17741619027991926</v>
      </c>
      <c r="AD120" s="153"/>
      <c r="AE120" s="153">
        <f t="shared" si="219"/>
        <v>0.96344647519582249</v>
      </c>
      <c r="AF120" s="317">
        <f t="shared" si="220"/>
        <v>253.15619009848641</v>
      </c>
      <c r="AG120" s="463">
        <f t="shared" si="221"/>
        <v>6.9127284595300251E-2</v>
      </c>
      <c r="AI120" s="153">
        <f t="shared" si="222"/>
        <v>0.69738741481991651</v>
      </c>
      <c r="AJ120" s="153">
        <f t="shared" si="223"/>
        <v>0.82</v>
      </c>
      <c r="AK120" s="153">
        <f t="shared" si="224"/>
        <v>1.144660680056278</v>
      </c>
      <c r="AM120" s="317">
        <f t="shared" si="225"/>
        <v>50</v>
      </c>
      <c r="AN120" s="147">
        <f t="shared" si="226"/>
        <v>253.15619009848641</v>
      </c>
      <c r="AP120" s="147">
        <f t="shared" si="227"/>
        <v>50</v>
      </c>
      <c r="AQ120" s="147">
        <f t="shared" si="228"/>
        <v>253.15619009848641</v>
      </c>
      <c r="AS120" s="5">
        <f t="shared" si="175"/>
        <v>3.9501305483028712</v>
      </c>
      <c r="AT120" s="5">
        <f t="shared" si="229"/>
        <v>0.82</v>
      </c>
      <c r="AU120" s="5">
        <f t="shared" si="230"/>
        <v>3.1301305483028714</v>
      </c>
      <c r="AV120" s="5"/>
      <c r="AW120" s="153">
        <f t="shared" si="231"/>
        <v>0.20758807588075884</v>
      </c>
      <c r="AX120" s="153">
        <f t="shared" si="150"/>
        <v>0.76600000000000013</v>
      </c>
      <c r="AY120" s="153">
        <f t="shared" si="151"/>
        <v>0.16244444444444442</v>
      </c>
      <c r="AZ120" s="153">
        <f t="shared" si="178"/>
        <v>4.7154582763337904</v>
      </c>
      <c r="BA120" s="147">
        <f t="shared" si="232"/>
        <v>17.910795069528412</v>
      </c>
      <c r="BB120" s="147">
        <f t="shared" si="233"/>
        <v>0.3690601481481483</v>
      </c>
      <c r="BC120" s="5">
        <f t="shared" si="258"/>
        <v>0.52221063535249768</v>
      </c>
      <c r="BD120" s="147">
        <f t="shared" si="235"/>
        <v>13.451727896897605</v>
      </c>
      <c r="BF120" s="153">
        <f t="shared" si="179"/>
        <v>0.2157021265713609</v>
      </c>
      <c r="BG120" s="153">
        <f t="shared" si="156"/>
        <v>0.21071659042771521</v>
      </c>
      <c r="BI120" s="463">
        <f t="shared" si="236"/>
        <v>5.1180148148148143E-3</v>
      </c>
      <c r="BJ120" s="463">
        <f t="shared" si="237"/>
        <v>1.7292086720867215E-2</v>
      </c>
      <c r="BK120" s="463">
        <f t="shared" si="238"/>
        <v>1.265780950492432E-2</v>
      </c>
      <c r="BL120" s="463">
        <f t="shared" si="239"/>
        <v>1.5809606603212376E-2</v>
      </c>
      <c r="BM120">
        <f t="shared" si="240"/>
        <v>2.6099999999999999E-3</v>
      </c>
      <c r="BN120">
        <f t="shared" si="241"/>
        <v>1.0126247603939457E-5</v>
      </c>
      <c r="BO120" s="463">
        <f t="shared" si="242"/>
        <v>5.4239793103351593E-2</v>
      </c>
      <c r="BP120" s="147">
        <f t="shared" si="243"/>
        <v>53.48751764381872</v>
      </c>
      <c r="BQ120" s="463">
        <f t="shared" si="244"/>
        <v>2.5884546370370375E-2</v>
      </c>
      <c r="BT120" s="147">
        <f t="shared" si="245"/>
        <v>25.884546370370373</v>
      </c>
      <c r="BU120" s="463">
        <f t="shared" si="246"/>
        <v>3.9548296296296288E-3</v>
      </c>
      <c r="BV120" s="463">
        <f t="shared" si="247"/>
        <v>8.4362814814814818E-3</v>
      </c>
      <c r="BW120" s="463">
        <f t="shared" si="248"/>
        <v>0</v>
      </c>
      <c r="BX120" s="463"/>
      <c r="BY120" s="463">
        <f t="shared" si="249"/>
        <v>8.5111111111111137E-2</v>
      </c>
      <c r="BZ120" s="147">
        <f t="shared" si="250"/>
        <v>97.502222222222244</v>
      </c>
      <c r="CA120" s="153">
        <f t="shared" si="251"/>
        <v>0.17687428623641133</v>
      </c>
      <c r="CB120" s="5">
        <f t="shared" si="252"/>
        <v>0.75</v>
      </c>
      <c r="CC120" s="153">
        <f t="shared" si="253"/>
        <v>0.80917122325767354</v>
      </c>
      <c r="CD120" s="5">
        <f t="shared" si="254"/>
        <v>80.917122325767352</v>
      </c>
      <c r="CG120" s="59">
        <f t="shared" si="255"/>
        <v>-50</v>
      </c>
      <c r="CH120">
        <f t="shared" si="256"/>
        <v>-50</v>
      </c>
    </row>
    <row r="121" spans="5:86" x14ac:dyDescent="0.25">
      <c r="E121" s="150">
        <v>11</v>
      </c>
      <c r="F121" s="191">
        <f t="shared" si="257"/>
        <v>5.5E-2</v>
      </c>
      <c r="G121" s="191"/>
      <c r="H121" s="191">
        <f t="shared" si="201"/>
        <v>0.82499999999999996</v>
      </c>
      <c r="I121" s="472">
        <f t="shared" si="202"/>
        <v>9</v>
      </c>
      <c r="J121" s="386">
        <f t="shared" si="203"/>
        <v>7.66</v>
      </c>
      <c r="K121" s="386">
        <f t="shared" si="204"/>
        <v>16.66</v>
      </c>
      <c r="L121" s="386"/>
      <c r="M121" s="191">
        <f t="shared" si="205"/>
        <v>0.45978391356542619</v>
      </c>
      <c r="N121" s="152">
        <f t="shared" si="206"/>
        <v>7.6905756302521011</v>
      </c>
      <c r="O121" s="152">
        <f t="shared" si="173"/>
        <v>0.82499999999999996</v>
      </c>
      <c r="P121" s="191">
        <f t="shared" si="207"/>
        <v>0.51270504201680678</v>
      </c>
      <c r="Q121" s="191">
        <f t="shared" si="208"/>
        <v>15</v>
      </c>
      <c r="R121" s="191"/>
      <c r="S121" s="152">
        <f t="shared" si="209"/>
        <v>283.92935480732876</v>
      </c>
      <c r="T121" s="152">
        <f t="shared" si="210"/>
        <v>15</v>
      </c>
      <c r="U121" s="191">
        <f t="shared" si="211"/>
        <v>0.44304225896915189</v>
      </c>
      <c r="V121" s="191">
        <f t="shared" si="212"/>
        <v>0.44304225896915195</v>
      </c>
      <c r="W121" s="191">
        <f t="shared" si="213"/>
        <v>0.52054573508124902</v>
      </c>
      <c r="X121" s="175">
        <f t="shared" si="214"/>
        <v>350</v>
      </c>
      <c r="Y121" s="386">
        <f t="shared" si="215"/>
        <v>350</v>
      </c>
      <c r="AA121" s="191">
        <f t="shared" si="216"/>
        <v>1.3136683244726464</v>
      </c>
      <c r="AB121" s="153">
        <f t="shared" si="217"/>
        <v>1.5434745326702111</v>
      </c>
      <c r="AC121" s="153">
        <f t="shared" si="218"/>
        <v>0.17741619027991926</v>
      </c>
      <c r="AD121" s="153"/>
      <c r="AE121" s="153">
        <f t="shared" si="219"/>
        <v>0.96344647519582249</v>
      </c>
      <c r="AF121" s="317">
        <f t="shared" si="220"/>
        <v>278.47180910833498</v>
      </c>
      <c r="AG121" s="463">
        <f t="shared" si="221"/>
        <v>6.9127284595300251E-2</v>
      </c>
      <c r="AI121" s="153">
        <f t="shared" si="222"/>
        <v>0.7314260912656364</v>
      </c>
      <c r="AJ121" s="153">
        <f t="shared" si="223"/>
        <v>0.82</v>
      </c>
      <c r="AK121" s="153">
        <f t="shared" si="224"/>
        <v>1.1591267480619056</v>
      </c>
      <c r="AM121" s="317">
        <f t="shared" si="225"/>
        <v>55</v>
      </c>
      <c r="AN121" s="147">
        <f t="shared" si="226"/>
        <v>278.47180910833498</v>
      </c>
      <c r="AP121" s="147">
        <f t="shared" si="227"/>
        <v>55</v>
      </c>
      <c r="AQ121" s="147">
        <f t="shared" si="228"/>
        <v>278.47180910833498</v>
      </c>
      <c r="AS121" s="5">
        <f t="shared" si="175"/>
        <v>3.5910277711844292</v>
      </c>
      <c r="AT121" s="5">
        <f t="shared" si="229"/>
        <v>0.82</v>
      </c>
      <c r="AU121" s="5">
        <f t="shared" si="230"/>
        <v>2.7710277711844293</v>
      </c>
      <c r="AV121" s="5"/>
      <c r="AW121" s="153">
        <f t="shared" si="231"/>
        <v>0.22834688346883467</v>
      </c>
      <c r="AX121" s="153">
        <f t="shared" si="150"/>
        <v>0.8425999999999999</v>
      </c>
      <c r="AY121" s="153">
        <f t="shared" si="151"/>
        <v>0.15818888888888888</v>
      </c>
      <c r="AZ121" s="153">
        <f t="shared" si="178"/>
        <v>5.3265435133806278</v>
      </c>
      <c r="BA121" s="147">
        <f t="shared" si="232"/>
        <v>17.910795069528412</v>
      </c>
      <c r="BB121" s="147">
        <f t="shared" si="233"/>
        <v>0.4300627792592594</v>
      </c>
      <c r="BC121" s="5">
        <f t="shared" si="258"/>
        <v>0.50853028833881753</v>
      </c>
      <c r="BD121" s="147">
        <f t="shared" si="235"/>
        <v>13.134387829557543</v>
      </c>
      <c r="BF121" s="153">
        <f t="shared" si="179"/>
        <v>0.22623029891716126</v>
      </c>
      <c r="BG121" s="153">
        <f t="shared" si="156"/>
        <v>0.20793820307075919</v>
      </c>
      <c r="BI121" s="463">
        <f t="shared" si="236"/>
        <v>5.629816296296295E-3</v>
      </c>
      <c r="BJ121" s="463">
        <f t="shared" si="237"/>
        <v>1.9021295392953927E-2</v>
      </c>
      <c r="BK121" s="463">
        <f t="shared" si="238"/>
        <v>1.3923590455416749E-2</v>
      </c>
      <c r="BL121" s="463">
        <f t="shared" si="239"/>
        <v>1.7390567263533614E-2</v>
      </c>
      <c r="BM121">
        <f t="shared" si="240"/>
        <v>2.6099999999999999E-3</v>
      </c>
      <c r="BN121">
        <f t="shared" si="241"/>
        <v>1.11388723643334E-5</v>
      </c>
      <c r="BO121" s="463">
        <f t="shared" si="242"/>
        <v>5.9408140782140337E-2</v>
      </c>
      <c r="BP121" s="147">
        <f t="shared" si="243"/>
        <v>58.57526940820059</v>
      </c>
      <c r="BQ121" s="463">
        <f t="shared" si="244"/>
        <v>2.7616811674074072E-2</v>
      </c>
      <c r="BT121" s="147">
        <f t="shared" si="245"/>
        <v>27.616811674074071</v>
      </c>
      <c r="BU121" s="463">
        <f t="shared" si="246"/>
        <v>4.3503125925925916E-3</v>
      </c>
      <c r="BV121" s="463">
        <f t="shared" si="247"/>
        <v>8.2152762962962953E-3</v>
      </c>
      <c r="BW121" s="463">
        <f t="shared" si="248"/>
        <v>0</v>
      </c>
      <c r="BX121" s="463"/>
      <c r="BY121" s="463">
        <f t="shared" si="249"/>
        <v>9.3622222222222218E-2</v>
      </c>
      <c r="BZ121" s="147">
        <f t="shared" si="250"/>
        <v>106.1878111111111</v>
      </c>
      <c r="CA121" s="153">
        <f t="shared" si="251"/>
        <v>0.19237989219338578</v>
      </c>
      <c r="CB121" s="5">
        <f t="shared" si="252"/>
        <v>0.82499999999999996</v>
      </c>
      <c r="CC121" s="153">
        <f t="shared" si="253"/>
        <v>0.81090653189672268</v>
      </c>
      <c r="CD121" s="5">
        <f t="shared" si="254"/>
        <v>81.090653189672267</v>
      </c>
      <c r="CG121" s="59">
        <f t="shared" si="255"/>
        <v>-50</v>
      </c>
      <c r="CH121">
        <f t="shared" si="256"/>
        <v>-50</v>
      </c>
    </row>
    <row r="122" spans="5:86" x14ac:dyDescent="0.25">
      <c r="E122" s="150">
        <v>12</v>
      </c>
      <c r="F122" s="191">
        <f t="shared" si="257"/>
        <v>0.06</v>
      </c>
      <c r="G122" s="191"/>
      <c r="H122" s="191">
        <f t="shared" si="201"/>
        <v>0.89999999999999991</v>
      </c>
      <c r="I122" s="472">
        <f t="shared" si="202"/>
        <v>9</v>
      </c>
      <c r="J122" s="386">
        <f t="shared" si="203"/>
        <v>7.66</v>
      </c>
      <c r="K122" s="386">
        <f t="shared" si="204"/>
        <v>16.66</v>
      </c>
      <c r="L122" s="386"/>
      <c r="M122" s="191">
        <f t="shared" si="205"/>
        <v>0.45978391356542619</v>
      </c>
      <c r="N122" s="152">
        <f t="shared" si="206"/>
        <v>7.6905756302521011</v>
      </c>
      <c r="O122" s="152">
        <f t="shared" si="173"/>
        <v>0.89999999999999991</v>
      </c>
      <c r="P122" s="191">
        <f t="shared" si="207"/>
        <v>0.51270504201680678</v>
      </c>
      <c r="Q122" s="191">
        <f t="shared" si="208"/>
        <v>15</v>
      </c>
      <c r="R122" s="191"/>
      <c r="S122" s="152">
        <f t="shared" si="209"/>
        <v>258.77223146548016</v>
      </c>
      <c r="T122" s="152">
        <f t="shared" si="210"/>
        <v>15</v>
      </c>
      <c r="U122" s="191">
        <f t="shared" si="211"/>
        <v>0.48331882796634751</v>
      </c>
      <c r="V122" s="191">
        <f t="shared" si="212"/>
        <v>0.48331882796634751</v>
      </c>
      <c r="W122" s="191">
        <f t="shared" si="213"/>
        <v>0.56786807463408973</v>
      </c>
      <c r="X122" s="175">
        <f t="shared" si="214"/>
        <v>350</v>
      </c>
      <c r="Y122" s="386">
        <f t="shared" si="215"/>
        <v>350</v>
      </c>
      <c r="AA122" s="191">
        <f t="shared" si="216"/>
        <v>1.3136683244726464</v>
      </c>
      <c r="AB122" s="153">
        <f t="shared" si="217"/>
        <v>1.5434745326702111</v>
      </c>
      <c r="AC122" s="153">
        <f t="shared" si="218"/>
        <v>0.17741619027991926</v>
      </c>
      <c r="AD122" s="153"/>
      <c r="AE122" s="153">
        <f t="shared" si="219"/>
        <v>0.96344647519582249</v>
      </c>
      <c r="AF122" s="317">
        <f t="shared" si="220"/>
        <v>303.78742811818364</v>
      </c>
      <c r="AG122" s="463">
        <f t="shared" si="221"/>
        <v>6.9127284595300251E-2</v>
      </c>
      <c r="AI122" s="153">
        <f t="shared" si="222"/>
        <v>0.76394963683416173</v>
      </c>
      <c r="AJ122" s="153">
        <f t="shared" si="223"/>
        <v>0.82</v>
      </c>
      <c r="AK122" s="153">
        <f t="shared" si="224"/>
        <v>1.1735928160675335</v>
      </c>
      <c r="AM122" s="317">
        <f t="shared" si="225"/>
        <v>60</v>
      </c>
      <c r="AN122" s="147">
        <f t="shared" si="226"/>
        <v>303.78742811818364</v>
      </c>
      <c r="AP122" s="147">
        <f t="shared" si="227"/>
        <v>60</v>
      </c>
      <c r="AQ122" s="147">
        <f t="shared" si="228"/>
        <v>303.78742811818364</v>
      </c>
      <c r="AS122" s="5">
        <f t="shared" si="175"/>
        <v>3.2917754569190598</v>
      </c>
      <c r="AT122" s="5">
        <f t="shared" si="229"/>
        <v>0.82</v>
      </c>
      <c r="AU122" s="5">
        <f t="shared" si="230"/>
        <v>2.47177545691906</v>
      </c>
      <c r="AV122" s="5"/>
      <c r="AW122" s="153">
        <f t="shared" si="231"/>
        <v>0.24910569105691058</v>
      </c>
      <c r="AX122" s="153">
        <f t="shared" si="150"/>
        <v>0.91919999999999991</v>
      </c>
      <c r="AY122" s="153">
        <f t="shared" si="151"/>
        <v>0.15393333333333331</v>
      </c>
      <c r="AZ122" s="153">
        <f t="shared" si="178"/>
        <v>5.9714161974880904</v>
      </c>
      <c r="BA122" s="147">
        <f t="shared" si="232"/>
        <v>17.910795069528412</v>
      </c>
      <c r="BB122" s="147">
        <f t="shared" si="233"/>
        <v>0.49544661333333345</v>
      </c>
      <c r="BC122" s="5">
        <f t="shared" si="258"/>
        <v>0.49484994132513704</v>
      </c>
      <c r="BD122" s="147">
        <f t="shared" si="235"/>
        <v>12.817047762217474</v>
      </c>
      <c r="BF122" s="153">
        <f t="shared" si="179"/>
        <v>0.23628984084993768</v>
      </c>
      <c r="BG122" s="153">
        <f t="shared" si="156"/>
        <v>0.20512218580911987</v>
      </c>
      <c r="BI122" s="463">
        <f t="shared" si="236"/>
        <v>6.1416177777777765E-3</v>
      </c>
      <c r="BJ122" s="463">
        <f t="shared" si="237"/>
        <v>2.0750504065040649E-2</v>
      </c>
      <c r="BK122" s="463">
        <f t="shared" si="238"/>
        <v>1.5189371405909181E-2</v>
      </c>
      <c r="BL122" s="463">
        <f t="shared" si="239"/>
        <v>1.8971527923854852E-2</v>
      </c>
      <c r="BM122">
        <f t="shared" si="240"/>
        <v>2.6099999999999999E-3</v>
      </c>
      <c r="BN122">
        <f t="shared" si="241"/>
        <v>1.2151497124727345E-5</v>
      </c>
      <c r="BO122" s="463">
        <f t="shared" si="242"/>
        <v>6.4577465635184642E-2</v>
      </c>
      <c r="BP122" s="147">
        <f t="shared" si="243"/>
        <v>63.663021172582461</v>
      </c>
      <c r="BQ122" s="463">
        <f t="shared" si="244"/>
        <v>2.9349076977777777E-2</v>
      </c>
      <c r="BT122" s="147">
        <f t="shared" si="245"/>
        <v>29.349076977777777</v>
      </c>
      <c r="BU122" s="463">
        <f t="shared" si="246"/>
        <v>4.7457955555555553E-3</v>
      </c>
      <c r="BV122" s="463">
        <f t="shared" si="247"/>
        <v>7.9942711111111089E-3</v>
      </c>
      <c r="BW122" s="463">
        <f t="shared" si="248"/>
        <v>0</v>
      </c>
      <c r="BX122" s="463"/>
      <c r="BY122" s="463">
        <f t="shared" si="249"/>
        <v>0.10213333333333334</v>
      </c>
      <c r="BZ122" s="147">
        <f t="shared" si="250"/>
        <v>114.8734</v>
      </c>
      <c r="CA122" s="153">
        <f t="shared" si="251"/>
        <v>0.20788549815036023</v>
      </c>
      <c r="CB122" s="5">
        <f t="shared" si="252"/>
        <v>0.89999999999999991</v>
      </c>
      <c r="CC122" s="153">
        <f t="shared" si="253"/>
        <v>0.81235831816787052</v>
      </c>
      <c r="CD122" s="5">
        <f t="shared" si="254"/>
        <v>81.235831816787055</v>
      </c>
      <c r="CG122" s="59">
        <f t="shared" si="255"/>
        <v>-50</v>
      </c>
      <c r="CH122">
        <f t="shared" si="256"/>
        <v>-50</v>
      </c>
    </row>
    <row r="123" spans="5:86" x14ac:dyDescent="0.25">
      <c r="E123" s="150">
        <v>13</v>
      </c>
      <c r="F123" s="191">
        <f t="shared" si="257"/>
        <v>6.5000000000000002E-2</v>
      </c>
      <c r="G123" s="191"/>
      <c r="H123" s="191">
        <f t="shared" si="201"/>
        <v>0.97500000000000009</v>
      </c>
      <c r="I123" s="472">
        <f t="shared" si="202"/>
        <v>9</v>
      </c>
      <c r="J123" s="386">
        <f t="shared" si="203"/>
        <v>7.66</v>
      </c>
      <c r="K123" s="386">
        <f t="shared" si="204"/>
        <v>16.66</v>
      </c>
      <c r="L123" s="386"/>
      <c r="M123" s="191">
        <f t="shared" si="205"/>
        <v>0.45978391356542619</v>
      </c>
      <c r="N123" s="152">
        <f t="shared" si="206"/>
        <v>7.6905756302521011</v>
      </c>
      <c r="O123" s="152">
        <f t="shared" si="173"/>
        <v>0.97500000000000009</v>
      </c>
      <c r="P123" s="191">
        <f t="shared" si="207"/>
        <v>0.51270504201680678</v>
      </c>
      <c r="Q123" s="191">
        <f t="shared" si="208"/>
        <v>15</v>
      </c>
      <c r="R123" s="191"/>
      <c r="S123" s="152">
        <f t="shared" si="209"/>
        <v>237.48575991017859</v>
      </c>
      <c r="T123" s="152">
        <f t="shared" si="210"/>
        <v>15</v>
      </c>
      <c r="U123" s="191">
        <f t="shared" si="211"/>
        <v>0.52359539696354318</v>
      </c>
      <c r="V123" s="191">
        <f t="shared" si="212"/>
        <v>0.52359539696354318</v>
      </c>
      <c r="W123" s="191">
        <f t="shared" si="213"/>
        <v>0.61519041418693066</v>
      </c>
      <c r="X123" s="175">
        <f t="shared" si="214"/>
        <v>350</v>
      </c>
      <c r="Y123" s="386">
        <f t="shared" si="215"/>
        <v>350</v>
      </c>
      <c r="AA123" s="191">
        <f t="shared" si="216"/>
        <v>1.3136683244726464</v>
      </c>
      <c r="AB123" s="153">
        <f t="shared" si="217"/>
        <v>1.5434745326702111</v>
      </c>
      <c r="AC123" s="153">
        <f t="shared" si="218"/>
        <v>0.17741619027991926</v>
      </c>
      <c r="AD123" s="153"/>
      <c r="AE123" s="153">
        <f t="shared" si="219"/>
        <v>0.96344647519582249</v>
      </c>
      <c r="AF123" s="317">
        <f t="shared" si="220"/>
        <v>329.1030471280323</v>
      </c>
      <c r="AG123" s="463">
        <f t="shared" si="221"/>
        <v>6.9127284595300251E-2</v>
      </c>
      <c r="AI123" s="153">
        <f t="shared" si="222"/>
        <v>0.79514399215108722</v>
      </c>
      <c r="AJ123" s="153">
        <f t="shared" si="223"/>
        <v>0.82</v>
      </c>
      <c r="AK123" s="153">
        <f t="shared" si="224"/>
        <v>1.1880588840731614</v>
      </c>
      <c r="AM123" s="317">
        <f t="shared" si="225"/>
        <v>65</v>
      </c>
      <c r="AN123" s="147">
        <f t="shared" si="226"/>
        <v>329.1030471280323</v>
      </c>
      <c r="AP123" s="147">
        <f t="shared" si="227"/>
        <v>65</v>
      </c>
      <c r="AQ123" s="147">
        <f t="shared" si="228"/>
        <v>329.1030471280323</v>
      </c>
      <c r="AS123" s="5">
        <f t="shared" si="175"/>
        <v>3.0385619602329781</v>
      </c>
      <c r="AT123" s="5">
        <f t="shared" si="229"/>
        <v>0.82</v>
      </c>
      <c r="AU123" s="5">
        <f t="shared" si="230"/>
        <v>2.2185619602329782</v>
      </c>
      <c r="AV123" s="5"/>
      <c r="AW123" s="153">
        <f t="shared" si="231"/>
        <v>0.26986449864498646</v>
      </c>
      <c r="AX123" s="153">
        <f t="shared" si="150"/>
        <v>0.99580000000000002</v>
      </c>
      <c r="AY123" s="153">
        <f t="shared" si="151"/>
        <v>0.14967777777777774</v>
      </c>
      <c r="AZ123" s="153">
        <f t="shared" si="178"/>
        <v>6.652958206517706</v>
      </c>
      <c r="BA123" s="147">
        <f t="shared" si="232"/>
        <v>17.910795069528412</v>
      </c>
      <c r="BB123" s="147">
        <f t="shared" si="233"/>
        <v>0.56521165037037058</v>
      </c>
      <c r="BC123" s="5">
        <f t="shared" si="258"/>
        <v>0.48116959431145678</v>
      </c>
      <c r="BD123" s="147">
        <f t="shared" si="235"/>
        <v>12.499707694877408</v>
      </c>
      <c r="BF123" s="153">
        <f t="shared" si="179"/>
        <v>0.24593826385828951</v>
      </c>
      <c r="BG123" s="153">
        <f t="shared" si="156"/>
        <v>0.20226696696674404</v>
      </c>
      <c r="BI123" s="463">
        <f t="shared" si="236"/>
        <v>6.6534192592592597E-3</v>
      </c>
      <c r="BJ123" s="463">
        <f t="shared" si="237"/>
        <v>2.2479712737127375E-2</v>
      </c>
      <c r="BK123" s="463">
        <f t="shared" si="238"/>
        <v>1.6455152356401614E-2</v>
      </c>
      <c r="BL123" s="463">
        <f t="shared" si="239"/>
        <v>2.055248858417609E-2</v>
      </c>
      <c r="BM123">
        <f t="shared" si="240"/>
        <v>2.6099999999999999E-3</v>
      </c>
      <c r="BN123">
        <f t="shared" si="241"/>
        <v>1.3164121885121292E-5</v>
      </c>
      <c r="BO123" s="463">
        <f t="shared" si="242"/>
        <v>6.9747767939640715E-2</v>
      </c>
      <c r="BP123" s="147">
        <f t="shared" si="243"/>
        <v>68.750772936964339</v>
      </c>
      <c r="BQ123" s="463">
        <f t="shared" si="244"/>
        <v>3.1081342281481485E-2</v>
      </c>
      <c r="BT123" s="147">
        <f t="shared" si="245"/>
        <v>31.081342281481486</v>
      </c>
      <c r="BU123" s="463">
        <f t="shared" si="246"/>
        <v>5.1412785185185189E-3</v>
      </c>
      <c r="BV123" s="463">
        <f t="shared" si="247"/>
        <v>7.773265925925925E-3</v>
      </c>
      <c r="BW123" s="463">
        <f t="shared" si="248"/>
        <v>0</v>
      </c>
      <c r="BX123" s="463"/>
      <c r="BY123" s="463">
        <f t="shared" si="249"/>
        <v>0.11064444444444446</v>
      </c>
      <c r="BZ123" s="147">
        <f t="shared" si="250"/>
        <v>123.5589888888889</v>
      </c>
      <c r="CA123" s="153">
        <f t="shared" si="251"/>
        <v>0.22339110410733473</v>
      </c>
      <c r="CB123" s="5">
        <f t="shared" si="252"/>
        <v>0.97500000000000009</v>
      </c>
      <c r="CC123" s="153">
        <f t="shared" si="253"/>
        <v>0.81359081910597486</v>
      </c>
      <c r="CD123" s="5">
        <f t="shared" si="254"/>
        <v>81.359081910597482</v>
      </c>
      <c r="CG123" s="59">
        <f t="shared" si="255"/>
        <v>-50</v>
      </c>
      <c r="CH123">
        <f t="shared" si="256"/>
        <v>-50</v>
      </c>
    </row>
    <row r="124" spans="5:86" x14ac:dyDescent="0.25">
      <c r="E124" s="150">
        <v>14</v>
      </c>
      <c r="F124" s="191">
        <f t="shared" si="257"/>
        <v>7.0000000000000007E-2</v>
      </c>
      <c r="G124" s="191"/>
      <c r="H124" s="191">
        <f t="shared" si="201"/>
        <v>1.05</v>
      </c>
      <c r="I124" s="472">
        <f t="shared" si="202"/>
        <v>9</v>
      </c>
      <c r="J124" s="386">
        <f t="shared" si="203"/>
        <v>7.66</v>
      </c>
      <c r="K124" s="386">
        <f t="shared" si="204"/>
        <v>16.66</v>
      </c>
      <c r="L124" s="386"/>
      <c r="M124" s="191">
        <f t="shared" si="205"/>
        <v>0.45978391356542619</v>
      </c>
      <c r="N124" s="152">
        <f t="shared" si="206"/>
        <v>7.6905756302521011</v>
      </c>
      <c r="O124" s="152">
        <f t="shared" si="173"/>
        <v>1.05</v>
      </c>
      <c r="P124" s="191">
        <f t="shared" si="207"/>
        <v>0.51270504201680678</v>
      </c>
      <c r="Q124" s="191">
        <f t="shared" si="208"/>
        <v>15</v>
      </c>
      <c r="R124" s="191"/>
      <c r="S124" s="152">
        <f t="shared" si="209"/>
        <v>219.24051993891587</v>
      </c>
      <c r="T124" s="152">
        <f t="shared" si="210"/>
        <v>15</v>
      </c>
      <c r="U124" s="191">
        <f t="shared" si="211"/>
        <v>0.56387196596073885</v>
      </c>
      <c r="V124" s="191">
        <f t="shared" si="212"/>
        <v>0.56387196596073885</v>
      </c>
      <c r="W124" s="191">
        <f t="shared" si="213"/>
        <v>0.66251275373977148</v>
      </c>
      <c r="X124" s="175">
        <f t="shared" si="214"/>
        <v>350</v>
      </c>
      <c r="Y124" s="386">
        <f t="shared" si="215"/>
        <v>350</v>
      </c>
      <c r="AA124" s="191">
        <f t="shared" si="216"/>
        <v>1.3136683244726464</v>
      </c>
      <c r="AB124" s="153">
        <f t="shared" si="217"/>
        <v>1.5434745326702111</v>
      </c>
      <c r="AC124" s="153">
        <f t="shared" si="218"/>
        <v>0.17741619027991926</v>
      </c>
      <c r="AD124" s="153"/>
      <c r="AE124" s="153">
        <f t="shared" si="219"/>
        <v>0.96344647519582249</v>
      </c>
      <c r="AF124" s="317">
        <f t="shared" si="220"/>
        <v>354.41866613788096</v>
      </c>
      <c r="AG124" s="463">
        <f t="shared" si="221"/>
        <v>6.9127284595300251E-2</v>
      </c>
      <c r="AI124" s="153">
        <f t="shared" si="222"/>
        <v>0.8251599171608428</v>
      </c>
      <c r="AJ124" s="153">
        <f t="shared" si="223"/>
        <v>0.8251599171608428</v>
      </c>
      <c r="AK124" s="153">
        <f t="shared" si="224"/>
        <v>1.2034399447738953</v>
      </c>
      <c r="AM124" s="317">
        <f t="shared" si="225"/>
        <v>70</v>
      </c>
      <c r="AN124" s="147">
        <f t="shared" si="226"/>
        <v>350</v>
      </c>
      <c r="AP124" s="147">
        <f t="shared" si="227"/>
        <v>70</v>
      </c>
      <c r="AQ124" s="147">
        <f t="shared" si="228"/>
        <v>350</v>
      </c>
      <c r="AS124" s="5">
        <f t="shared" si="175"/>
        <v>2.8571428571428572</v>
      </c>
      <c r="AT124" s="5">
        <f t="shared" si="229"/>
        <v>0.82515991716084292</v>
      </c>
      <c r="AU124" s="5">
        <f t="shared" si="230"/>
        <v>2.0319829399820142</v>
      </c>
      <c r="AV124" s="5"/>
      <c r="AW124" s="153">
        <f t="shared" si="231"/>
        <v>0.28880597100629501</v>
      </c>
      <c r="AX124" s="153">
        <f t="shared" si="150"/>
        <v>1.0724000000000002</v>
      </c>
      <c r="AY124" s="153">
        <f t="shared" si="151"/>
        <v>0.14671220151243292</v>
      </c>
      <c r="AZ124" s="153">
        <f t="shared" si="178"/>
        <v>7.3095488237842385</v>
      </c>
      <c r="BA124" s="147">
        <f t="shared" si="232"/>
        <v>17.910795069528412</v>
      </c>
      <c r="BB124" s="147">
        <f t="shared" si="233"/>
        <v>0.63935789037037061</v>
      </c>
      <c r="BC124" s="5">
        <f t="shared" si="258"/>
        <v>0.47460395661908905</v>
      </c>
      <c r="BD124" s="147">
        <f t="shared" si="235"/>
        <v>12.361852339961361</v>
      </c>
      <c r="BF124" s="153">
        <f t="shared" si="179"/>
        <v>0.25602394204641155</v>
      </c>
      <c r="BG124" s="153">
        <f t="shared" si="156"/>
        <v>0.20088224415187786</v>
      </c>
      <c r="BI124" s="463">
        <f t="shared" si="236"/>
        <v>7.2103084791082734E-3</v>
      </c>
      <c r="BJ124" s="463">
        <f t="shared" si="237"/>
        <v>2.4057537384824371E-2</v>
      </c>
      <c r="BK124" s="463">
        <f t="shared" si="238"/>
        <v>1.7499999999999998E-2</v>
      </c>
      <c r="BL124" s="463">
        <f t="shared" si="239"/>
        <v>2.18575035E-2</v>
      </c>
      <c r="BM124">
        <f t="shared" si="240"/>
        <v>2.6099999999999999E-3</v>
      </c>
      <c r="BN124">
        <f t="shared" si="241"/>
        <v>1.4E-5</v>
      </c>
      <c r="BO124" s="463">
        <f t="shared" si="242"/>
        <v>7.4321611190259609E-2</v>
      </c>
      <c r="BP124" s="147">
        <f t="shared" si="243"/>
        <v>73.235349363932642</v>
      </c>
      <c r="BQ124" s="463">
        <f t="shared" si="244"/>
        <v>3.2906041695167587E-2</v>
      </c>
      <c r="BT124" s="147">
        <f t="shared" si="245"/>
        <v>32.906041695167588</v>
      </c>
      <c r="BU124" s="463">
        <f t="shared" si="246"/>
        <v>5.5716020065836661E-3</v>
      </c>
      <c r="BV124" s="463">
        <f t="shared" si="247"/>
        <v>7.6671984429439862E-3</v>
      </c>
      <c r="BW124" s="463">
        <f t="shared" si="248"/>
        <v>0</v>
      </c>
      <c r="BX124" s="463"/>
      <c r="BY124" s="463">
        <f t="shared" si="249"/>
        <v>0.1191555555555556</v>
      </c>
      <c r="BZ124" s="147">
        <f t="shared" si="250"/>
        <v>132.39435600508327</v>
      </c>
      <c r="CA124" s="153">
        <f t="shared" si="251"/>
        <v>0.23853574706418346</v>
      </c>
      <c r="CB124" s="5">
        <f t="shared" si="252"/>
        <v>1.05</v>
      </c>
      <c r="CC124" s="153">
        <f t="shared" si="253"/>
        <v>0.81487844042536939</v>
      </c>
      <c r="CD124" s="5">
        <f t="shared" si="254"/>
        <v>81.487844042536935</v>
      </c>
      <c r="CG124" s="59">
        <f t="shared" si="255"/>
        <v>-50</v>
      </c>
      <c r="CH124">
        <f t="shared" si="256"/>
        <v>-50</v>
      </c>
    </row>
    <row r="125" spans="5:86" x14ac:dyDescent="0.25">
      <c r="E125" s="150">
        <v>15</v>
      </c>
      <c r="F125" s="191">
        <f t="shared" si="257"/>
        <v>7.4999999999999997E-2</v>
      </c>
      <c r="G125" s="191"/>
      <c r="H125" s="191">
        <f t="shared" si="201"/>
        <v>1.125</v>
      </c>
      <c r="I125" s="472">
        <f t="shared" si="202"/>
        <v>9</v>
      </c>
      <c r="J125" s="386">
        <f t="shared" si="203"/>
        <v>7.66</v>
      </c>
      <c r="K125" s="386">
        <f t="shared" si="204"/>
        <v>16.66</v>
      </c>
      <c r="L125" s="386"/>
      <c r="M125" s="191">
        <f t="shared" si="205"/>
        <v>0.45978391356542619</v>
      </c>
      <c r="N125" s="152">
        <f t="shared" si="206"/>
        <v>7.6905756302521011</v>
      </c>
      <c r="O125" s="152">
        <f t="shared" si="173"/>
        <v>1.125</v>
      </c>
      <c r="P125" s="191">
        <f t="shared" si="207"/>
        <v>0.51270504201680678</v>
      </c>
      <c r="Q125" s="191">
        <f t="shared" si="208"/>
        <v>15</v>
      </c>
      <c r="R125" s="191"/>
      <c r="S125" s="152">
        <f t="shared" si="209"/>
        <v>203.42827017866185</v>
      </c>
      <c r="T125" s="152">
        <f t="shared" si="210"/>
        <v>15</v>
      </c>
      <c r="U125" s="191">
        <f t="shared" si="211"/>
        <v>0.60414853495793441</v>
      </c>
      <c r="V125" s="191">
        <f t="shared" si="212"/>
        <v>0.60414853495793452</v>
      </c>
      <c r="W125" s="191">
        <f t="shared" si="213"/>
        <v>0.7098350932926123</v>
      </c>
      <c r="X125" s="175">
        <f t="shared" si="214"/>
        <v>350</v>
      </c>
      <c r="Y125" s="386">
        <f t="shared" si="215"/>
        <v>350</v>
      </c>
      <c r="AA125" s="191">
        <f t="shared" si="216"/>
        <v>1.3136683244726464</v>
      </c>
      <c r="AB125" s="153">
        <f t="shared" si="217"/>
        <v>1.5434745326702111</v>
      </c>
      <c r="AC125" s="153">
        <f t="shared" si="218"/>
        <v>0.17741619027991926</v>
      </c>
      <c r="AD125" s="153"/>
      <c r="AE125" s="153">
        <f t="shared" si="219"/>
        <v>0.96344647519582249</v>
      </c>
      <c r="AF125" s="317">
        <f t="shared" si="220"/>
        <v>379.73428514772957</v>
      </c>
      <c r="AG125" s="463">
        <f t="shared" si="221"/>
        <v>6.9127284595300251E-2</v>
      </c>
      <c r="AI125" s="153">
        <f t="shared" si="222"/>
        <v>0.85412165967373144</v>
      </c>
      <c r="AJ125" s="153">
        <f t="shared" si="223"/>
        <v>0.85412165967373144</v>
      </c>
      <c r="AK125" s="153">
        <f t="shared" si="224"/>
        <v>1.2227477731158209</v>
      </c>
      <c r="AM125" s="317">
        <f t="shared" si="225"/>
        <v>75</v>
      </c>
      <c r="AN125" s="147">
        <f t="shared" si="226"/>
        <v>350</v>
      </c>
      <c r="AP125" s="147">
        <f t="shared" si="227"/>
        <v>75</v>
      </c>
      <c r="AQ125" s="147">
        <f t="shared" si="228"/>
        <v>350</v>
      </c>
      <c r="AS125" s="5">
        <f t="shared" si="175"/>
        <v>2.8571428571428572</v>
      </c>
      <c r="AT125" s="5">
        <f t="shared" si="229"/>
        <v>0.85412165967373144</v>
      </c>
      <c r="AU125" s="5">
        <f t="shared" si="230"/>
        <v>2.0030211974691259</v>
      </c>
      <c r="AV125" s="5"/>
      <c r="AW125" s="153">
        <f t="shared" si="231"/>
        <v>0.298942580885806</v>
      </c>
      <c r="AX125" s="153">
        <f t="shared" si="150"/>
        <v>1.149</v>
      </c>
      <c r="AY125" s="153">
        <f t="shared" si="151"/>
        <v>0.14969708158509953</v>
      </c>
      <c r="AZ125" s="153">
        <f t="shared" si="178"/>
        <v>7.6755003359689313</v>
      </c>
      <c r="BA125" s="147">
        <f t="shared" si="232"/>
        <v>17.910795069528412</v>
      </c>
      <c r="BB125" s="147">
        <f t="shared" si="233"/>
        <v>0.71788533333333349</v>
      </c>
      <c r="BC125" s="5">
        <f t="shared" si="258"/>
        <v>0.50125655592320473</v>
      </c>
      <c r="BD125" s="147">
        <f t="shared" si="235"/>
        <v>13.062002509274786</v>
      </c>
      <c r="BF125" s="153">
        <f t="shared" si="179"/>
        <v>0.26962055462983081</v>
      </c>
      <c r="BG125" s="153">
        <f t="shared" si="156"/>
        <v>0.20644573118358828</v>
      </c>
      <c r="BI125" s="463">
        <f t="shared" si="236"/>
        <v>7.9964767826787332E-3</v>
      </c>
      <c r="BJ125" s="463">
        <f t="shared" si="237"/>
        <v>2.490191698778764E-2</v>
      </c>
      <c r="BK125" s="463">
        <f t="shared" si="238"/>
        <v>1.7499999999999998E-2</v>
      </c>
      <c r="BL125" s="463">
        <f t="shared" si="239"/>
        <v>2.18575035E-2</v>
      </c>
      <c r="BM125">
        <f t="shared" si="240"/>
        <v>2.6099999999999999E-3</v>
      </c>
      <c r="BN125">
        <f t="shared" si="241"/>
        <v>1.4E-5</v>
      </c>
      <c r="BO125" s="463">
        <f t="shared" si="242"/>
        <v>7.6071653948224835E-2</v>
      </c>
      <c r="BP125" s="147">
        <f t="shared" si="243"/>
        <v>74.865897270466377</v>
      </c>
      <c r="BQ125" s="463">
        <f t="shared" si="244"/>
        <v>3.5162311540375954E-2</v>
      </c>
      <c r="BT125" s="147">
        <f t="shared" si="245"/>
        <v>35.162311540375953</v>
      </c>
      <c r="BU125" s="463">
        <f t="shared" si="246"/>
        <v>6.1790956957062946E-3</v>
      </c>
      <c r="BV125" s="463">
        <f t="shared" si="247"/>
        <v>8.0977695855460156E-3</v>
      </c>
      <c r="BW125" s="463">
        <f t="shared" si="248"/>
        <v>0</v>
      </c>
      <c r="BX125" s="463"/>
      <c r="BY125" s="463">
        <f t="shared" si="249"/>
        <v>0.12766666666666665</v>
      </c>
      <c r="BZ125" s="147">
        <f t="shared" si="250"/>
        <v>141.94353194791896</v>
      </c>
      <c r="CA125" s="153">
        <f t="shared" si="251"/>
        <v>0.25197174075876128</v>
      </c>
      <c r="CB125" s="5">
        <f t="shared" si="252"/>
        <v>1.125</v>
      </c>
      <c r="CC125" s="153">
        <f t="shared" si="253"/>
        <v>0.81701023100160675</v>
      </c>
      <c r="CD125" s="5">
        <f t="shared" si="254"/>
        <v>81.701023100160668</v>
      </c>
      <c r="CG125" s="59">
        <f t="shared" si="255"/>
        <v>-50</v>
      </c>
      <c r="CH125">
        <f t="shared" si="256"/>
        <v>-50</v>
      </c>
    </row>
    <row r="126" spans="5:86" x14ac:dyDescent="0.25">
      <c r="E126" s="150">
        <v>16</v>
      </c>
      <c r="F126" s="191">
        <f t="shared" si="257"/>
        <v>0.08</v>
      </c>
      <c r="G126" s="191"/>
      <c r="H126" s="191">
        <f t="shared" si="201"/>
        <v>1.2</v>
      </c>
      <c r="I126" s="472">
        <f t="shared" si="202"/>
        <v>9</v>
      </c>
      <c r="J126" s="386">
        <f t="shared" si="203"/>
        <v>7.66</v>
      </c>
      <c r="K126" s="386">
        <f t="shared" si="204"/>
        <v>16.66</v>
      </c>
      <c r="L126" s="386"/>
      <c r="M126" s="191">
        <f t="shared" si="205"/>
        <v>0.45978391356542619</v>
      </c>
      <c r="N126" s="152">
        <f t="shared" si="206"/>
        <v>7.6905756302521011</v>
      </c>
      <c r="O126" s="152">
        <f t="shared" si="173"/>
        <v>1.2</v>
      </c>
      <c r="P126" s="191">
        <f t="shared" si="207"/>
        <v>0.51270504201680678</v>
      </c>
      <c r="Q126" s="191">
        <f t="shared" si="208"/>
        <v>15</v>
      </c>
      <c r="R126" s="191"/>
      <c r="S126" s="152">
        <f t="shared" si="209"/>
        <v>189.59282970447001</v>
      </c>
      <c r="T126" s="152">
        <f t="shared" si="210"/>
        <v>15</v>
      </c>
      <c r="U126" s="191">
        <f t="shared" si="211"/>
        <v>0.64442510395512997</v>
      </c>
      <c r="V126" s="191">
        <f t="shared" si="212"/>
        <v>0.64442510395513009</v>
      </c>
      <c r="W126" s="191">
        <f t="shared" si="213"/>
        <v>0.757157432845453</v>
      </c>
      <c r="X126" s="175">
        <f t="shared" si="214"/>
        <v>350</v>
      </c>
      <c r="Y126" s="386">
        <f t="shared" si="215"/>
        <v>350</v>
      </c>
      <c r="AA126" s="191">
        <f t="shared" si="216"/>
        <v>1.3136683244726464</v>
      </c>
      <c r="AB126" s="153">
        <f t="shared" si="217"/>
        <v>1.5434745326702111</v>
      </c>
      <c r="AC126" s="153">
        <f t="shared" si="218"/>
        <v>0.17741619027991926</v>
      </c>
      <c r="AD126" s="153"/>
      <c r="AE126" s="153">
        <f t="shared" si="219"/>
        <v>0.96344647519582249</v>
      </c>
      <c r="AF126" s="317">
        <f t="shared" si="220"/>
        <v>405.04990415757817</v>
      </c>
      <c r="AG126" s="463">
        <f t="shared" si="221"/>
        <v>6.9127284595300251E-2</v>
      </c>
      <c r="AI126" s="153">
        <f t="shared" si="222"/>
        <v>0.88213305694704025</v>
      </c>
      <c r="AJ126" s="153">
        <f t="shared" si="223"/>
        <v>0.88213305694704025</v>
      </c>
      <c r="AK126" s="153">
        <f t="shared" si="224"/>
        <v>1.2414220379646934</v>
      </c>
      <c r="AM126" s="317">
        <f t="shared" si="225"/>
        <v>80</v>
      </c>
      <c r="AN126" s="147">
        <f t="shared" si="226"/>
        <v>350</v>
      </c>
      <c r="AP126" s="147">
        <f t="shared" si="227"/>
        <v>80</v>
      </c>
      <c r="AQ126" s="147">
        <f t="shared" si="228"/>
        <v>350</v>
      </c>
      <c r="AS126" s="5">
        <f t="shared" si="175"/>
        <v>2.8571428571428572</v>
      </c>
      <c r="AT126" s="5">
        <f t="shared" si="229"/>
        <v>0.88213305694704014</v>
      </c>
      <c r="AU126" s="5">
        <f t="shared" si="230"/>
        <v>1.9750098001958172</v>
      </c>
      <c r="AV126" s="5"/>
      <c r="AW126" s="153">
        <f t="shared" si="231"/>
        <v>0.30874656993146404</v>
      </c>
      <c r="AX126" s="153">
        <f t="shared" si="150"/>
        <v>1.2256</v>
      </c>
      <c r="AY126" s="153">
        <f t="shared" si="151"/>
        <v>0.1524443753478712</v>
      </c>
      <c r="AZ126" s="153">
        <f t="shared" si="178"/>
        <v>8.0396537898052056</v>
      </c>
      <c r="BA126" s="147">
        <f t="shared" si="232"/>
        <v>17.910795069528412</v>
      </c>
      <c r="BB126" s="147">
        <f t="shared" si="233"/>
        <v>0.80079397925925955</v>
      </c>
      <c r="BC126" s="5">
        <f t="shared" si="258"/>
        <v>0.52719647652874657</v>
      </c>
      <c r="BD126" s="147">
        <f t="shared" si="235"/>
        <v>13.744173738692371</v>
      </c>
      <c r="BF126" s="153">
        <f t="shared" si="179"/>
        <v>0.28299224889192737</v>
      </c>
      <c r="BG126" s="153">
        <f t="shared" si="156"/>
        <v>0.21172011622265188</v>
      </c>
      <c r="BI126" s="463">
        <f t="shared" si="236"/>
        <v>8.8093074226201617E-3</v>
      </c>
      <c r="BJ126" s="463">
        <f t="shared" si="237"/>
        <v>2.571858927529096E-2</v>
      </c>
      <c r="BK126" s="463">
        <f t="shared" si="238"/>
        <v>1.7499999999999998E-2</v>
      </c>
      <c r="BL126" s="463">
        <f t="shared" si="239"/>
        <v>2.18575035E-2</v>
      </c>
      <c r="BM126">
        <f t="shared" si="240"/>
        <v>2.6099999999999999E-3</v>
      </c>
      <c r="BN126">
        <f t="shared" si="241"/>
        <v>1.4E-5</v>
      </c>
      <c r="BO126" s="463">
        <f t="shared" si="242"/>
        <v>7.7825147251901414E-2</v>
      </c>
      <c r="BP126" s="147">
        <f t="shared" si="243"/>
        <v>76.495400197911124</v>
      </c>
      <c r="BQ126" s="463">
        <f t="shared" si="244"/>
        <v>3.7409322283317316E-2</v>
      </c>
      <c r="BT126" s="147">
        <f t="shared" si="245"/>
        <v>37.409322283317316</v>
      </c>
      <c r="BU126" s="463">
        <f t="shared" si="246"/>
        <v>6.8071920992973985E-3</v>
      </c>
      <c r="BV126" s="463">
        <f t="shared" si="247"/>
        <v>8.5168274465333114E-3</v>
      </c>
      <c r="BW126" s="463">
        <f t="shared" si="248"/>
        <v>0</v>
      </c>
      <c r="BX126" s="463"/>
      <c r="BY126" s="463">
        <f t="shared" si="249"/>
        <v>0.13617777777777781</v>
      </c>
      <c r="BZ126" s="147">
        <f t="shared" si="250"/>
        <v>151.50179732360851</v>
      </c>
      <c r="CA126" s="153">
        <f t="shared" si="251"/>
        <v>0.26540651980483698</v>
      </c>
      <c r="CB126" s="5">
        <f t="shared" si="252"/>
        <v>1.2</v>
      </c>
      <c r="CC126" s="153">
        <f t="shared" si="253"/>
        <v>0.81888539717962772</v>
      </c>
      <c r="CD126" s="5">
        <f t="shared" si="254"/>
        <v>81.888539717962772</v>
      </c>
      <c r="CG126" s="59">
        <f t="shared" si="255"/>
        <v>-50</v>
      </c>
      <c r="CH126">
        <f t="shared" si="256"/>
        <v>-50</v>
      </c>
    </row>
    <row r="127" spans="5:86" x14ac:dyDescent="0.25">
      <c r="E127" s="150">
        <v>17</v>
      </c>
      <c r="F127" s="191">
        <f t="shared" si="257"/>
        <v>8.5000000000000006E-2</v>
      </c>
      <c r="G127" s="191"/>
      <c r="H127" s="191">
        <f t="shared" si="201"/>
        <v>1.2750000000000001</v>
      </c>
      <c r="I127" s="472">
        <f t="shared" si="202"/>
        <v>9</v>
      </c>
      <c r="J127" s="386">
        <f t="shared" si="203"/>
        <v>7.66</v>
      </c>
      <c r="K127" s="386">
        <f t="shared" si="204"/>
        <v>16.66</v>
      </c>
      <c r="L127" s="386"/>
      <c r="M127" s="191">
        <f t="shared" si="205"/>
        <v>0.45978391356542619</v>
      </c>
      <c r="N127" s="152">
        <f t="shared" si="206"/>
        <v>7.6905756302521011</v>
      </c>
      <c r="O127" s="152">
        <f t="shared" si="173"/>
        <v>1.2750000000000001</v>
      </c>
      <c r="P127" s="191">
        <f t="shared" si="207"/>
        <v>0.51270504201680678</v>
      </c>
      <c r="Q127" s="191">
        <f t="shared" si="208"/>
        <v>15</v>
      </c>
      <c r="R127" s="191"/>
      <c r="S127" s="152">
        <f t="shared" si="209"/>
        <v>177.38535438101391</v>
      </c>
      <c r="T127" s="152">
        <f t="shared" si="210"/>
        <v>15</v>
      </c>
      <c r="U127" s="191">
        <f t="shared" si="211"/>
        <v>0.68470167295232576</v>
      </c>
      <c r="V127" s="191">
        <f t="shared" si="212"/>
        <v>0.68470167295232587</v>
      </c>
      <c r="W127" s="191">
        <f t="shared" si="213"/>
        <v>0.80447977239829405</v>
      </c>
      <c r="X127" s="175">
        <f t="shared" si="214"/>
        <v>350</v>
      </c>
      <c r="Y127" s="386">
        <f t="shared" si="215"/>
        <v>350</v>
      </c>
      <c r="AA127" s="191">
        <f t="shared" si="216"/>
        <v>1.3136683244726464</v>
      </c>
      <c r="AB127" s="153">
        <f t="shared" si="217"/>
        <v>1.5434745326702111</v>
      </c>
      <c r="AC127" s="153">
        <f t="shared" si="218"/>
        <v>0.17741619027991926</v>
      </c>
      <c r="AD127" s="153"/>
      <c r="AE127" s="153">
        <f t="shared" si="219"/>
        <v>0.96344647519582249</v>
      </c>
      <c r="AF127" s="317">
        <f t="shared" si="220"/>
        <v>430.36552316742689</v>
      </c>
      <c r="AG127" s="463">
        <f t="shared" si="221"/>
        <v>6.9127284595300251E-2</v>
      </c>
      <c r="AI127" s="153">
        <f t="shared" si="222"/>
        <v>0.90928194241041149</v>
      </c>
      <c r="AJ127" s="153">
        <f t="shared" si="223"/>
        <v>0.90928194241041149</v>
      </c>
      <c r="AK127" s="153">
        <f t="shared" si="224"/>
        <v>1.2595212949402743</v>
      </c>
      <c r="AM127" s="317">
        <f t="shared" si="225"/>
        <v>85</v>
      </c>
      <c r="AN127" s="147">
        <f t="shared" si="226"/>
        <v>350</v>
      </c>
      <c r="AP127" s="147">
        <f t="shared" si="227"/>
        <v>85</v>
      </c>
      <c r="AQ127" s="147">
        <f t="shared" si="228"/>
        <v>350</v>
      </c>
      <c r="AS127" s="5">
        <f t="shared" si="175"/>
        <v>2.8571428571428572</v>
      </c>
      <c r="AT127" s="5">
        <f t="shared" si="229"/>
        <v>0.90928194241041149</v>
      </c>
      <c r="AU127" s="5">
        <f t="shared" si="230"/>
        <v>1.9478609147324457</v>
      </c>
      <c r="AV127" s="5"/>
      <c r="AW127" s="153">
        <f t="shared" si="231"/>
        <v>0.31824867984364402</v>
      </c>
      <c r="AX127" s="153">
        <f t="shared" si="150"/>
        <v>1.3022</v>
      </c>
      <c r="AY127" s="153">
        <f t="shared" si="151"/>
        <v>0.15497604115815841</v>
      </c>
      <c r="AZ127" s="153">
        <f t="shared" si="178"/>
        <v>8.4025891374464763</v>
      </c>
      <c r="BA127" s="147">
        <f t="shared" si="232"/>
        <v>17.910795069528412</v>
      </c>
      <c r="BB127" s="147">
        <f t="shared" si="233"/>
        <v>0.88808382814814868</v>
      </c>
      <c r="BC127" s="5">
        <f t="shared" si="258"/>
        <v>0.55244637221307269</v>
      </c>
      <c r="BD127" s="147">
        <f t="shared" si="235"/>
        <v>14.408937521233833</v>
      </c>
      <c r="BF127" s="153">
        <f t="shared" si="179"/>
        <v>0.2961564833373207</v>
      </c>
      <c r="BG127" s="153">
        <f t="shared" si="156"/>
        <v>0.21673095128243386</v>
      </c>
      <c r="BI127" s="463">
        <f t="shared" si="236"/>
        <v>9.6479528885001584E-3</v>
      </c>
      <c r="BJ127" s="463">
        <f t="shared" si="237"/>
        <v>2.6510115030975546E-2</v>
      </c>
      <c r="BK127" s="463">
        <f t="shared" si="238"/>
        <v>1.7499999999999998E-2</v>
      </c>
      <c r="BL127" s="463">
        <f t="shared" si="239"/>
        <v>2.18575035E-2</v>
      </c>
      <c r="BM127">
        <f t="shared" si="240"/>
        <v>2.6099999999999999E-3</v>
      </c>
      <c r="BN127">
        <f t="shared" si="241"/>
        <v>1.4E-5</v>
      </c>
      <c r="BO127" s="463">
        <f t="shared" si="242"/>
        <v>7.9583707824290806E-2</v>
      </c>
      <c r="BP127" s="147">
        <f t="shared" si="243"/>
        <v>78.125571419475705</v>
      </c>
      <c r="BQ127" s="463">
        <f t="shared" si="244"/>
        <v>3.9647368241250917E-2</v>
      </c>
      <c r="BT127" s="147">
        <f t="shared" si="245"/>
        <v>39.647368241250916</v>
      </c>
      <c r="BU127" s="463">
        <f t="shared" si="246"/>
        <v>7.4552363229319404E-3</v>
      </c>
      <c r="BV127" s="463">
        <f t="shared" si="247"/>
        <v>8.9247379963198568E-3</v>
      </c>
      <c r="BW127" s="463">
        <f t="shared" si="248"/>
        <v>0</v>
      </c>
      <c r="BX127" s="463"/>
      <c r="BY127" s="463">
        <f t="shared" si="249"/>
        <v>0.14468888888888892</v>
      </c>
      <c r="BZ127" s="147">
        <f t="shared" si="250"/>
        <v>161.06886320814073</v>
      </c>
      <c r="CA127" s="153">
        <f t="shared" si="251"/>
        <v>0.27884180286886734</v>
      </c>
      <c r="CB127" s="5">
        <f t="shared" si="252"/>
        <v>1.2750000000000001</v>
      </c>
      <c r="CC127" s="153">
        <f t="shared" si="253"/>
        <v>0.82054685209650047</v>
      </c>
      <c r="CD127" s="5">
        <f t="shared" si="254"/>
        <v>82.054685209650046</v>
      </c>
      <c r="CG127" s="59">
        <f t="shared" si="255"/>
        <v>-50</v>
      </c>
      <c r="CH127">
        <f t="shared" si="256"/>
        <v>-50</v>
      </c>
    </row>
    <row r="128" spans="5:86" x14ac:dyDescent="0.25">
      <c r="E128" s="150">
        <v>18</v>
      </c>
      <c r="F128" s="191">
        <f t="shared" si="257"/>
        <v>0.09</v>
      </c>
      <c r="G128" s="191"/>
      <c r="H128" s="191">
        <f t="shared" si="201"/>
        <v>1.3499999999999999</v>
      </c>
      <c r="I128" s="472">
        <f t="shared" si="202"/>
        <v>9</v>
      </c>
      <c r="J128" s="386">
        <f t="shared" si="203"/>
        <v>7.66</v>
      </c>
      <c r="K128" s="386">
        <f t="shared" si="204"/>
        <v>16.66</v>
      </c>
      <c r="L128" s="386"/>
      <c r="M128" s="191">
        <f t="shared" si="205"/>
        <v>0.45978391356542619</v>
      </c>
      <c r="N128" s="152">
        <f t="shared" si="206"/>
        <v>7.6905756302521011</v>
      </c>
      <c r="O128" s="152">
        <f t="shared" si="173"/>
        <v>1.3499999999999999</v>
      </c>
      <c r="P128" s="191">
        <f t="shared" si="207"/>
        <v>0.51270504201680678</v>
      </c>
      <c r="Q128" s="191">
        <f t="shared" si="208"/>
        <v>15</v>
      </c>
      <c r="R128" s="191"/>
      <c r="S128" s="152">
        <f t="shared" si="209"/>
        <v>166.5345210903628</v>
      </c>
      <c r="T128" s="152">
        <f t="shared" si="210"/>
        <v>15</v>
      </c>
      <c r="U128" s="191">
        <f t="shared" si="211"/>
        <v>0.72497824194952121</v>
      </c>
      <c r="V128" s="191">
        <f t="shared" si="212"/>
        <v>0.72497824194952121</v>
      </c>
      <c r="W128" s="191">
        <f t="shared" si="213"/>
        <v>0.85180211195113453</v>
      </c>
      <c r="X128" s="175">
        <f t="shared" si="214"/>
        <v>350</v>
      </c>
      <c r="Y128" s="386">
        <f t="shared" si="215"/>
        <v>350</v>
      </c>
      <c r="AA128" s="191">
        <f t="shared" si="216"/>
        <v>1.3136683244726464</v>
      </c>
      <c r="AB128" s="153">
        <f t="shared" si="217"/>
        <v>1.5434745326702111</v>
      </c>
      <c r="AC128" s="153">
        <f t="shared" si="218"/>
        <v>0.17741619027991926</v>
      </c>
      <c r="AD128" s="153"/>
      <c r="AE128" s="153">
        <f t="shared" si="219"/>
        <v>0.96344647519582249</v>
      </c>
      <c r="AF128" s="317">
        <f t="shared" si="220"/>
        <v>455.68114217727543</v>
      </c>
      <c r="AG128" s="463">
        <f t="shared" si="221"/>
        <v>6.9127284595300251E-2</v>
      </c>
      <c r="AI128" s="153">
        <f t="shared" si="222"/>
        <v>0.93564339971410659</v>
      </c>
      <c r="AJ128" s="153">
        <f t="shared" si="223"/>
        <v>0.93564339971410659</v>
      </c>
      <c r="AK128" s="153">
        <f t="shared" si="224"/>
        <v>1.2770955998094045</v>
      </c>
      <c r="AM128" s="317">
        <f t="shared" si="225"/>
        <v>90</v>
      </c>
      <c r="AN128" s="147">
        <f t="shared" si="226"/>
        <v>350</v>
      </c>
      <c r="AP128" s="147">
        <f t="shared" si="227"/>
        <v>90</v>
      </c>
      <c r="AQ128" s="147">
        <f t="shared" si="228"/>
        <v>350</v>
      </c>
      <c r="AS128" s="5">
        <f t="shared" si="175"/>
        <v>2.8571428571428572</v>
      </c>
      <c r="AT128" s="5">
        <f t="shared" si="229"/>
        <v>0.93564339971410659</v>
      </c>
      <c r="AU128" s="5">
        <f t="shared" si="230"/>
        <v>1.9214994574287507</v>
      </c>
      <c r="AV128" s="5"/>
      <c r="AW128" s="153">
        <f t="shared" si="231"/>
        <v>0.32747518989993729</v>
      </c>
      <c r="AX128" s="153">
        <f t="shared" si="150"/>
        <v>1.3788</v>
      </c>
      <c r="AY128" s="153">
        <f t="shared" si="151"/>
        <v>0.15731084992852665</v>
      </c>
      <c r="AZ128" s="153">
        <f t="shared" si="178"/>
        <v>8.7648118399109194</v>
      </c>
      <c r="BA128" s="147">
        <f t="shared" si="232"/>
        <v>17.910795069528412</v>
      </c>
      <c r="BB128" s="147">
        <f t="shared" si="233"/>
        <v>0.97975488000000033</v>
      </c>
      <c r="BC128" s="5">
        <f t="shared" si="258"/>
        <v>0.57702686409271775</v>
      </c>
      <c r="BD128" s="147">
        <f t="shared" si="235"/>
        <v>15.05681407142993</v>
      </c>
      <c r="BF128" s="153">
        <f t="shared" si="179"/>
        <v>0.30912841866145874</v>
      </c>
      <c r="BG128" s="153">
        <f t="shared" si="156"/>
        <v>0.2215000815944487</v>
      </c>
      <c r="BI128" s="463">
        <f t="shared" si="236"/>
        <v>1.0511641714654752E-2</v>
      </c>
      <c r="BJ128" s="463">
        <f t="shared" si="237"/>
        <v>2.727868331866478E-2</v>
      </c>
      <c r="BK128" s="463">
        <f t="shared" si="238"/>
        <v>1.7499999999999998E-2</v>
      </c>
      <c r="BL128" s="463">
        <f t="shared" si="239"/>
        <v>2.18575035E-2</v>
      </c>
      <c r="BM128">
        <f t="shared" si="240"/>
        <v>2.6099999999999999E-3</v>
      </c>
      <c r="BN128">
        <f t="shared" si="241"/>
        <v>1.4E-5</v>
      </c>
      <c r="BO128" s="463">
        <f t="shared" si="242"/>
        <v>8.134866759961179E-2</v>
      </c>
      <c r="BP128" s="147">
        <f t="shared" si="243"/>
        <v>79.757828533319525</v>
      </c>
      <c r="BQ128" s="463">
        <f t="shared" si="244"/>
        <v>4.1876717323161887E-2</v>
      </c>
      <c r="BT128" s="147">
        <f t="shared" si="245"/>
        <v>41.876717323161884</v>
      </c>
      <c r="BU128" s="463">
        <f t="shared" si="246"/>
        <v>8.1226322340514009E-3</v>
      </c>
      <c r="BV128" s="463">
        <f t="shared" si="247"/>
        <v>9.3218343678060124E-3</v>
      </c>
      <c r="BW128" s="463">
        <f t="shared" si="248"/>
        <v>0</v>
      </c>
      <c r="BX128" s="463"/>
      <c r="BY128" s="463">
        <f t="shared" si="249"/>
        <v>0.15320000000000003</v>
      </c>
      <c r="BZ128" s="147">
        <f t="shared" si="250"/>
        <v>170.64446660185746</v>
      </c>
      <c r="CA128" s="153">
        <f t="shared" si="251"/>
        <v>0.29227901245833887</v>
      </c>
      <c r="CB128" s="5">
        <f t="shared" si="252"/>
        <v>1.3499999999999999</v>
      </c>
      <c r="CC128" s="153">
        <f t="shared" si="253"/>
        <v>0.82202840671949873</v>
      </c>
      <c r="CD128" s="5">
        <f t="shared" si="254"/>
        <v>82.202840671949872</v>
      </c>
      <c r="CG128" s="59">
        <f t="shared" si="255"/>
        <v>-50</v>
      </c>
      <c r="CH128">
        <f t="shared" si="256"/>
        <v>-50</v>
      </c>
    </row>
    <row r="129" spans="5:86" x14ac:dyDescent="0.25">
      <c r="E129" s="150">
        <v>19</v>
      </c>
      <c r="F129" s="191">
        <f t="shared" si="257"/>
        <v>9.5000000000000001E-2</v>
      </c>
      <c r="G129" s="191"/>
      <c r="H129" s="191">
        <f t="shared" si="201"/>
        <v>1.425</v>
      </c>
      <c r="I129" s="472">
        <f t="shared" si="202"/>
        <v>9</v>
      </c>
      <c r="J129" s="386">
        <f t="shared" si="203"/>
        <v>7.66</v>
      </c>
      <c r="K129" s="386">
        <f t="shared" si="204"/>
        <v>16.66</v>
      </c>
      <c r="L129" s="386"/>
      <c r="M129" s="191">
        <f t="shared" si="205"/>
        <v>0.45978391356542619</v>
      </c>
      <c r="N129" s="152">
        <f t="shared" si="206"/>
        <v>7.6905756302521011</v>
      </c>
      <c r="O129" s="152">
        <f t="shared" si="173"/>
        <v>1.425</v>
      </c>
      <c r="P129" s="191">
        <f t="shared" si="207"/>
        <v>0.51270504201680678</v>
      </c>
      <c r="Q129" s="191">
        <f t="shared" si="208"/>
        <v>15</v>
      </c>
      <c r="R129" s="191"/>
      <c r="S129" s="152">
        <f t="shared" si="209"/>
        <v>156.8261274668576</v>
      </c>
      <c r="T129" s="152">
        <f t="shared" si="210"/>
        <v>15</v>
      </c>
      <c r="U129" s="191">
        <f t="shared" si="211"/>
        <v>0.76525481094671699</v>
      </c>
      <c r="V129" s="191">
        <f t="shared" si="212"/>
        <v>0.76525481094671699</v>
      </c>
      <c r="W129" s="191">
        <f t="shared" si="213"/>
        <v>0.89912445150397557</v>
      </c>
      <c r="X129" s="175">
        <f t="shared" si="214"/>
        <v>350</v>
      </c>
      <c r="Y129" s="386">
        <f t="shared" si="215"/>
        <v>350</v>
      </c>
      <c r="AA129" s="191">
        <f t="shared" si="216"/>
        <v>1.3136683244726464</v>
      </c>
      <c r="AB129" s="153">
        <f t="shared" si="217"/>
        <v>1.5434745326702111</v>
      </c>
      <c r="AC129" s="153">
        <f t="shared" si="218"/>
        <v>0.17741619027991926</v>
      </c>
      <c r="AD129" s="153"/>
      <c r="AE129" s="153">
        <f t="shared" si="219"/>
        <v>0.96344647519582249</v>
      </c>
      <c r="AF129" s="317">
        <f t="shared" si="220"/>
        <v>480.99676118712415</v>
      </c>
      <c r="AG129" s="463">
        <f t="shared" si="221"/>
        <v>6.9127284595300251E-2</v>
      </c>
      <c r="AI129" s="153">
        <f t="shared" si="222"/>
        <v>0.96128221249718959</v>
      </c>
      <c r="AJ129" s="153">
        <f t="shared" si="223"/>
        <v>0.96128221249718959</v>
      </c>
      <c r="AK129" s="153">
        <f t="shared" si="224"/>
        <v>1.2941881416647931</v>
      </c>
      <c r="AM129" s="317">
        <f t="shared" si="225"/>
        <v>95</v>
      </c>
      <c r="AN129" s="147">
        <f t="shared" si="226"/>
        <v>350</v>
      </c>
      <c r="AP129" s="147">
        <f t="shared" si="227"/>
        <v>95</v>
      </c>
      <c r="AQ129" s="147">
        <f t="shared" si="228"/>
        <v>350</v>
      </c>
      <c r="AS129" s="5">
        <f t="shared" si="175"/>
        <v>2.8571428571428572</v>
      </c>
      <c r="AT129" s="5">
        <f t="shared" si="229"/>
        <v>0.96128221249718959</v>
      </c>
      <c r="AU129" s="5">
        <f t="shared" si="230"/>
        <v>1.8958606446456676</v>
      </c>
      <c r="AV129" s="5"/>
      <c r="AW129" s="153">
        <f t="shared" si="231"/>
        <v>0.33644877437401632</v>
      </c>
      <c r="AX129" s="153">
        <f t="shared" si="150"/>
        <v>1.4553999999999998</v>
      </c>
      <c r="AY129" s="153">
        <f t="shared" si="151"/>
        <v>0.15946499756874186</v>
      </c>
      <c r="AZ129" s="153">
        <f t="shared" si="178"/>
        <v>9.1267677684101738</v>
      </c>
      <c r="BA129" s="147">
        <f t="shared" si="232"/>
        <v>17.910795069528412</v>
      </c>
      <c r="BB129" s="147">
        <f t="shared" si="233"/>
        <v>1.0758071348148153</v>
      </c>
      <c r="BC129" s="5">
        <f t="shared" si="258"/>
        <v>0.60095682763209346</v>
      </c>
      <c r="BD129" s="147">
        <f t="shared" si="235"/>
        <v>15.688279565769227</v>
      </c>
      <c r="BF129" s="153">
        <f t="shared" si="179"/>
        <v>0.32192133063246753</v>
      </c>
      <c r="BG129" s="153">
        <f t="shared" si="156"/>
        <v>0.2260463563657826</v>
      </c>
      <c r="BI129" s="463">
        <f t="shared" si="236"/>
        <v>1.1399667742779632E-2</v>
      </c>
      <c r="BJ129" s="463">
        <f t="shared" si="237"/>
        <v>2.8026182905355558E-2</v>
      </c>
      <c r="BK129" s="463">
        <f t="shared" si="238"/>
        <v>1.7499999999999998E-2</v>
      </c>
      <c r="BL129" s="463">
        <f t="shared" si="239"/>
        <v>2.18575035E-2</v>
      </c>
      <c r="BM129">
        <f t="shared" si="240"/>
        <v>2.6099999999999999E-3</v>
      </c>
      <c r="BN129">
        <f t="shared" si="241"/>
        <v>1.4E-5</v>
      </c>
      <c r="BO129" s="463">
        <f t="shared" si="242"/>
        <v>8.3121132876743525E-2</v>
      </c>
      <c r="BP129" s="147">
        <f t="shared" si="243"/>
        <v>81.393354148135188</v>
      </c>
      <c r="BQ129" s="463">
        <f t="shared" si="244"/>
        <v>4.4097614758570457E-2</v>
      </c>
      <c r="BT129" s="147">
        <f t="shared" si="245"/>
        <v>44.097614758570458</v>
      </c>
      <c r="BU129" s="463">
        <f t="shared" si="246"/>
        <v>8.8088341648751706E-3</v>
      </c>
      <c r="BV129" s="463">
        <f t="shared" si="247"/>
        <v>9.7084214929868129E-3</v>
      </c>
      <c r="BW129" s="463">
        <f t="shared" si="248"/>
        <v>0</v>
      </c>
      <c r="BX129" s="463"/>
      <c r="BY129" s="463">
        <f t="shared" si="249"/>
        <v>0.16171111111111114</v>
      </c>
      <c r="BZ129" s="147">
        <f t="shared" si="250"/>
        <v>180.22836676897313</v>
      </c>
      <c r="CA129" s="153">
        <f t="shared" si="251"/>
        <v>0.30571933567567877</v>
      </c>
      <c r="CB129" s="5">
        <f t="shared" si="252"/>
        <v>1.425</v>
      </c>
      <c r="CC129" s="153">
        <f t="shared" si="253"/>
        <v>0.82335706929839958</v>
      </c>
      <c r="CD129" s="5">
        <f t="shared" si="254"/>
        <v>82.335706929839958</v>
      </c>
      <c r="CG129" s="59">
        <f t="shared" si="255"/>
        <v>-50</v>
      </c>
      <c r="CH129">
        <f t="shared" si="256"/>
        <v>-50</v>
      </c>
    </row>
    <row r="130" spans="5:86" x14ac:dyDescent="0.25">
      <c r="E130" s="150">
        <v>20</v>
      </c>
      <c r="F130" s="191">
        <f t="shared" si="257"/>
        <v>0.1</v>
      </c>
      <c r="G130" s="191"/>
      <c r="H130" s="191">
        <f t="shared" si="201"/>
        <v>1.5</v>
      </c>
      <c r="I130" s="472">
        <f t="shared" si="202"/>
        <v>9</v>
      </c>
      <c r="J130" s="386">
        <f t="shared" si="203"/>
        <v>7.66</v>
      </c>
      <c r="K130" s="386">
        <f t="shared" si="204"/>
        <v>16.66</v>
      </c>
      <c r="L130" s="386"/>
      <c r="M130" s="191">
        <f t="shared" si="205"/>
        <v>0.45978391356542619</v>
      </c>
      <c r="N130" s="152">
        <f t="shared" si="206"/>
        <v>7.6905756302521011</v>
      </c>
      <c r="O130" s="152">
        <f t="shared" si="173"/>
        <v>1.5</v>
      </c>
      <c r="P130" s="191">
        <f t="shared" si="207"/>
        <v>0.51270504201680678</v>
      </c>
      <c r="Q130" s="191">
        <f t="shared" si="208"/>
        <v>15</v>
      </c>
      <c r="R130" s="191"/>
      <c r="S130" s="152">
        <f t="shared" si="209"/>
        <v>148.08881171160638</v>
      </c>
      <c r="T130" s="152">
        <f t="shared" si="210"/>
        <v>15</v>
      </c>
      <c r="U130" s="191">
        <f t="shared" si="211"/>
        <v>0.80553137994391255</v>
      </c>
      <c r="V130" s="191">
        <f t="shared" si="212"/>
        <v>0.80553137994391255</v>
      </c>
      <c r="W130" s="191">
        <f t="shared" si="213"/>
        <v>0.94644679105681628</v>
      </c>
      <c r="X130" s="175">
        <f t="shared" si="214"/>
        <v>350</v>
      </c>
      <c r="Y130" s="386">
        <f t="shared" si="215"/>
        <v>350</v>
      </c>
      <c r="AA130" s="191">
        <f t="shared" si="216"/>
        <v>1.3136683244726464</v>
      </c>
      <c r="AB130" s="153">
        <f t="shared" si="217"/>
        <v>1.5434745326702111</v>
      </c>
      <c r="AC130" s="153">
        <f t="shared" si="218"/>
        <v>0.17741619027991926</v>
      </c>
      <c r="AD130" s="153"/>
      <c r="AE130" s="153">
        <f t="shared" si="219"/>
        <v>0.96344647519582249</v>
      </c>
      <c r="AF130" s="317">
        <f t="shared" si="220"/>
        <v>506.31238019697281</v>
      </c>
      <c r="AG130" s="463">
        <f t="shared" si="221"/>
        <v>6.9127284595300251E-2</v>
      </c>
      <c r="AI130" s="153">
        <f t="shared" si="222"/>
        <v>0.98625474026663762</v>
      </c>
      <c r="AJ130" s="153">
        <f t="shared" si="223"/>
        <v>0.98625474026663762</v>
      </c>
      <c r="AK130" s="153">
        <f t="shared" si="224"/>
        <v>1.3108364935110917</v>
      </c>
      <c r="AM130" s="317">
        <f t="shared" si="225"/>
        <v>100</v>
      </c>
      <c r="AN130" s="147">
        <f t="shared" si="226"/>
        <v>350</v>
      </c>
      <c r="AP130" s="147">
        <f t="shared" si="227"/>
        <v>100</v>
      </c>
      <c r="AQ130" s="147">
        <f t="shared" si="228"/>
        <v>350</v>
      </c>
      <c r="AS130" s="5">
        <f t="shared" si="175"/>
        <v>2.8571428571428572</v>
      </c>
      <c r="AT130" s="5">
        <f t="shared" si="229"/>
        <v>0.98625474026663762</v>
      </c>
      <c r="AU130" s="5">
        <f t="shared" si="230"/>
        <v>1.8708881168762197</v>
      </c>
      <c r="AV130" s="5"/>
      <c r="AW130" s="153">
        <f t="shared" si="231"/>
        <v>0.34518915909332315</v>
      </c>
      <c r="AX130" s="153">
        <f t="shared" si="150"/>
        <v>1.5320000000000005</v>
      </c>
      <c r="AY130" s="153">
        <f t="shared" si="151"/>
        <v>0.1614525739555483</v>
      </c>
      <c r="AZ130" s="153">
        <f t="shared" si="178"/>
        <v>9.488854605822489</v>
      </c>
      <c r="BA130" s="147">
        <f t="shared" si="232"/>
        <v>17.910795069528412</v>
      </c>
      <c r="BB130" s="147">
        <f t="shared" si="233"/>
        <v>1.1762405925925932</v>
      </c>
      <c r="BC130" s="5">
        <f t="shared" si="258"/>
        <v>0.62425362591799105</v>
      </c>
      <c r="BD130" s="147">
        <f t="shared" si="235"/>
        <v>16.303772027577605</v>
      </c>
      <c r="BF130" s="153">
        <f t="shared" si="179"/>
        <v>0.33454693100309824</v>
      </c>
      <c r="BG130" s="153">
        <f t="shared" si="156"/>
        <v>0.23038617319036994</v>
      </c>
      <c r="BI130" s="463">
        <f t="shared" si="236"/>
        <v>1.2311381394795094E-2</v>
      </c>
      <c r="BJ130" s="463">
        <f t="shared" si="237"/>
        <v>2.8754256952473821E-2</v>
      </c>
      <c r="BK130" s="463">
        <f t="shared" si="238"/>
        <v>1.7499999999999998E-2</v>
      </c>
      <c r="BL130" s="463">
        <f t="shared" si="239"/>
        <v>2.18575035E-2</v>
      </c>
      <c r="BM130">
        <f t="shared" si="240"/>
        <v>2.6099999999999999E-3</v>
      </c>
      <c r="BN130">
        <f t="shared" si="241"/>
        <v>1.4E-5</v>
      </c>
      <c r="BO130" s="463">
        <f t="shared" si="242"/>
        <v>8.4902029038161853E-2</v>
      </c>
      <c r="BP130" s="147">
        <f t="shared" si="243"/>
        <v>83.033141847268908</v>
      </c>
      <c r="BQ130" s="463">
        <f t="shared" si="244"/>
        <v>4.6310286128227927E-2</v>
      </c>
      <c r="BT130" s="147">
        <f t="shared" si="245"/>
        <v>46.310286128227929</v>
      </c>
      <c r="BU130" s="463">
        <f t="shared" si="246"/>
        <v>9.5133401687053001E-3</v>
      </c>
      <c r="BV130" s="463">
        <f t="shared" si="247"/>
        <v>1.0084779871487596E-2</v>
      </c>
      <c r="BW130" s="463">
        <f t="shared" si="248"/>
        <v>0</v>
      </c>
      <c r="BX130" s="463"/>
      <c r="BY130" s="463">
        <f t="shared" si="249"/>
        <v>0.17022222222222227</v>
      </c>
      <c r="BZ130" s="147">
        <f t="shared" si="250"/>
        <v>189.82034226241518</v>
      </c>
      <c r="CA130" s="153">
        <f t="shared" si="251"/>
        <v>0.31916377023791198</v>
      </c>
      <c r="CB130" s="5">
        <f t="shared" si="252"/>
        <v>1.5</v>
      </c>
      <c r="CC130" s="153">
        <f t="shared" si="253"/>
        <v>0.8245546797602662</v>
      </c>
      <c r="CD130" s="5">
        <f t="shared" si="254"/>
        <v>82.455467976026625</v>
      </c>
      <c r="CG130" s="59">
        <f t="shared" si="255"/>
        <v>-50</v>
      </c>
      <c r="CH130">
        <f t="shared" si="256"/>
        <v>-50</v>
      </c>
    </row>
    <row r="131" spans="5:86" x14ac:dyDescent="0.25">
      <c r="E131" s="150">
        <v>21</v>
      </c>
      <c r="F131" s="191">
        <f t="shared" si="257"/>
        <v>0.105</v>
      </c>
      <c r="G131" s="191"/>
      <c r="H131" s="191">
        <f t="shared" si="201"/>
        <v>1.575</v>
      </c>
      <c r="I131" s="472">
        <f t="shared" si="202"/>
        <v>9</v>
      </c>
      <c r="J131" s="386">
        <f t="shared" si="203"/>
        <v>7.66</v>
      </c>
      <c r="K131" s="386">
        <f t="shared" si="204"/>
        <v>16.66</v>
      </c>
      <c r="L131" s="386"/>
      <c r="M131" s="191">
        <f t="shared" si="205"/>
        <v>0.45978391356542619</v>
      </c>
      <c r="N131" s="152">
        <f t="shared" si="206"/>
        <v>7.6905756302521011</v>
      </c>
      <c r="O131" s="152">
        <f t="shared" si="173"/>
        <v>1.575</v>
      </c>
      <c r="P131" s="191">
        <f t="shared" si="207"/>
        <v>0.51270504201680678</v>
      </c>
      <c r="Q131" s="191">
        <f t="shared" si="208"/>
        <v>15</v>
      </c>
      <c r="R131" s="191"/>
      <c r="S131" s="152">
        <f t="shared" si="209"/>
        <v>140.18385246006127</v>
      </c>
      <c r="T131" s="152">
        <f t="shared" si="210"/>
        <v>15</v>
      </c>
      <c r="U131" s="191">
        <f t="shared" si="211"/>
        <v>0.84580794894110811</v>
      </c>
      <c r="V131" s="191">
        <f t="shared" si="212"/>
        <v>0.84580794894110822</v>
      </c>
      <c r="W131" s="191">
        <f t="shared" si="213"/>
        <v>0.99376913060965699</v>
      </c>
      <c r="X131" s="175">
        <f t="shared" si="214"/>
        <v>350</v>
      </c>
      <c r="Y131" s="386">
        <f t="shared" si="215"/>
        <v>350</v>
      </c>
      <c r="AA131" s="191">
        <f t="shared" si="216"/>
        <v>1.3136683244726464</v>
      </c>
      <c r="AB131" s="153">
        <f t="shared" si="217"/>
        <v>1.5434745326702111</v>
      </c>
      <c r="AC131" s="153">
        <f t="shared" si="218"/>
        <v>0.17741619027991926</v>
      </c>
      <c r="AD131" s="153"/>
      <c r="AE131" s="153">
        <f t="shared" si="219"/>
        <v>0.96344647519582249</v>
      </c>
      <c r="AF131" s="317">
        <f t="shared" si="220"/>
        <v>531.62799920682141</v>
      </c>
      <c r="AG131" s="463">
        <f t="shared" si="221"/>
        <v>6.9127284595300251E-2</v>
      </c>
      <c r="AI131" s="153">
        <f t="shared" si="222"/>
        <v>1.0106103766206507</v>
      </c>
      <c r="AJ131" s="153">
        <f t="shared" si="223"/>
        <v>1.0106103766206507</v>
      </c>
      <c r="AK131" s="153">
        <f t="shared" si="224"/>
        <v>1.3270735844137671</v>
      </c>
      <c r="AM131" s="317">
        <f t="shared" si="225"/>
        <v>105</v>
      </c>
      <c r="AN131" s="147">
        <f t="shared" si="226"/>
        <v>350</v>
      </c>
      <c r="AP131" s="147">
        <f t="shared" si="227"/>
        <v>105</v>
      </c>
      <c r="AQ131" s="147">
        <f t="shared" si="228"/>
        <v>350</v>
      </c>
      <c r="AS131" s="5">
        <f t="shared" si="175"/>
        <v>2.8571428571428572</v>
      </c>
      <c r="AT131" s="5">
        <f t="shared" si="229"/>
        <v>1.0106103766206505</v>
      </c>
      <c r="AU131" s="5">
        <f t="shared" si="230"/>
        <v>1.8465324805222068</v>
      </c>
      <c r="AV131" s="5"/>
      <c r="AW131" s="153">
        <f t="shared" si="231"/>
        <v>0.35371363181722765</v>
      </c>
      <c r="AX131" s="153">
        <f t="shared" si="150"/>
        <v>1.6086000000000003</v>
      </c>
      <c r="AY131" s="153">
        <f t="shared" si="151"/>
        <v>0.16328592748849602</v>
      </c>
      <c r="AZ131" s="153">
        <f t="shared" si="178"/>
        <v>9.8514307065030504</v>
      </c>
      <c r="BA131" s="147">
        <f t="shared" si="232"/>
        <v>17.910795069528412</v>
      </c>
      <c r="BB131" s="147">
        <f t="shared" si="233"/>
        <v>1.2810552533333337</v>
      </c>
      <c r="BC131" s="5">
        <f t="shared" si="258"/>
        <v>0.64693330148425665</v>
      </c>
      <c r="BD131" s="147">
        <f t="shared" si="235"/>
        <v>16.903696166231622</v>
      </c>
      <c r="BF131" s="153">
        <f t="shared" si="179"/>
        <v>0.34701562050784235</v>
      </c>
      <c r="BG131" s="153">
        <f t="shared" si="156"/>
        <v>0.23453390137035712</v>
      </c>
      <c r="BI131" s="463">
        <f t="shared" si="236"/>
        <v>1.3246182496408713E-2</v>
      </c>
      <c r="BJ131" s="463">
        <f t="shared" si="237"/>
        <v>2.946434553037507E-2</v>
      </c>
      <c r="BK131" s="463">
        <f t="shared" si="238"/>
        <v>1.7499999999999998E-2</v>
      </c>
      <c r="BL131" s="463">
        <f t="shared" si="239"/>
        <v>2.18575035E-2</v>
      </c>
      <c r="BM131">
        <f t="shared" si="240"/>
        <v>2.6099999999999999E-3</v>
      </c>
      <c r="BN131">
        <f t="shared" si="241"/>
        <v>1.4E-5</v>
      </c>
      <c r="BO131" s="463">
        <f t="shared" si="242"/>
        <v>8.6692134864170864E-2</v>
      </c>
      <c r="BP131" s="147">
        <f t="shared" si="243"/>
        <v>84.678031526783784</v>
      </c>
      <c r="BQ131" s="463">
        <f t="shared" si="244"/>
        <v>4.8514939856297658E-2</v>
      </c>
      <c r="BT131" s="147">
        <f t="shared" si="245"/>
        <v>48.514939856297659</v>
      </c>
      <c r="BU131" s="463">
        <f t="shared" si="246"/>
        <v>1.0235686474497643E-2</v>
      </c>
      <c r="BV131" s="463">
        <f t="shared" si="247"/>
        <v>1.0451168669480076E-2</v>
      </c>
      <c r="BW131" s="463">
        <f t="shared" si="248"/>
        <v>0</v>
      </c>
      <c r="BX131" s="463"/>
      <c r="BY131" s="463">
        <f t="shared" si="249"/>
        <v>0.17873333333333338</v>
      </c>
      <c r="BZ131" s="147">
        <f t="shared" si="250"/>
        <v>199.42018847731111</v>
      </c>
      <c r="CA131" s="153">
        <f t="shared" si="251"/>
        <v>0.33261315986039253</v>
      </c>
      <c r="CB131" s="5">
        <f t="shared" si="252"/>
        <v>1.575</v>
      </c>
      <c r="CC131" s="153">
        <f t="shared" si="253"/>
        <v>0.82563909347074615</v>
      </c>
      <c r="CD131" s="5">
        <f t="shared" si="254"/>
        <v>82.563909347074613</v>
      </c>
      <c r="CG131" s="59">
        <f t="shared" si="255"/>
        <v>-50</v>
      </c>
      <c r="CH131">
        <f t="shared" si="256"/>
        <v>-50</v>
      </c>
    </row>
    <row r="132" spans="5:86" x14ac:dyDescent="0.25">
      <c r="E132" s="150">
        <v>22</v>
      </c>
      <c r="F132" s="191">
        <f t="shared" si="257"/>
        <v>0.11</v>
      </c>
      <c r="G132" s="191"/>
      <c r="H132" s="191">
        <f t="shared" si="201"/>
        <v>1.65</v>
      </c>
      <c r="I132" s="472">
        <f t="shared" si="202"/>
        <v>9</v>
      </c>
      <c r="J132" s="386">
        <f t="shared" si="203"/>
        <v>7.66</v>
      </c>
      <c r="K132" s="386">
        <f t="shared" si="204"/>
        <v>16.66</v>
      </c>
      <c r="L132" s="386"/>
      <c r="M132" s="191">
        <f t="shared" si="205"/>
        <v>0.45978391356542619</v>
      </c>
      <c r="N132" s="152">
        <f t="shared" si="206"/>
        <v>7.6905756302521011</v>
      </c>
      <c r="O132" s="152">
        <f t="shared" si="173"/>
        <v>1.65</v>
      </c>
      <c r="P132" s="191">
        <f t="shared" si="207"/>
        <v>0.51270504201680678</v>
      </c>
      <c r="Q132" s="191">
        <f t="shared" si="208"/>
        <v>15</v>
      </c>
      <c r="R132" s="191"/>
      <c r="S132" s="152">
        <f t="shared" si="209"/>
        <v>132.99775050397227</v>
      </c>
      <c r="T132" s="152">
        <f t="shared" si="210"/>
        <v>15</v>
      </c>
      <c r="U132" s="191">
        <f t="shared" si="211"/>
        <v>0.88608451793830378</v>
      </c>
      <c r="V132" s="191">
        <f t="shared" si="212"/>
        <v>0.88608451793830389</v>
      </c>
      <c r="W132" s="191">
        <f t="shared" si="213"/>
        <v>1.041091470162498</v>
      </c>
      <c r="X132" s="175">
        <f t="shared" si="214"/>
        <v>350</v>
      </c>
      <c r="Y132" s="386">
        <f t="shared" si="215"/>
        <v>350</v>
      </c>
      <c r="AA132" s="191">
        <f t="shared" si="216"/>
        <v>1.3136683244726464</v>
      </c>
      <c r="AB132" s="153">
        <f t="shared" si="217"/>
        <v>1.5434745326702111</v>
      </c>
      <c r="AC132" s="153">
        <f t="shared" si="218"/>
        <v>0.17741619027991926</v>
      </c>
      <c r="AD132" s="153"/>
      <c r="AE132" s="153">
        <f t="shared" si="219"/>
        <v>0.96344647519582249</v>
      </c>
      <c r="AF132" s="317">
        <f t="shared" si="220"/>
        <v>556.94361821666996</v>
      </c>
      <c r="AG132" s="463">
        <f t="shared" si="221"/>
        <v>6.9127284595300251E-2</v>
      </c>
      <c r="AI132" s="153">
        <f t="shared" si="222"/>
        <v>1.0343926981414042</v>
      </c>
      <c r="AJ132" s="153">
        <f t="shared" si="223"/>
        <v>1.0343926981414042</v>
      </c>
      <c r="AK132" s="153">
        <f t="shared" si="224"/>
        <v>1.3429284654276028</v>
      </c>
      <c r="AM132" s="317">
        <f t="shared" si="225"/>
        <v>110</v>
      </c>
      <c r="AN132" s="147">
        <f t="shared" si="226"/>
        <v>350</v>
      </c>
      <c r="AP132" s="147">
        <f t="shared" si="227"/>
        <v>110</v>
      </c>
      <c r="AQ132" s="147">
        <f t="shared" si="228"/>
        <v>350</v>
      </c>
      <c r="AS132" s="5">
        <f t="shared" si="175"/>
        <v>2.8571428571428572</v>
      </c>
      <c r="AT132" s="5">
        <f t="shared" si="229"/>
        <v>1.0343926981414042</v>
      </c>
      <c r="AU132" s="5">
        <f t="shared" si="230"/>
        <v>1.822750159001453</v>
      </c>
      <c r="AV132" s="5"/>
      <c r="AW132" s="153">
        <f t="shared" si="231"/>
        <v>0.36203744434949148</v>
      </c>
      <c r="AX132" s="153">
        <f t="shared" si="150"/>
        <v>1.6852000000000005</v>
      </c>
      <c r="AY132" s="153">
        <f t="shared" si="151"/>
        <v>0.16497595231312881</v>
      </c>
      <c r="AZ132" s="153">
        <f t="shared" si="178"/>
        <v>10.214822077834988</v>
      </c>
      <c r="BA132" s="147">
        <f t="shared" si="232"/>
        <v>17.910795069528412</v>
      </c>
      <c r="BB132" s="147">
        <f t="shared" si="233"/>
        <v>1.3902511170370375</v>
      </c>
      <c r="BC132" s="5">
        <f t="shared" si="258"/>
        <v>0.66901073570290226</v>
      </c>
      <c r="BD132" s="147">
        <f t="shared" si="235"/>
        <v>17.488427398161601</v>
      </c>
      <c r="BF132" s="153">
        <f t="shared" si="179"/>
        <v>0.35933669086329723</v>
      </c>
      <c r="BG132" s="153">
        <f t="shared" si="156"/>
        <v>0.23850221553242432</v>
      </c>
      <c r="BI132" s="463">
        <f t="shared" si="236"/>
        <v>1.4203514314064331E-2</v>
      </c>
      <c r="BJ132" s="463">
        <f t="shared" si="237"/>
        <v>3.0157719114312642E-2</v>
      </c>
      <c r="BK132" s="463">
        <f t="shared" si="238"/>
        <v>1.7499999999999998E-2</v>
      </c>
      <c r="BL132" s="463">
        <f t="shared" si="239"/>
        <v>2.18575035E-2</v>
      </c>
      <c r="BM132">
        <f t="shared" si="240"/>
        <v>2.6099999999999999E-3</v>
      </c>
      <c r="BN132">
        <f t="shared" si="241"/>
        <v>1.4E-5</v>
      </c>
      <c r="BO132" s="463">
        <f t="shared" si="242"/>
        <v>8.8492109215190851E-2</v>
      </c>
      <c r="BP132" s="147">
        <f t="shared" si="243"/>
        <v>86.328736928376969</v>
      </c>
      <c r="BQ132" s="463">
        <f t="shared" si="244"/>
        <v>5.0711769281160099E-2</v>
      </c>
      <c r="BT132" s="147">
        <f t="shared" si="245"/>
        <v>50.711769281160102</v>
      </c>
      <c r="BU132" s="463">
        <f t="shared" si="246"/>
        <v>1.097544287904971E-2</v>
      </c>
      <c r="BV132" s="463">
        <f t="shared" si="247"/>
        <v>1.0807828294636246E-2</v>
      </c>
      <c r="BW132" s="463">
        <f t="shared" si="248"/>
        <v>0</v>
      </c>
      <c r="BX132" s="463"/>
      <c r="BY132" s="463">
        <f t="shared" si="249"/>
        <v>0.18724444444444452</v>
      </c>
      <c r="BZ132" s="147">
        <f t="shared" si="250"/>
        <v>209.02771561813046</v>
      </c>
      <c r="CA132" s="153">
        <f t="shared" si="251"/>
        <v>0.34606822182766755</v>
      </c>
      <c r="CB132" s="5">
        <f t="shared" si="252"/>
        <v>1.65</v>
      </c>
      <c r="CC132" s="153">
        <f t="shared" si="253"/>
        <v>0.82662505317037915</v>
      </c>
      <c r="CD132" s="5">
        <f t="shared" si="254"/>
        <v>82.662505317037912</v>
      </c>
      <c r="CG132" s="59">
        <f t="shared" si="255"/>
        <v>-50</v>
      </c>
      <c r="CH132">
        <f t="shared" si="256"/>
        <v>-50</v>
      </c>
    </row>
    <row r="133" spans="5:86" x14ac:dyDescent="0.25">
      <c r="E133" s="150">
        <v>23</v>
      </c>
      <c r="F133" s="191">
        <f t="shared" si="257"/>
        <v>0.115</v>
      </c>
      <c r="G133" s="191"/>
      <c r="H133" s="191">
        <f t="shared" si="201"/>
        <v>1.7250000000000001</v>
      </c>
      <c r="I133" s="472">
        <f t="shared" si="202"/>
        <v>9</v>
      </c>
      <c r="J133" s="386">
        <f t="shared" si="203"/>
        <v>7.66</v>
      </c>
      <c r="K133" s="386">
        <f t="shared" si="204"/>
        <v>16.66</v>
      </c>
      <c r="L133" s="386"/>
      <c r="M133" s="191">
        <f t="shared" si="205"/>
        <v>0.45978391356542619</v>
      </c>
      <c r="N133" s="152">
        <f t="shared" si="206"/>
        <v>7.6905756302521011</v>
      </c>
      <c r="O133" s="152">
        <f t="shared" si="173"/>
        <v>1.7250000000000001</v>
      </c>
      <c r="P133" s="191">
        <f t="shared" si="207"/>
        <v>0.51270504201680678</v>
      </c>
      <c r="Q133" s="191">
        <f t="shared" si="208"/>
        <v>15</v>
      </c>
      <c r="R133" s="191"/>
      <c r="S133" s="152">
        <f t="shared" si="209"/>
        <v>126.43674571638954</v>
      </c>
      <c r="T133" s="152">
        <f t="shared" si="210"/>
        <v>15</v>
      </c>
      <c r="U133" s="191">
        <f t="shared" si="211"/>
        <v>0.92636108693549946</v>
      </c>
      <c r="V133" s="191">
        <f t="shared" si="212"/>
        <v>0.92636108693549946</v>
      </c>
      <c r="W133" s="191">
        <f t="shared" si="213"/>
        <v>1.0884138097153386</v>
      </c>
      <c r="X133" s="175">
        <f t="shared" si="214"/>
        <v>350</v>
      </c>
      <c r="Y133" s="386">
        <f t="shared" si="215"/>
        <v>350</v>
      </c>
      <c r="AA133" s="191">
        <f t="shared" si="216"/>
        <v>1.3136683244726464</v>
      </c>
      <c r="AB133" s="153">
        <f t="shared" si="217"/>
        <v>1.5434745326702111</v>
      </c>
      <c r="AC133" s="153">
        <f t="shared" si="218"/>
        <v>0.17741619027991926</v>
      </c>
      <c r="AD133" s="153"/>
      <c r="AE133" s="153">
        <f t="shared" si="219"/>
        <v>0.96344647519582249</v>
      </c>
      <c r="AF133" s="317">
        <f t="shared" si="220"/>
        <v>582.25923722651874</v>
      </c>
      <c r="AG133" s="463">
        <f t="shared" si="221"/>
        <v>6.9127284595300251E-2</v>
      </c>
      <c r="AI133" s="153">
        <f t="shared" si="222"/>
        <v>1.0576403805657075</v>
      </c>
      <c r="AJ133" s="153">
        <f t="shared" si="223"/>
        <v>1.0576403805657075</v>
      </c>
      <c r="AK133" s="153">
        <f t="shared" si="224"/>
        <v>1.3584269203771384</v>
      </c>
      <c r="AM133" s="317">
        <f t="shared" si="225"/>
        <v>115</v>
      </c>
      <c r="AN133" s="147">
        <f t="shared" si="226"/>
        <v>350</v>
      </c>
      <c r="AP133" s="147">
        <f t="shared" si="227"/>
        <v>115</v>
      </c>
      <c r="AQ133" s="147">
        <f t="shared" si="228"/>
        <v>350</v>
      </c>
      <c r="AS133" s="5">
        <f t="shared" si="175"/>
        <v>2.8571428571428572</v>
      </c>
      <c r="AT133" s="5">
        <f t="shared" si="229"/>
        <v>1.0576403805657077</v>
      </c>
      <c r="AU133" s="5">
        <f t="shared" si="230"/>
        <v>1.7995024765771495</v>
      </c>
      <c r="AV133" s="5"/>
      <c r="AW133" s="153">
        <f t="shared" si="231"/>
        <v>0.37017413319799769</v>
      </c>
      <c r="AX133" s="153">
        <f t="shared" ref="AX133:AX196" si="259">0.5*L*AJ133^2*AN133*1000</f>
        <v>1.7618</v>
      </c>
      <c r="AY133" s="153">
        <f t="shared" ref="AY133:AY196" si="260">AJ133*Nps/2*(1-AW133)</f>
        <v>0.16653231736364907</v>
      </c>
      <c r="AZ133" s="153">
        <f t="shared" si="178"/>
        <v>10.579327952020492</v>
      </c>
      <c r="BA133" s="147">
        <f t="shared" si="232"/>
        <v>17.910795069528412</v>
      </c>
      <c r="BB133" s="147">
        <f t="shared" si="233"/>
        <v>1.5038281837037042</v>
      </c>
      <c r="BC133" s="5">
        <f t="shared" si="258"/>
        <v>0.69049978247037758</v>
      </c>
      <c r="BD133" s="147">
        <f t="shared" si="235"/>
        <v>18.058315219391602</v>
      </c>
      <c r="BF133" s="153">
        <f t="shared" si="179"/>
        <v>0.37151848789854258</v>
      </c>
      <c r="BG133" s="153">
        <f t="shared" ref="BG133:BG196" si="261">AJ133*Nps*SQRT((1-AW133)/3)</f>
        <v>0.24230236173906011</v>
      </c>
      <c r="BI133" s="463">
        <f t="shared" si="236"/>
        <v>1.5182858553546149E-2</v>
      </c>
      <c r="BJ133" s="463">
        <f t="shared" si="237"/>
        <v>3.0835505295393206E-2</v>
      </c>
      <c r="BK133" s="463">
        <f t="shared" si="238"/>
        <v>1.7499999999999998E-2</v>
      </c>
      <c r="BL133" s="463">
        <f t="shared" si="239"/>
        <v>2.18575035E-2</v>
      </c>
      <c r="BM133">
        <f t="shared" si="240"/>
        <v>2.6099999999999999E-3</v>
      </c>
      <c r="BN133">
        <f t="shared" si="241"/>
        <v>1.4E-5</v>
      </c>
      <c r="BO133" s="463">
        <f t="shared" si="242"/>
        <v>9.0302512027957318E-2</v>
      </c>
      <c r="BP133" s="147">
        <f t="shared" si="243"/>
        <v>87.985867348939365</v>
      </c>
      <c r="BQ133" s="463">
        <f t="shared" si="244"/>
        <v>5.2900954392261071E-2</v>
      </c>
      <c r="BT133" s="147">
        <f t="shared" si="245"/>
        <v>52.90095439226107</v>
      </c>
      <c r="BU133" s="463">
        <f t="shared" si="246"/>
        <v>1.173220888228566E-2</v>
      </c>
      <c r="BV133" s="463">
        <f t="shared" si="247"/>
        <v>1.1154982555822006E-2</v>
      </c>
      <c r="BW133" s="463">
        <f t="shared" si="248"/>
        <v>0</v>
      </c>
      <c r="BX133" s="463"/>
      <c r="BY133" s="463">
        <f t="shared" si="249"/>
        <v>0.1957555555555556</v>
      </c>
      <c r="BZ133" s="147">
        <f t="shared" si="250"/>
        <v>218.64274699366325</v>
      </c>
      <c r="CA133" s="153">
        <f t="shared" si="251"/>
        <v>0.35952956873486369</v>
      </c>
      <c r="CB133" s="5">
        <f t="shared" si="252"/>
        <v>1.7250000000000001</v>
      </c>
      <c r="CC133" s="153">
        <f t="shared" si="253"/>
        <v>0.82752484103496382</v>
      </c>
      <c r="CD133" s="5">
        <f t="shared" si="254"/>
        <v>82.752484103496386</v>
      </c>
      <c r="CG133" s="59">
        <f t="shared" si="255"/>
        <v>-50</v>
      </c>
      <c r="CH133">
        <f t="shared" si="256"/>
        <v>-50</v>
      </c>
    </row>
    <row r="134" spans="5:86" x14ac:dyDescent="0.25">
      <c r="E134" s="150">
        <v>24</v>
      </c>
      <c r="F134" s="191">
        <f t="shared" si="257"/>
        <v>0.12</v>
      </c>
      <c r="G134" s="191"/>
      <c r="H134" s="191">
        <f t="shared" si="201"/>
        <v>1.7999999999999998</v>
      </c>
      <c r="I134" s="472">
        <f t="shared" si="202"/>
        <v>9</v>
      </c>
      <c r="J134" s="386">
        <f t="shared" si="203"/>
        <v>7.66</v>
      </c>
      <c r="K134" s="386">
        <f t="shared" si="204"/>
        <v>16.66</v>
      </c>
      <c r="L134" s="386"/>
      <c r="M134" s="191">
        <f t="shared" si="205"/>
        <v>0.45978391356542619</v>
      </c>
      <c r="N134" s="152">
        <f t="shared" si="206"/>
        <v>7.6905756302521011</v>
      </c>
      <c r="O134" s="152">
        <f t="shared" ref="O134:O197" si="262">T134*F134</f>
        <v>1.7999999999999998</v>
      </c>
      <c r="P134" s="191">
        <f t="shared" si="207"/>
        <v>0.51270504201680678</v>
      </c>
      <c r="Q134" s="191">
        <f t="shared" si="208"/>
        <v>15</v>
      </c>
      <c r="R134" s="191"/>
      <c r="S134" s="152">
        <f t="shared" si="209"/>
        <v>120.42270474549284</v>
      </c>
      <c r="T134" s="152">
        <f t="shared" si="210"/>
        <v>15</v>
      </c>
      <c r="U134" s="191">
        <f t="shared" si="211"/>
        <v>0.96663765593269502</v>
      </c>
      <c r="V134" s="191">
        <f t="shared" si="212"/>
        <v>0.96663765593269502</v>
      </c>
      <c r="W134" s="191">
        <f t="shared" si="213"/>
        <v>1.1357361492681795</v>
      </c>
      <c r="X134" s="175">
        <f t="shared" si="214"/>
        <v>350</v>
      </c>
      <c r="Y134" s="386">
        <f t="shared" si="215"/>
        <v>350</v>
      </c>
      <c r="AA134" s="191">
        <f t="shared" si="216"/>
        <v>1.3136683244726464</v>
      </c>
      <c r="AB134" s="153">
        <f t="shared" si="217"/>
        <v>1.5434745326702111</v>
      </c>
      <c r="AC134" s="153">
        <f t="shared" si="218"/>
        <v>0.17741619027991926</v>
      </c>
      <c r="AD134" s="153"/>
      <c r="AE134" s="153">
        <f t="shared" si="219"/>
        <v>0.96344647519582249</v>
      </c>
      <c r="AF134" s="317">
        <f t="shared" si="220"/>
        <v>607.57485623636728</v>
      </c>
      <c r="AG134" s="463">
        <f t="shared" si="221"/>
        <v>6.9127284595300251E-2</v>
      </c>
      <c r="AI134" s="153">
        <f t="shared" si="222"/>
        <v>1.080387937380872</v>
      </c>
      <c r="AJ134" s="153">
        <f t="shared" si="223"/>
        <v>1.080387937380872</v>
      </c>
      <c r="AK134" s="153">
        <f t="shared" si="224"/>
        <v>1.3735919582539147</v>
      </c>
      <c r="AM134" s="317">
        <f t="shared" si="225"/>
        <v>120</v>
      </c>
      <c r="AN134" s="147">
        <f t="shared" si="226"/>
        <v>350</v>
      </c>
      <c r="AP134" s="147">
        <f t="shared" si="227"/>
        <v>120</v>
      </c>
      <c r="AQ134" s="147">
        <f t="shared" si="228"/>
        <v>350</v>
      </c>
      <c r="AS134" s="5">
        <f t="shared" ref="AS134:AS197" si="263">1/AN134*1000</f>
        <v>2.8571428571428572</v>
      </c>
      <c r="AT134" s="5">
        <f t="shared" si="229"/>
        <v>1.0803879373808722</v>
      </c>
      <c r="AU134" s="5">
        <f t="shared" si="230"/>
        <v>1.776754919761985</v>
      </c>
      <c r="AV134" s="5"/>
      <c r="AW134" s="153">
        <f t="shared" si="231"/>
        <v>0.37813577808330529</v>
      </c>
      <c r="AX134" s="153">
        <f t="shared" si="259"/>
        <v>1.8383999999999996</v>
      </c>
      <c r="AY134" s="153">
        <f t="shared" si="260"/>
        <v>0.16796365101188468</v>
      </c>
      <c r="AZ134" s="153">
        <f t="shared" ref="AZ134:AZ197" si="264">AX134/AY134</f>
        <v>10.945225284903572</v>
      </c>
      <c r="BA134" s="147">
        <f t="shared" si="232"/>
        <v>17.910795069528412</v>
      </c>
      <c r="BB134" s="147">
        <f t="shared" si="233"/>
        <v>1.6217864533333337</v>
      </c>
      <c r="BC134" s="5">
        <f t="shared" si="258"/>
        <v>0.71141338128608</v>
      </c>
      <c r="BD134" s="147">
        <f t="shared" si="235"/>
        <v>18.613686058201868</v>
      </c>
      <c r="BF134" s="153">
        <f t="shared" ref="BF134:BF197" si="265">AJ134*SQRT(AW134/3)</f>
        <v>0.38356854465720214</v>
      </c>
      <c r="BG134" s="153">
        <f t="shared" si="261"/>
        <v>0.24594437207878989</v>
      </c>
      <c r="BI134" s="463">
        <f t="shared" si="236"/>
        <v>1.6183731129548851E-2</v>
      </c>
      <c r="BJ134" s="463">
        <f t="shared" si="237"/>
        <v>3.1498710314339325E-2</v>
      </c>
      <c r="BK134" s="463">
        <f t="shared" si="238"/>
        <v>1.7499999999999998E-2</v>
      </c>
      <c r="BL134" s="463">
        <f t="shared" si="239"/>
        <v>2.18575035E-2</v>
      </c>
      <c r="BM134">
        <f t="shared" si="240"/>
        <v>2.6099999999999999E-3</v>
      </c>
      <c r="BN134">
        <f t="shared" si="241"/>
        <v>1.4E-5</v>
      </c>
      <c r="BO134" s="463">
        <f t="shared" si="242"/>
        <v>9.2123821015541604E-2</v>
      </c>
      <c r="BP134" s="147">
        <f t="shared" si="243"/>
        <v>89.649944943888173</v>
      </c>
      <c r="BQ134" s="463">
        <f t="shared" si="244"/>
        <v>5.5082663299224781E-2</v>
      </c>
      <c r="BT134" s="147">
        <f t="shared" si="245"/>
        <v>55.082663299224784</v>
      </c>
      <c r="BU134" s="463">
        <f t="shared" si="246"/>
        <v>1.2505610418287749E-2</v>
      </c>
      <c r="BV134" s="463">
        <f t="shared" si="247"/>
        <v>1.1492840489873746E-2</v>
      </c>
      <c r="BW134" s="463">
        <f t="shared" si="248"/>
        <v>0</v>
      </c>
      <c r="BX134" s="463"/>
      <c r="BY134" s="463">
        <f t="shared" si="249"/>
        <v>0.20426666666666662</v>
      </c>
      <c r="BZ134" s="147">
        <f t="shared" si="250"/>
        <v>228.26511757482811</v>
      </c>
      <c r="CA134" s="153">
        <f t="shared" si="251"/>
        <v>0.37299772581794111</v>
      </c>
      <c r="CB134" s="5">
        <f t="shared" si="252"/>
        <v>1.7999999999999998</v>
      </c>
      <c r="CC134" s="153">
        <f t="shared" si="253"/>
        <v>0.8283487730399991</v>
      </c>
      <c r="CD134" s="5">
        <f t="shared" si="254"/>
        <v>82.834877303999903</v>
      </c>
      <c r="CG134" s="59">
        <f t="shared" si="255"/>
        <v>-50</v>
      </c>
      <c r="CH134">
        <f t="shared" si="256"/>
        <v>-50</v>
      </c>
    </row>
    <row r="135" spans="5:86" x14ac:dyDescent="0.25">
      <c r="E135" s="150">
        <v>25</v>
      </c>
      <c r="F135" s="191">
        <f t="shared" si="257"/>
        <v>0.125</v>
      </c>
      <c r="G135" s="191"/>
      <c r="H135" s="191">
        <f t="shared" si="201"/>
        <v>1.875</v>
      </c>
      <c r="I135" s="472">
        <f t="shared" si="202"/>
        <v>9</v>
      </c>
      <c r="J135" s="386">
        <f t="shared" si="203"/>
        <v>7.66</v>
      </c>
      <c r="K135" s="386">
        <f t="shared" si="204"/>
        <v>16.66</v>
      </c>
      <c r="L135" s="386"/>
      <c r="M135" s="191">
        <f t="shared" si="205"/>
        <v>0.45978391356542619</v>
      </c>
      <c r="N135" s="152">
        <f t="shared" si="206"/>
        <v>7.6905756302521011</v>
      </c>
      <c r="O135" s="152">
        <f t="shared" si="262"/>
        <v>1.875</v>
      </c>
      <c r="P135" s="191">
        <f t="shared" si="207"/>
        <v>0.51270504201680678</v>
      </c>
      <c r="Q135" s="191">
        <f t="shared" si="208"/>
        <v>15</v>
      </c>
      <c r="R135" s="191"/>
      <c r="S135" s="152">
        <f t="shared" si="209"/>
        <v>114.88999566198143</v>
      </c>
      <c r="T135" s="152">
        <f t="shared" si="210"/>
        <v>15</v>
      </c>
      <c r="U135" s="191">
        <f t="shared" si="211"/>
        <v>1.0069142249298906</v>
      </c>
      <c r="V135" s="191">
        <f t="shared" si="212"/>
        <v>1.0069142249298906</v>
      </c>
      <c r="W135" s="191">
        <f t="shared" si="213"/>
        <v>1.1830584888210203</v>
      </c>
      <c r="X135" s="175">
        <f t="shared" si="214"/>
        <v>350</v>
      </c>
      <c r="Y135" s="386">
        <f t="shared" si="215"/>
        <v>350</v>
      </c>
      <c r="AA135" s="191">
        <f t="shared" si="216"/>
        <v>1.3136683244726464</v>
      </c>
      <c r="AB135" s="153">
        <f t="shared" si="217"/>
        <v>1.5434745326702111</v>
      </c>
      <c r="AC135" s="153">
        <f t="shared" si="218"/>
        <v>0.17741619027991926</v>
      </c>
      <c r="AD135" s="153"/>
      <c r="AE135" s="153">
        <f t="shared" si="219"/>
        <v>0.96344647519582249</v>
      </c>
      <c r="AF135" s="317">
        <f t="shared" si="220"/>
        <v>632.89047524621594</v>
      </c>
      <c r="AG135" s="463">
        <f t="shared" si="221"/>
        <v>6.9127284595300251E-2</v>
      </c>
      <c r="AI135" s="153">
        <f t="shared" si="222"/>
        <v>1.1026663211838004</v>
      </c>
      <c r="AJ135" s="153">
        <f t="shared" si="223"/>
        <v>1.1026663211838004</v>
      </c>
      <c r="AK135" s="153">
        <f t="shared" si="224"/>
        <v>1.3884442141225337</v>
      </c>
      <c r="AM135" s="317">
        <f t="shared" si="225"/>
        <v>125</v>
      </c>
      <c r="AN135" s="147">
        <f t="shared" si="226"/>
        <v>350</v>
      </c>
      <c r="AP135" s="147">
        <f t="shared" si="227"/>
        <v>125</v>
      </c>
      <c r="AQ135" s="147">
        <f t="shared" si="228"/>
        <v>350</v>
      </c>
      <c r="AS135" s="5">
        <f t="shared" si="263"/>
        <v>2.8571428571428572</v>
      </c>
      <c r="AT135" s="5">
        <f t="shared" si="229"/>
        <v>1.1026663211838004</v>
      </c>
      <c r="AU135" s="5">
        <f t="shared" si="230"/>
        <v>1.7544765359590568</v>
      </c>
      <c r="AV135" s="5"/>
      <c r="AW135" s="153">
        <f t="shared" si="231"/>
        <v>0.3859332124143301</v>
      </c>
      <c r="AX135" s="153">
        <f t="shared" si="259"/>
        <v>1.915</v>
      </c>
      <c r="AY135" s="153">
        <f t="shared" si="260"/>
        <v>0.1692776914070612</v>
      </c>
      <c r="AZ135" s="153">
        <f t="shared" si="264"/>
        <v>11.312772427850575</v>
      </c>
      <c r="BA135" s="147">
        <f t="shared" si="232"/>
        <v>17.910795069528412</v>
      </c>
      <c r="BB135" s="147">
        <f t="shared" si="233"/>
        <v>1.7441259259259265</v>
      </c>
      <c r="BC135" s="5">
        <f t="shared" si="258"/>
        <v>0.73176365363657692</v>
      </c>
      <c r="BD135" s="147">
        <f t="shared" si="235"/>
        <v>19.154845706639907</v>
      </c>
      <c r="BF135" s="153">
        <f t="shared" si="265"/>
        <v>0.39549369101743076</v>
      </c>
      <c r="BG135" s="153">
        <f t="shared" si="261"/>
        <v>0.24943723942928728</v>
      </c>
      <c r="BI135" s="463">
        <f t="shared" si="236"/>
        <v>1.720567855980501E-2</v>
      </c>
      <c r="BJ135" s="463">
        <f t="shared" si="237"/>
        <v>3.2148236594113699E-2</v>
      </c>
      <c r="BK135" s="463">
        <f t="shared" si="238"/>
        <v>1.7499999999999998E-2</v>
      </c>
      <c r="BL135" s="463">
        <f t="shared" si="239"/>
        <v>2.18575035E-2</v>
      </c>
      <c r="BM135">
        <f t="shared" si="240"/>
        <v>2.6099999999999999E-3</v>
      </c>
      <c r="BN135">
        <f t="shared" si="241"/>
        <v>1.4E-5</v>
      </c>
      <c r="BO135" s="463">
        <f t="shared" si="242"/>
        <v>9.3956445079939527E-2</v>
      </c>
      <c r="BP135" s="147">
        <f t="shared" si="243"/>
        <v>91.321418653918712</v>
      </c>
      <c r="BQ135" s="463">
        <f t="shared" si="244"/>
        <v>5.7257053484075025E-2</v>
      </c>
      <c r="BT135" s="147">
        <f t="shared" si="245"/>
        <v>57.257053484075023</v>
      </c>
      <c r="BU135" s="463">
        <f t="shared" si="246"/>
        <v>1.3295297068940235E-2</v>
      </c>
      <c r="BV135" s="463">
        <f t="shared" si="247"/>
        <v>1.1821597918679682E-2</v>
      </c>
      <c r="BW135" s="463">
        <f t="shared" si="248"/>
        <v>0</v>
      </c>
      <c r="BX135" s="463"/>
      <c r="BY135" s="463">
        <f t="shared" si="249"/>
        <v>0.21277777777777784</v>
      </c>
      <c r="BZ135" s="147">
        <f t="shared" si="250"/>
        <v>237.89467276539779</v>
      </c>
      <c r="CA135" s="153">
        <f t="shared" si="251"/>
        <v>0.38647314490339146</v>
      </c>
      <c r="CB135" s="5">
        <f t="shared" si="252"/>
        <v>1.875</v>
      </c>
      <c r="CC135" s="153">
        <f t="shared" si="253"/>
        <v>0.82910557847022259</v>
      </c>
      <c r="CD135" s="5">
        <f t="shared" si="254"/>
        <v>82.910557847022261</v>
      </c>
      <c r="CG135" s="59">
        <f t="shared" si="255"/>
        <v>-50</v>
      </c>
      <c r="CH135">
        <f t="shared" si="256"/>
        <v>-50</v>
      </c>
    </row>
    <row r="136" spans="5:86" x14ac:dyDescent="0.25">
      <c r="E136" s="150">
        <v>26</v>
      </c>
      <c r="F136" s="191">
        <f t="shared" si="257"/>
        <v>0.13</v>
      </c>
      <c r="G136" s="191"/>
      <c r="H136" s="191">
        <f t="shared" si="201"/>
        <v>1.9500000000000002</v>
      </c>
      <c r="I136" s="472">
        <f t="shared" si="202"/>
        <v>9</v>
      </c>
      <c r="J136" s="386">
        <f t="shared" si="203"/>
        <v>7.66</v>
      </c>
      <c r="K136" s="386">
        <f t="shared" si="204"/>
        <v>16.66</v>
      </c>
      <c r="L136" s="386"/>
      <c r="M136" s="191">
        <f t="shared" si="205"/>
        <v>0.45978391356542619</v>
      </c>
      <c r="N136" s="152">
        <f t="shared" si="206"/>
        <v>7.6905756302521011</v>
      </c>
      <c r="O136" s="152">
        <f t="shared" si="262"/>
        <v>1.9500000000000002</v>
      </c>
      <c r="P136" s="191">
        <f t="shared" si="207"/>
        <v>0.51270504201680678</v>
      </c>
      <c r="Q136" s="191">
        <f t="shared" si="208"/>
        <v>15</v>
      </c>
      <c r="R136" s="191"/>
      <c r="S136" s="152">
        <f t="shared" si="209"/>
        <v>109.78308384175938</v>
      </c>
      <c r="T136" s="152">
        <f t="shared" si="210"/>
        <v>15</v>
      </c>
      <c r="U136" s="191">
        <f t="shared" si="211"/>
        <v>1.0471907939270864</v>
      </c>
      <c r="V136" s="191">
        <f t="shared" si="212"/>
        <v>1.0471907939270864</v>
      </c>
      <c r="W136" s="191">
        <f t="shared" si="213"/>
        <v>1.2303808283738613</v>
      </c>
      <c r="X136" s="175">
        <f t="shared" si="214"/>
        <v>350</v>
      </c>
      <c r="Y136" s="386">
        <f t="shared" si="215"/>
        <v>350</v>
      </c>
      <c r="AA136" s="191">
        <f t="shared" si="216"/>
        <v>1.3136683244726464</v>
      </c>
      <c r="AB136" s="153">
        <f t="shared" si="217"/>
        <v>1.5434745326702111</v>
      </c>
      <c r="AC136" s="153">
        <f t="shared" si="218"/>
        <v>0.17741619027991926</v>
      </c>
      <c r="AD136" s="153"/>
      <c r="AE136" s="153">
        <f t="shared" si="219"/>
        <v>0.96344647519582249</v>
      </c>
      <c r="AF136" s="317">
        <f t="shared" si="220"/>
        <v>658.2060942560646</v>
      </c>
      <c r="AG136" s="463">
        <f t="shared" si="221"/>
        <v>6.9127284595300251E-2</v>
      </c>
      <c r="AI136" s="153">
        <f t="shared" si="222"/>
        <v>1.1245034177395534</v>
      </c>
      <c r="AJ136" s="153">
        <f t="shared" si="223"/>
        <v>1.1245034177395534</v>
      </c>
      <c r="AK136" s="153">
        <f t="shared" si="224"/>
        <v>1.4030022784930356</v>
      </c>
      <c r="AM136" s="317">
        <f t="shared" si="225"/>
        <v>130</v>
      </c>
      <c r="AN136" s="147">
        <f t="shared" si="226"/>
        <v>350</v>
      </c>
      <c r="AP136" s="147">
        <f t="shared" si="227"/>
        <v>130</v>
      </c>
      <c r="AQ136" s="147">
        <f t="shared" si="228"/>
        <v>350</v>
      </c>
      <c r="AS136" s="5">
        <f t="shared" si="263"/>
        <v>2.8571428571428572</v>
      </c>
      <c r="AT136" s="5">
        <f t="shared" si="229"/>
        <v>1.1245034177395534</v>
      </c>
      <c r="AU136" s="5">
        <f t="shared" si="230"/>
        <v>1.7326394394033038</v>
      </c>
      <c r="AV136" s="5"/>
      <c r="AW136" s="153">
        <f t="shared" si="231"/>
        <v>0.39357619620884371</v>
      </c>
      <c r="AX136" s="153">
        <f t="shared" si="259"/>
        <v>1.9916</v>
      </c>
      <c r="AY136" s="153">
        <f t="shared" si="260"/>
        <v>0.17048140999044389</v>
      </c>
      <c r="AZ136" s="153">
        <f t="shared" si="264"/>
        <v>11.6822121550475</v>
      </c>
      <c r="BA136" s="147">
        <f t="shared" si="232"/>
        <v>17.910795069528412</v>
      </c>
      <c r="BB136" s="147">
        <f t="shared" si="233"/>
        <v>1.8708466014814822</v>
      </c>
      <c r="BC136" s="5">
        <f t="shared" si="258"/>
        <v>0.75156198572715893</v>
      </c>
      <c r="BD136" s="147">
        <f t="shared" si="235"/>
        <v>19.682081407611911</v>
      </c>
      <c r="BF136" s="153">
        <f t="shared" si="265"/>
        <v>0.40730014474450643</v>
      </c>
      <c r="BG136" s="153">
        <f t="shared" si="261"/>
        <v>0.25278906107353105</v>
      </c>
      <c r="BI136" s="463">
        <f t="shared" si="236"/>
        <v>1.8248274869978549E-2</v>
      </c>
      <c r="BJ136" s="463">
        <f t="shared" si="237"/>
        <v>3.2784897144196683E-2</v>
      </c>
      <c r="BK136" s="463">
        <f t="shared" si="238"/>
        <v>1.7499999999999998E-2</v>
      </c>
      <c r="BL136" s="463">
        <f t="shared" si="239"/>
        <v>2.18575035E-2</v>
      </c>
      <c r="BM136">
        <f t="shared" si="240"/>
        <v>2.6099999999999999E-3</v>
      </c>
      <c r="BN136">
        <f t="shared" si="241"/>
        <v>1.4E-5</v>
      </c>
      <c r="BO136" s="463">
        <f t="shared" si="242"/>
        <v>9.5800735179985594E-2</v>
      </c>
      <c r="BP136" s="147">
        <f t="shared" si="243"/>
        <v>93.000675514175242</v>
      </c>
      <c r="BQ136" s="463">
        <f t="shared" si="244"/>
        <v>5.9424272876081242E-2</v>
      </c>
      <c r="BT136" s="147">
        <f t="shared" si="245"/>
        <v>59.42427287608124</v>
      </c>
      <c r="BU136" s="463">
        <f t="shared" si="246"/>
        <v>1.4100939672256152E-2</v>
      </c>
      <c r="BV136" s="463">
        <f t="shared" si="247"/>
        <v>1.2141438785703108E-2</v>
      </c>
      <c r="BW136" s="463">
        <f t="shared" si="248"/>
        <v>0</v>
      </c>
      <c r="BX136" s="463"/>
      <c r="BY136" s="463">
        <f t="shared" si="249"/>
        <v>0.22128888888888895</v>
      </c>
      <c r="BZ136" s="147">
        <f t="shared" si="250"/>
        <v>247.53126734684821</v>
      </c>
      <c r="CA136" s="153">
        <f t="shared" si="251"/>
        <v>0.39995621573710471</v>
      </c>
      <c r="CB136" s="5">
        <f t="shared" si="252"/>
        <v>1.9500000000000002</v>
      </c>
      <c r="CC136" s="153">
        <f t="shared" si="253"/>
        <v>0.82980269459546019</v>
      </c>
      <c r="CD136" s="5">
        <f t="shared" si="254"/>
        <v>82.980269459546022</v>
      </c>
      <c r="CG136" s="59">
        <f t="shared" si="255"/>
        <v>-50</v>
      </c>
      <c r="CH136">
        <f t="shared" si="256"/>
        <v>-50</v>
      </c>
    </row>
    <row r="137" spans="5:86" x14ac:dyDescent="0.25">
      <c r="E137" s="150">
        <v>27</v>
      </c>
      <c r="F137" s="191">
        <f t="shared" si="257"/>
        <v>0.13500000000000001</v>
      </c>
      <c r="G137" s="191"/>
      <c r="H137" s="191">
        <f t="shared" si="201"/>
        <v>2.0250000000000004</v>
      </c>
      <c r="I137" s="472">
        <f t="shared" si="202"/>
        <v>9</v>
      </c>
      <c r="J137" s="386">
        <f t="shared" si="203"/>
        <v>7.66</v>
      </c>
      <c r="K137" s="386">
        <f t="shared" si="204"/>
        <v>16.66</v>
      </c>
      <c r="L137" s="386"/>
      <c r="M137" s="191">
        <f t="shared" si="205"/>
        <v>0.45978391356542619</v>
      </c>
      <c r="N137" s="152">
        <f t="shared" si="206"/>
        <v>7.6905756302521011</v>
      </c>
      <c r="O137" s="152">
        <f t="shared" si="262"/>
        <v>2.0250000000000004</v>
      </c>
      <c r="P137" s="191">
        <f t="shared" si="207"/>
        <v>0.51270504201680678</v>
      </c>
      <c r="Q137" s="191">
        <f t="shared" si="208"/>
        <v>15</v>
      </c>
      <c r="R137" s="191"/>
      <c r="S137" s="152">
        <f t="shared" si="209"/>
        <v>105.05466209699158</v>
      </c>
      <c r="T137" s="152">
        <f t="shared" si="210"/>
        <v>15</v>
      </c>
      <c r="U137" s="191">
        <f t="shared" si="211"/>
        <v>1.0874673629242821</v>
      </c>
      <c r="V137" s="191">
        <f t="shared" si="212"/>
        <v>1.0874673629242821</v>
      </c>
      <c r="W137" s="191">
        <f t="shared" si="213"/>
        <v>1.2777031679267021</v>
      </c>
      <c r="X137" s="175">
        <f t="shared" si="214"/>
        <v>350</v>
      </c>
      <c r="Y137" s="386">
        <f t="shared" si="215"/>
        <v>350</v>
      </c>
      <c r="AA137" s="191">
        <f t="shared" si="216"/>
        <v>1.3136683244726464</v>
      </c>
      <c r="AB137" s="153">
        <f t="shared" si="217"/>
        <v>1.5434745326702111</v>
      </c>
      <c r="AC137" s="153">
        <f t="shared" si="218"/>
        <v>0.17741619027991926</v>
      </c>
      <c r="AD137" s="153"/>
      <c r="AE137" s="153">
        <f t="shared" si="219"/>
        <v>0.96344647519582249</v>
      </c>
      <c r="AF137" s="317">
        <f t="shared" si="220"/>
        <v>683.52171326591326</v>
      </c>
      <c r="AG137" s="463">
        <f t="shared" si="221"/>
        <v>6.9127284595300251E-2</v>
      </c>
      <c r="AI137" s="153">
        <f t="shared" si="222"/>
        <v>1.1459244552512426</v>
      </c>
      <c r="AJ137" s="153">
        <f t="shared" si="223"/>
        <v>1.1459244552512426</v>
      </c>
      <c r="AK137" s="153">
        <f t="shared" si="224"/>
        <v>1.4172829701674952</v>
      </c>
      <c r="AM137" s="317">
        <f t="shared" si="225"/>
        <v>135</v>
      </c>
      <c r="AN137" s="147">
        <f t="shared" si="226"/>
        <v>350</v>
      </c>
      <c r="AP137" s="147">
        <f t="shared" si="227"/>
        <v>135</v>
      </c>
      <c r="AQ137" s="147">
        <f t="shared" si="228"/>
        <v>350</v>
      </c>
      <c r="AS137" s="5">
        <f t="shared" si="263"/>
        <v>2.8571428571428572</v>
      </c>
      <c r="AT137" s="5">
        <f t="shared" si="229"/>
        <v>1.1459244552512426</v>
      </c>
      <c r="AU137" s="5">
        <f t="shared" si="230"/>
        <v>1.7112184018916146</v>
      </c>
      <c r="AV137" s="5"/>
      <c r="AW137" s="153">
        <f t="shared" si="231"/>
        <v>0.40107355933793493</v>
      </c>
      <c r="AX137" s="153">
        <f t="shared" si="259"/>
        <v>2.0682</v>
      </c>
      <c r="AY137" s="153">
        <f t="shared" si="260"/>
        <v>0.17158111381281066</v>
      </c>
      <c r="AZ137" s="153">
        <f t="shared" si="264"/>
        <v>12.053774183190919</v>
      </c>
      <c r="BA137" s="147">
        <f t="shared" si="232"/>
        <v>17.910795069528412</v>
      </c>
      <c r="BB137" s="147">
        <f t="shared" si="233"/>
        <v>2.0019484800000011</v>
      </c>
      <c r="BC137" s="5">
        <f t="shared" si="258"/>
        <v>0.77081909995117781</v>
      </c>
      <c r="BD137" s="147">
        <f t="shared" si="235"/>
        <v>20.195663657859264</v>
      </c>
      <c r="BF137" s="153">
        <f t="shared" si="265"/>
        <v>0.41899358771285555</v>
      </c>
      <c r="BG137" s="153">
        <f t="shared" si="261"/>
        <v>0.25600715769768789</v>
      </c>
      <c r="BI137" s="463">
        <f t="shared" si="236"/>
        <v>1.9311118919893944E-2</v>
      </c>
      <c r="BJ137" s="463">
        <f t="shared" si="237"/>
        <v>3.3409427492849982E-2</v>
      </c>
      <c r="BK137" s="463">
        <f t="shared" si="238"/>
        <v>1.7499999999999998E-2</v>
      </c>
      <c r="BL137" s="463">
        <f t="shared" si="239"/>
        <v>2.18575035E-2</v>
      </c>
      <c r="BM137">
        <f t="shared" si="240"/>
        <v>2.6099999999999999E-3</v>
      </c>
      <c r="BN137">
        <f t="shared" si="241"/>
        <v>1.4E-5</v>
      </c>
      <c r="BO137" s="463">
        <f t="shared" si="242"/>
        <v>9.7656993208729406E-2</v>
      </c>
      <c r="BP137" s="147">
        <f t="shared" si="243"/>
        <v>94.688049912743935</v>
      </c>
      <c r="BQ137" s="463">
        <f t="shared" si="244"/>
        <v>6.1584460780286183E-2</v>
      </c>
      <c r="BT137" s="147">
        <f t="shared" si="245"/>
        <v>61.584460780286186</v>
      </c>
      <c r="BU137" s="463">
        <f t="shared" si="246"/>
        <v>1.4922228256281684E-2</v>
      </c>
      <c r="BV137" s="463">
        <f t="shared" si="247"/>
        <v>1.245253631056528E-2</v>
      </c>
      <c r="BW137" s="463">
        <f t="shared" si="248"/>
        <v>0</v>
      </c>
      <c r="BX137" s="463"/>
      <c r="BY137" s="463">
        <f t="shared" si="249"/>
        <v>0.22980000000000003</v>
      </c>
      <c r="BZ137" s="147">
        <f t="shared" si="250"/>
        <v>257.17476456684699</v>
      </c>
      <c r="CA137" s="153">
        <f t="shared" si="251"/>
        <v>0.41344727525987712</v>
      </c>
      <c r="CB137" s="5">
        <f t="shared" si="252"/>
        <v>2.0250000000000004</v>
      </c>
      <c r="CC137" s="153">
        <f t="shared" si="253"/>
        <v>0.83044649787811631</v>
      </c>
      <c r="CD137" s="5">
        <f t="shared" si="254"/>
        <v>83.044649787811636</v>
      </c>
      <c r="CG137" s="59">
        <f t="shared" si="255"/>
        <v>-50</v>
      </c>
      <c r="CH137">
        <f t="shared" si="256"/>
        <v>-50</v>
      </c>
    </row>
    <row r="138" spans="5:86" x14ac:dyDescent="0.25">
      <c r="E138" s="150">
        <v>28</v>
      </c>
      <c r="F138" s="191">
        <f t="shared" si="257"/>
        <v>0.14000000000000001</v>
      </c>
      <c r="G138" s="191"/>
      <c r="H138" s="191">
        <f t="shared" si="201"/>
        <v>2.1</v>
      </c>
      <c r="I138" s="472">
        <f t="shared" si="202"/>
        <v>9</v>
      </c>
      <c r="J138" s="386">
        <f t="shared" si="203"/>
        <v>7.66</v>
      </c>
      <c r="K138" s="386">
        <f t="shared" si="204"/>
        <v>16.66</v>
      </c>
      <c r="L138" s="386"/>
      <c r="M138" s="191">
        <f t="shared" si="205"/>
        <v>0.45978391356542619</v>
      </c>
      <c r="N138" s="152">
        <f t="shared" si="206"/>
        <v>7.6905756302521011</v>
      </c>
      <c r="O138" s="152">
        <f t="shared" si="262"/>
        <v>2.1</v>
      </c>
      <c r="P138" s="191">
        <f t="shared" si="207"/>
        <v>0.51270504201680678</v>
      </c>
      <c r="Q138" s="191">
        <f t="shared" si="208"/>
        <v>15</v>
      </c>
      <c r="R138" s="191"/>
      <c r="S138" s="152">
        <f t="shared" si="209"/>
        <v>100.66418149344031</v>
      </c>
      <c r="T138" s="152">
        <f t="shared" si="210"/>
        <v>15</v>
      </c>
      <c r="U138" s="191">
        <f t="shared" si="211"/>
        <v>1.1277439319214777</v>
      </c>
      <c r="V138" s="191">
        <f t="shared" si="212"/>
        <v>1.1277439319214777</v>
      </c>
      <c r="W138" s="191">
        <f t="shared" si="213"/>
        <v>1.325025507479543</v>
      </c>
      <c r="X138" s="175">
        <f t="shared" si="214"/>
        <v>350</v>
      </c>
      <c r="Y138" s="386">
        <f t="shared" si="215"/>
        <v>350</v>
      </c>
      <c r="AA138" s="191">
        <f t="shared" si="216"/>
        <v>1.3136683244726464</v>
      </c>
      <c r="AB138" s="153">
        <f t="shared" si="217"/>
        <v>1.5434745326702111</v>
      </c>
      <c r="AC138" s="153">
        <f t="shared" si="218"/>
        <v>0.17741619027991926</v>
      </c>
      <c r="AD138" s="153"/>
      <c r="AE138" s="153">
        <f t="shared" si="219"/>
        <v>0.96344647519582249</v>
      </c>
      <c r="AF138" s="317">
        <f t="shared" si="220"/>
        <v>708.83733227576192</v>
      </c>
      <c r="AG138" s="463">
        <f t="shared" si="221"/>
        <v>6.9127284595300251E-2</v>
      </c>
      <c r="AI138" s="153">
        <f t="shared" si="222"/>
        <v>1.1669523459755236</v>
      </c>
      <c r="AJ138" s="153">
        <f t="shared" si="223"/>
        <v>1.1669523459755236</v>
      </c>
      <c r="AK138" s="153">
        <f t="shared" si="224"/>
        <v>1.4313015639836824</v>
      </c>
      <c r="AM138" s="317">
        <f t="shared" si="225"/>
        <v>140</v>
      </c>
      <c r="AN138" s="147">
        <f t="shared" si="226"/>
        <v>350</v>
      </c>
      <c r="AP138" s="147">
        <f t="shared" si="227"/>
        <v>140</v>
      </c>
      <c r="AQ138" s="147">
        <f t="shared" si="228"/>
        <v>350</v>
      </c>
      <c r="AS138" s="5">
        <f t="shared" si="263"/>
        <v>2.8571428571428572</v>
      </c>
      <c r="AT138" s="5">
        <f t="shared" si="229"/>
        <v>1.1669523459755236</v>
      </c>
      <c r="AU138" s="5">
        <f t="shared" si="230"/>
        <v>1.6901905111673337</v>
      </c>
      <c r="AV138" s="5"/>
      <c r="AW138" s="153">
        <f t="shared" si="231"/>
        <v>0.40843332109143321</v>
      </c>
      <c r="AX138" s="153">
        <f t="shared" si="259"/>
        <v>2.1448000000000005</v>
      </c>
      <c r="AY138" s="153">
        <f t="shared" si="260"/>
        <v>0.17258253093832532</v>
      </c>
      <c r="AZ138" s="153">
        <f t="shared" si="264"/>
        <v>12.427677287723133</v>
      </c>
      <c r="BA138" s="147">
        <f t="shared" si="232"/>
        <v>17.910795069528412</v>
      </c>
      <c r="BB138" s="147">
        <f t="shared" si="233"/>
        <v>2.1374315614814825</v>
      </c>
      <c r="BC138" s="5">
        <f t="shared" si="258"/>
        <v>0.78954511699508423</v>
      </c>
      <c r="BD138" s="147">
        <f t="shared" si="235"/>
        <v>20.695847774699217</v>
      </c>
      <c r="BF138" s="153">
        <f t="shared" si="265"/>
        <v>0.43057923017190447</v>
      </c>
      <c r="BG138" s="153">
        <f t="shared" si="261"/>
        <v>0.25909817274080504</v>
      </c>
      <c r="BI138" s="463">
        <f t="shared" si="236"/>
        <v>2.0393832080097287E-2</v>
      </c>
      <c r="BJ138" s="463">
        <f t="shared" si="237"/>
        <v>3.4022495646916388E-2</v>
      </c>
      <c r="BK138" s="463">
        <f t="shared" si="238"/>
        <v>1.7499999999999998E-2</v>
      </c>
      <c r="BL138" s="463">
        <f t="shared" si="239"/>
        <v>2.18575035E-2</v>
      </c>
      <c r="BM138">
        <f t="shared" si="240"/>
        <v>2.6099999999999999E-3</v>
      </c>
      <c r="BN138">
        <f t="shared" si="241"/>
        <v>1.4E-5</v>
      </c>
      <c r="BO138" s="463">
        <f t="shared" si="242"/>
        <v>9.9525479298684633E-2</v>
      </c>
      <c r="BP138" s="147">
        <f t="shared" si="243"/>
        <v>96.383831227013673</v>
      </c>
      <c r="BQ138" s="463">
        <f t="shared" si="244"/>
        <v>6.3737748684372958E-2</v>
      </c>
      <c r="BT138" s="147">
        <f t="shared" si="245"/>
        <v>63.73774868437296</v>
      </c>
      <c r="BU138" s="463">
        <f t="shared" si="246"/>
        <v>1.5758870243711542E-2</v>
      </c>
      <c r="BV138" s="463">
        <f t="shared" si="247"/>
        <v>1.275505399234857E-2</v>
      </c>
      <c r="BW138" s="463">
        <f t="shared" si="248"/>
        <v>0</v>
      </c>
      <c r="BX138" s="463"/>
      <c r="BY138" s="463">
        <f t="shared" si="249"/>
        <v>0.2383111111111112</v>
      </c>
      <c r="BZ138" s="147">
        <f t="shared" si="250"/>
        <v>266.82503534717125</v>
      </c>
      <c r="CA138" s="153">
        <f t="shared" si="251"/>
        <v>0.42694661525855793</v>
      </c>
      <c r="CB138" s="5">
        <f t="shared" si="252"/>
        <v>2.1</v>
      </c>
      <c r="CC138" s="153">
        <f t="shared" si="253"/>
        <v>0.83104248713427109</v>
      </c>
      <c r="CD138" s="5">
        <f t="shared" si="254"/>
        <v>83.104248713427111</v>
      </c>
      <c r="CG138" s="59">
        <f t="shared" si="255"/>
        <v>-50</v>
      </c>
      <c r="CH138">
        <f t="shared" si="256"/>
        <v>-50</v>
      </c>
    </row>
    <row r="139" spans="5:86" x14ac:dyDescent="0.25">
      <c r="E139" s="150">
        <v>29</v>
      </c>
      <c r="F139" s="191">
        <f t="shared" si="257"/>
        <v>0.14499999999999999</v>
      </c>
      <c r="G139" s="191"/>
      <c r="H139" s="191">
        <f t="shared" si="201"/>
        <v>2.1749999999999998</v>
      </c>
      <c r="I139" s="472">
        <f t="shared" si="202"/>
        <v>9</v>
      </c>
      <c r="J139" s="386">
        <f t="shared" si="203"/>
        <v>7.66</v>
      </c>
      <c r="K139" s="386">
        <f t="shared" si="204"/>
        <v>16.66</v>
      </c>
      <c r="L139" s="386"/>
      <c r="M139" s="191">
        <f t="shared" si="205"/>
        <v>0.45978391356542619</v>
      </c>
      <c r="N139" s="152">
        <f t="shared" si="206"/>
        <v>7.6905756302521011</v>
      </c>
      <c r="O139" s="152">
        <f t="shared" si="262"/>
        <v>2.1749999999999998</v>
      </c>
      <c r="P139" s="191">
        <f t="shared" si="207"/>
        <v>0.51270504201680678</v>
      </c>
      <c r="Q139" s="191">
        <f t="shared" si="208"/>
        <v>15</v>
      </c>
      <c r="R139" s="191"/>
      <c r="S139" s="152">
        <f t="shared" si="209"/>
        <v>96.576686136707664</v>
      </c>
      <c r="T139" s="152">
        <f t="shared" si="210"/>
        <v>15</v>
      </c>
      <c r="U139" s="191">
        <f t="shared" si="211"/>
        <v>1.168020500918673</v>
      </c>
      <c r="V139" s="191">
        <f t="shared" si="212"/>
        <v>1.1680205009186733</v>
      </c>
      <c r="W139" s="191">
        <f t="shared" si="213"/>
        <v>1.3723478470323835</v>
      </c>
      <c r="X139" s="175">
        <f t="shared" si="214"/>
        <v>350</v>
      </c>
      <c r="Y139" s="386">
        <f t="shared" si="215"/>
        <v>350</v>
      </c>
      <c r="AA139" s="191">
        <f t="shared" si="216"/>
        <v>1.3136683244726464</v>
      </c>
      <c r="AB139" s="153">
        <f t="shared" si="217"/>
        <v>1.5434745326702111</v>
      </c>
      <c r="AC139" s="153">
        <f t="shared" si="218"/>
        <v>0.17741619027991926</v>
      </c>
      <c r="AD139" s="153"/>
      <c r="AE139" s="153">
        <f t="shared" si="219"/>
        <v>0.96344647519582249</v>
      </c>
      <c r="AF139" s="317">
        <f t="shared" si="220"/>
        <v>734.15295128561047</v>
      </c>
      <c r="AG139" s="463">
        <f t="shared" si="221"/>
        <v>6.9127284595300251E-2</v>
      </c>
      <c r="AI139" s="153">
        <f t="shared" si="222"/>
        <v>1.1876079733702947</v>
      </c>
      <c r="AJ139" s="153">
        <f t="shared" si="223"/>
        <v>1.1876079733702947</v>
      </c>
      <c r="AK139" s="153">
        <f t="shared" si="224"/>
        <v>1.4450719822468632</v>
      </c>
      <c r="AM139" s="317">
        <f t="shared" si="225"/>
        <v>145</v>
      </c>
      <c r="AN139" s="147">
        <f t="shared" si="226"/>
        <v>350</v>
      </c>
      <c r="AP139" s="147">
        <f t="shared" si="227"/>
        <v>145</v>
      </c>
      <c r="AQ139" s="147">
        <f t="shared" si="228"/>
        <v>350</v>
      </c>
      <c r="AS139" s="5">
        <f t="shared" si="263"/>
        <v>2.8571428571428572</v>
      </c>
      <c r="AT139" s="5">
        <f t="shared" si="229"/>
        <v>1.1876079733702947</v>
      </c>
      <c r="AU139" s="5">
        <f t="shared" si="230"/>
        <v>1.6695348837725625</v>
      </c>
      <c r="AV139" s="5"/>
      <c r="AW139" s="153">
        <f t="shared" si="231"/>
        <v>0.4156627906796031</v>
      </c>
      <c r="AX139" s="153">
        <f t="shared" si="259"/>
        <v>2.2214000000000005</v>
      </c>
      <c r="AY139" s="153">
        <f t="shared" si="260"/>
        <v>0.17349088223146256</v>
      </c>
      <c r="AZ139" s="153">
        <f t="shared" si="264"/>
        <v>12.804131095698295</v>
      </c>
      <c r="BA139" s="147">
        <f t="shared" si="232"/>
        <v>17.910795069528412</v>
      </c>
      <c r="BB139" s="147">
        <f t="shared" si="233"/>
        <v>2.2772958459259267</v>
      </c>
      <c r="BC139" s="5">
        <f t="shared" si="258"/>
        <v>0.80774961010017188</v>
      </c>
      <c r="BD139" s="147">
        <f t="shared" si="235"/>
        <v>21.182875264900805</v>
      </c>
      <c r="BF139" s="153">
        <f t="shared" si="265"/>
        <v>0.44206186529043334</v>
      </c>
      <c r="BG139" s="153">
        <f t="shared" si="261"/>
        <v>0.26206815592203725</v>
      </c>
      <c r="BI139" s="463">
        <f t="shared" si="236"/>
        <v>2.1496056201846296E-2</v>
      </c>
      <c r="BJ139" s="463">
        <f t="shared" si="237"/>
        <v>3.4624710463610937E-2</v>
      </c>
      <c r="BK139" s="463">
        <f t="shared" si="238"/>
        <v>1.7499999999999998E-2</v>
      </c>
      <c r="BL139" s="463">
        <f t="shared" si="239"/>
        <v>2.18575035E-2</v>
      </c>
      <c r="BM139">
        <f t="shared" si="240"/>
        <v>2.6099999999999999E-3</v>
      </c>
      <c r="BN139">
        <f t="shared" si="241"/>
        <v>1.4E-5</v>
      </c>
      <c r="BO139" s="463">
        <f t="shared" si="242"/>
        <v>0.10140641787438083</v>
      </c>
      <c r="BP139" s="147">
        <f t="shared" si="243"/>
        <v>98.088270165457232</v>
      </c>
      <c r="BQ139" s="463">
        <f t="shared" si="244"/>
        <v>6.5884260963632035E-2</v>
      </c>
      <c r="BT139" s="147">
        <f t="shared" si="245"/>
        <v>65.88426096363203</v>
      </c>
      <c r="BU139" s="463">
        <f t="shared" si="246"/>
        <v>1.6610588883244865E-2</v>
      </c>
      <c r="BV139" s="463">
        <f t="shared" si="247"/>
        <v>1.3049146486191675E-2</v>
      </c>
      <c r="BW139" s="463">
        <f t="shared" si="248"/>
        <v>0</v>
      </c>
      <c r="BX139" s="463"/>
      <c r="BY139" s="463">
        <f t="shared" si="249"/>
        <v>0.24682222222222228</v>
      </c>
      <c r="BZ139" s="147">
        <f t="shared" si="250"/>
        <v>276.48195759165884</v>
      </c>
      <c r="CA139" s="153">
        <f t="shared" si="251"/>
        <v>0.44045448872074811</v>
      </c>
      <c r="CB139" s="5">
        <f t="shared" si="252"/>
        <v>2.1749999999999998</v>
      </c>
      <c r="CC139" s="153">
        <f t="shared" si="253"/>
        <v>0.83159542992614632</v>
      </c>
      <c r="CD139" s="5">
        <f t="shared" si="254"/>
        <v>83.159542992614632</v>
      </c>
      <c r="CG139" s="59">
        <f t="shared" si="255"/>
        <v>-50</v>
      </c>
      <c r="CH139">
        <f t="shared" si="256"/>
        <v>-50</v>
      </c>
    </row>
    <row r="140" spans="5:86" x14ac:dyDescent="0.25">
      <c r="E140" s="150">
        <v>30</v>
      </c>
      <c r="F140" s="191">
        <f t="shared" si="257"/>
        <v>0.15</v>
      </c>
      <c r="G140" s="191"/>
      <c r="H140" s="191">
        <f t="shared" si="201"/>
        <v>2.25</v>
      </c>
      <c r="I140" s="472">
        <f t="shared" si="202"/>
        <v>9</v>
      </c>
      <c r="J140" s="386">
        <f t="shared" si="203"/>
        <v>7.66</v>
      </c>
      <c r="K140" s="386">
        <f t="shared" si="204"/>
        <v>16.66</v>
      </c>
      <c r="L140" s="386"/>
      <c r="M140" s="191">
        <f t="shared" si="205"/>
        <v>0.45978391356542619</v>
      </c>
      <c r="N140" s="152">
        <f t="shared" si="206"/>
        <v>7.6905756302521011</v>
      </c>
      <c r="O140" s="152">
        <f t="shared" si="262"/>
        <v>2.25</v>
      </c>
      <c r="P140" s="191">
        <f t="shared" si="207"/>
        <v>0.51270504201680678</v>
      </c>
      <c r="Q140" s="191">
        <f t="shared" si="208"/>
        <v>15</v>
      </c>
      <c r="R140" s="191"/>
      <c r="S140" s="152">
        <f t="shared" si="209"/>
        <v>92.761881001308083</v>
      </c>
      <c r="T140" s="152">
        <f t="shared" si="210"/>
        <v>15</v>
      </c>
      <c r="U140" s="191">
        <f t="shared" si="211"/>
        <v>1.2082970699158688</v>
      </c>
      <c r="V140" s="191">
        <f t="shared" si="212"/>
        <v>1.208297069915869</v>
      </c>
      <c r="W140" s="191">
        <f t="shared" si="213"/>
        <v>1.4196701865852246</v>
      </c>
      <c r="X140" s="175">
        <f t="shared" si="214"/>
        <v>350</v>
      </c>
      <c r="Y140" s="386">
        <f t="shared" si="215"/>
        <v>350</v>
      </c>
      <c r="AA140" s="191">
        <f t="shared" si="216"/>
        <v>1.3136683244726464</v>
      </c>
      <c r="AB140" s="153">
        <f t="shared" si="217"/>
        <v>1.5434745326702111</v>
      </c>
      <c r="AC140" s="153">
        <f t="shared" si="218"/>
        <v>0.17741619027991926</v>
      </c>
      <c r="AD140" s="153"/>
      <c r="AE140" s="153">
        <f t="shared" si="219"/>
        <v>0.96344647519582249</v>
      </c>
      <c r="AF140" s="317">
        <f t="shared" si="220"/>
        <v>759.46857029545913</v>
      </c>
      <c r="AG140" s="463">
        <f t="shared" si="221"/>
        <v>6.9127284595300251E-2</v>
      </c>
      <c r="AI140" s="153">
        <f t="shared" si="222"/>
        <v>1.2079104350272081</v>
      </c>
      <c r="AJ140" s="153">
        <f t="shared" si="223"/>
        <v>1.2079104350272081</v>
      </c>
      <c r="AK140" s="153">
        <f t="shared" si="224"/>
        <v>1.4586069566848054</v>
      </c>
      <c r="AM140" s="317">
        <f t="shared" si="225"/>
        <v>150</v>
      </c>
      <c r="AN140" s="147">
        <f t="shared" si="226"/>
        <v>350</v>
      </c>
      <c r="AP140" s="147">
        <f t="shared" si="227"/>
        <v>150</v>
      </c>
      <c r="AQ140" s="147">
        <f t="shared" si="228"/>
        <v>350</v>
      </c>
      <c r="AS140" s="5">
        <f t="shared" si="263"/>
        <v>2.8571428571428572</v>
      </c>
      <c r="AT140" s="5">
        <f t="shared" si="229"/>
        <v>1.2079104350272081</v>
      </c>
      <c r="AU140" s="5">
        <f t="shared" si="230"/>
        <v>1.6492324221156491</v>
      </c>
      <c r="AV140" s="5"/>
      <c r="AW140" s="153">
        <f t="shared" si="231"/>
        <v>0.42276865225952281</v>
      </c>
      <c r="AX140" s="153">
        <f t="shared" si="259"/>
        <v>2.298</v>
      </c>
      <c r="AY140" s="153">
        <f t="shared" si="260"/>
        <v>0.17431094209013534</v>
      </c>
      <c r="AZ140" s="153">
        <f t="shared" si="264"/>
        <v>13.183337617507199</v>
      </c>
      <c r="BA140" s="147">
        <f t="shared" si="232"/>
        <v>17.910795069528412</v>
      </c>
      <c r="BB140" s="147">
        <f t="shared" si="233"/>
        <v>2.4215413333333342</v>
      </c>
      <c r="BC140" s="5">
        <f t="shared" si="258"/>
        <v>0.82544165271053505</v>
      </c>
      <c r="BD140" s="147">
        <f t="shared" si="235"/>
        <v>21.656975026712743</v>
      </c>
      <c r="BF140" s="153">
        <f t="shared" si="265"/>
        <v>0.4534459157338861</v>
      </c>
      <c r="BG140" s="153">
        <f t="shared" si="261"/>
        <v>0.26492263392048243</v>
      </c>
      <c r="BI140" s="463">
        <f t="shared" si="236"/>
        <v>2.2617451834531677E-2</v>
      </c>
      <c r="BJ140" s="463">
        <f t="shared" si="237"/>
        <v>3.521662873321825E-2</v>
      </c>
      <c r="BK140" s="463">
        <f t="shared" si="238"/>
        <v>1.7499999999999998E-2</v>
      </c>
      <c r="BL140" s="463">
        <f t="shared" si="239"/>
        <v>2.18575035E-2</v>
      </c>
      <c r="BM140">
        <f t="shared" si="240"/>
        <v>2.6099999999999999E-3</v>
      </c>
      <c r="BN140">
        <f t="shared" si="241"/>
        <v>1.4E-5</v>
      </c>
      <c r="BO140" s="463">
        <f t="shared" si="242"/>
        <v>0.10330000269856919</v>
      </c>
      <c r="BP140" s="147">
        <f t="shared" si="243"/>
        <v>99.801584067749928</v>
      </c>
      <c r="BQ140" s="463">
        <f t="shared" si="244"/>
        <v>6.8024115500002313E-2</v>
      </c>
      <c r="BT140" s="147">
        <f t="shared" si="245"/>
        <v>68.02411550000231</v>
      </c>
      <c r="BU140" s="463">
        <f t="shared" si="246"/>
        <v>1.7477121872138117E-2</v>
      </c>
      <c r="BV140" s="463">
        <f t="shared" si="247"/>
        <v>1.3334960373039531E-2</v>
      </c>
      <c r="BW140" s="463">
        <f t="shared" si="248"/>
        <v>0</v>
      </c>
      <c r="BX140" s="463"/>
      <c r="BY140" s="463">
        <f t="shared" si="249"/>
        <v>0.25533333333333336</v>
      </c>
      <c r="BZ140" s="147">
        <f t="shared" si="250"/>
        <v>286.14541557851101</v>
      </c>
      <c r="CA140" s="153">
        <f t="shared" si="251"/>
        <v>0.4539711151462632</v>
      </c>
      <c r="CB140" s="5">
        <f t="shared" si="252"/>
        <v>2.25</v>
      </c>
      <c r="CC140" s="153">
        <f t="shared" si="253"/>
        <v>0.83210948053278033</v>
      </c>
      <c r="CD140" s="5">
        <f t="shared" si="254"/>
        <v>83.210948053278031</v>
      </c>
      <c r="CG140" s="59">
        <f t="shared" si="255"/>
        <v>-50</v>
      </c>
      <c r="CH140">
        <f t="shared" si="256"/>
        <v>-50</v>
      </c>
    </row>
    <row r="141" spans="5:86" x14ac:dyDescent="0.25">
      <c r="E141" s="150">
        <v>31</v>
      </c>
      <c r="F141" s="191">
        <f t="shared" si="257"/>
        <v>0.155</v>
      </c>
      <c r="G141" s="191"/>
      <c r="H141" s="191">
        <f t="shared" si="201"/>
        <v>2.3250000000000002</v>
      </c>
      <c r="I141" s="472">
        <f t="shared" si="202"/>
        <v>9</v>
      </c>
      <c r="J141" s="386">
        <f t="shared" si="203"/>
        <v>7.66</v>
      </c>
      <c r="K141" s="386">
        <f t="shared" si="204"/>
        <v>16.66</v>
      </c>
      <c r="L141" s="386"/>
      <c r="M141" s="191">
        <f t="shared" si="205"/>
        <v>0.45978391356542619</v>
      </c>
      <c r="N141" s="152">
        <f t="shared" si="206"/>
        <v>7.6905756302521011</v>
      </c>
      <c r="O141" s="152">
        <f t="shared" si="262"/>
        <v>2.3250000000000002</v>
      </c>
      <c r="P141" s="191">
        <f t="shared" si="207"/>
        <v>0.51270504201680678</v>
      </c>
      <c r="Q141" s="191">
        <f t="shared" si="208"/>
        <v>15</v>
      </c>
      <c r="R141" s="191"/>
      <c r="S141" s="152">
        <f t="shared" si="209"/>
        <v>89.193380179999949</v>
      </c>
      <c r="T141" s="152">
        <f t="shared" si="210"/>
        <v>15</v>
      </c>
      <c r="U141" s="191">
        <f t="shared" si="211"/>
        <v>1.2485736389130646</v>
      </c>
      <c r="V141" s="191">
        <f t="shared" si="212"/>
        <v>1.2485736389130648</v>
      </c>
      <c r="W141" s="191">
        <f t="shared" si="213"/>
        <v>1.4669925261380654</v>
      </c>
      <c r="X141" s="175">
        <f t="shared" si="214"/>
        <v>350</v>
      </c>
      <c r="Y141" s="386">
        <f t="shared" si="215"/>
        <v>350</v>
      </c>
      <c r="AA141" s="191">
        <f t="shared" si="216"/>
        <v>1.3136683244726464</v>
      </c>
      <c r="AB141" s="153">
        <f t="shared" si="217"/>
        <v>1.5434745326702111</v>
      </c>
      <c r="AC141" s="153">
        <f t="shared" si="218"/>
        <v>0.17741619027991926</v>
      </c>
      <c r="AD141" s="153"/>
      <c r="AE141" s="153">
        <f t="shared" si="219"/>
        <v>0.96344647519582249</v>
      </c>
      <c r="AF141" s="317">
        <f t="shared" si="220"/>
        <v>784.78418930530779</v>
      </c>
      <c r="AG141" s="463">
        <f t="shared" si="221"/>
        <v>6.9127284595300251E-2</v>
      </c>
      <c r="AI141" s="153">
        <f t="shared" si="222"/>
        <v>1.2278772494360093</v>
      </c>
      <c r="AJ141" s="153">
        <f t="shared" si="223"/>
        <v>1.2278772494360093</v>
      </c>
      <c r="AK141" s="153">
        <f t="shared" si="224"/>
        <v>1.4719181662906728</v>
      </c>
      <c r="AM141" s="317">
        <f t="shared" si="225"/>
        <v>155</v>
      </c>
      <c r="AN141" s="147">
        <f t="shared" si="226"/>
        <v>350</v>
      </c>
      <c r="AP141" s="147">
        <f t="shared" si="227"/>
        <v>155</v>
      </c>
      <c r="AQ141" s="147">
        <f t="shared" si="228"/>
        <v>350</v>
      </c>
      <c r="AS141" s="5">
        <f t="shared" si="263"/>
        <v>2.8571428571428572</v>
      </c>
      <c r="AT141" s="5">
        <f t="shared" si="229"/>
        <v>1.2278772494360093</v>
      </c>
      <c r="AU141" s="5">
        <f t="shared" si="230"/>
        <v>1.6292656077068479</v>
      </c>
      <c r="AV141" s="5"/>
      <c r="AW141" s="153">
        <f t="shared" si="231"/>
        <v>0.42975703730260323</v>
      </c>
      <c r="AX141" s="153">
        <f t="shared" si="259"/>
        <v>2.3746</v>
      </c>
      <c r="AY141" s="153">
        <f t="shared" si="260"/>
        <v>0.1750470901367801</v>
      </c>
      <c r="AZ141" s="153">
        <f t="shared" si="264"/>
        <v>13.565492566283224</v>
      </c>
      <c r="BA141" s="147">
        <f t="shared" si="232"/>
        <v>17.910795069528412</v>
      </c>
      <c r="BB141" s="147">
        <f t="shared" si="233"/>
        <v>2.5701680237037046</v>
      </c>
      <c r="BC141" s="5">
        <f t="shared" si="258"/>
        <v>0.84262986050904709</v>
      </c>
      <c r="BD141" s="147">
        <f t="shared" si="235"/>
        <v>22.118364410316619</v>
      </c>
      <c r="BF141" s="153">
        <f t="shared" si="265"/>
        <v>0.46473547366461881</v>
      </c>
      <c r="BG141" s="153">
        <f t="shared" si="261"/>
        <v>0.26766667054312582</v>
      </c>
      <c r="BI141" s="463">
        <f t="shared" si="236"/>
        <v>2.3757696653050536E-2</v>
      </c>
      <c r="BJ141" s="463">
        <f t="shared" si="237"/>
        <v>3.5798761207306851E-2</v>
      </c>
      <c r="BK141" s="463">
        <f t="shared" si="238"/>
        <v>1.7499999999999998E-2</v>
      </c>
      <c r="BL141" s="463">
        <f t="shared" si="239"/>
        <v>2.18575035E-2</v>
      </c>
      <c r="BM141">
        <f t="shared" si="240"/>
        <v>2.6099999999999999E-3</v>
      </c>
      <c r="BN141">
        <f t="shared" si="241"/>
        <v>1.4E-5</v>
      </c>
      <c r="BO141" s="463">
        <f t="shared" si="242"/>
        <v>0.1052064011038637</v>
      </c>
      <c r="BP141" s="147">
        <f t="shared" si="243"/>
        <v>101.52396136035739</v>
      </c>
      <c r="BQ141" s="463">
        <f t="shared" si="244"/>
        <v>7.0157424228201343E-2</v>
      </c>
      <c r="BT141" s="147">
        <f t="shared" si="245"/>
        <v>70.157424228201336</v>
      </c>
      <c r="BU141" s="463">
        <f t="shared" si="246"/>
        <v>1.8358220140993597E-2</v>
      </c>
      <c r="BV141" s="463">
        <f t="shared" si="247"/>
        <v>1.361263483873203E-2</v>
      </c>
      <c r="BW141" s="463">
        <f t="shared" si="248"/>
        <v>0</v>
      </c>
      <c r="BX141" s="463"/>
      <c r="BY141" s="463">
        <f t="shared" si="249"/>
        <v>0.26384444444444455</v>
      </c>
      <c r="BZ141" s="147">
        <f t="shared" si="250"/>
        <v>295.81529942417018</v>
      </c>
      <c r="CA141" s="153">
        <f t="shared" si="251"/>
        <v>0.4674966850127289</v>
      </c>
      <c r="CB141" s="5">
        <f t="shared" si="252"/>
        <v>2.3250000000000002</v>
      </c>
      <c r="CC141" s="153">
        <f t="shared" si="253"/>
        <v>0.83258827574558147</v>
      </c>
      <c r="CD141" s="5">
        <f t="shared" si="254"/>
        <v>83.258827574558154</v>
      </c>
      <c r="CG141" s="59">
        <f t="shared" si="255"/>
        <v>-50</v>
      </c>
      <c r="CH141">
        <f t="shared" si="256"/>
        <v>-50</v>
      </c>
    </row>
    <row r="142" spans="5:86" x14ac:dyDescent="0.25">
      <c r="E142" s="150">
        <v>32</v>
      </c>
      <c r="F142" s="191">
        <f t="shared" si="257"/>
        <v>0.16</v>
      </c>
      <c r="G142" s="191"/>
      <c r="H142" s="191">
        <f t="shared" ref="H142:H173" si="266">F142*Vout</f>
        <v>2.4</v>
      </c>
      <c r="I142" s="472">
        <f t="shared" ref="I142:I173" si="267">VIN_min</f>
        <v>9</v>
      </c>
      <c r="J142" s="386">
        <f t="shared" ref="J142:J173" si="268">(T142+Vfwd1)*Nps</f>
        <v>7.66</v>
      </c>
      <c r="K142" s="386">
        <f t="shared" ref="K142:K173" si="269">(Vout+Vfwd1)*Nps+I142</f>
        <v>16.66</v>
      </c>
      <c r="L142" s="386"/>
      <c r="M142" s="191">
        <f t="shared" ref="M142:M173" si="270">(Vout+Vfwd1)*Nps/((Vout+Vfwd1)*Nps+I142)</f>
        <v>0.45978391356542619</v>
      </c>
      <c r="N142" s="152">
        <f t="shared" ref="N142:N173" si="271">M142*I142*(Isw_max+VIN_min/Lmag*ILIM_delay)*0.5*Efficiency</f>
        <v>7.6905756302521011</v>
      </c>
      <c r="O142" s="152">
        <f t="shared" si="262"/>
        <v>2.4</v>
      </c>
      <c r="P142" s="191">
        <f t="shared" ref="P142:P173" si="272">N142/Vout</f>
        <v>0.51270504201680678</v>
      </c>
      <c r="Q142" s="191">
        <f t="shared" ref="Q142:Q173" si="273">MIN(Vout,N142/F142)</f>
        <v>15</v>
      </c>
      <c r="R142" s="191"/>
      <c r="S142" s="152">
        <f t="shared" ref="S142:S173" si="274">(SQRT(Isw_max^2*Nps^2*I142^2+4*Isw_max*F142/Efficiency*(Nps^2*Vfwd1*I142-Nps*I142^2)+4*(F142/Efficiency)^2*Nps^2*Vfwd1^2+8*(F142/Efficiency)^2*Nps*Vfwd1*I142+4*(F142/Efficiency)^2*I142^2)-2*F142/Efficiency*I142-2*F142/Efficiency*Nps*Vfwd1+Isw_max*Nps*I142)/(4*F142/Efficiency*Nps)</f>
        <v>85.84809608644737</v>
      </c>
      <c r="T142" s="152">
        <f t="shared" ref="T142:T173" si="275">MIN(Vout, S142)</f>
        <v>15</v>
      </c>
      <c r="U142" s="191">
        <f t="shared" ref="U142:U173" si="276">MIN(2*Vout*F142/(Efficiency*I142*M142), Isw_max)</f>
        <v>1.2888502079102599</v>
      </c>
      <c r="V142" s="191">
        <f t="shared" ref="V142:V173" si="277">L*U142/I142*1000000</f>
        <v>1.2888502079102602</v>
      </c>
      <c r="W142" s="191">
        <f t="shared" ref="W142:W173" si="278">L*U142/J142*1000000</f>
        <v>1.514314865690906</v>
      </c>
      <c r="X142" s="175">
        <f t="shared" ref="X142:X173" si="279">IF(1/((350000*L)*(1/I142+1/J142))&gt;Isw_min, 350, 0.001/((Isw_min*L)*(1/I142+1/J142)))</f>
        <v>350</v>
      </c>
      <c r="Y142" s="386">
        <f t="shared" si="215"/>
        <v>350</v>
      </c>
      <c r="AA142" s="191">
        <f t="shared" ref="AA142:AA173" si="280">1/((X142*1000*L)*(1/I142+1/J142))</f>
        <v>1.3136683244726464</v>
      </c>
      <c r="AB142" s="153">
        <f t="shared" ref="AB142:AB173" si="281">L*AA142/J142*1000000</f>
        <v>1.5434745326702111</v>
      </c>
      <c r="AC142" s="153">
        <f t="shared" ref="AC142:AC173" si="282">0.5*AB142*AA142*Nps*X142/1000</f>
        <v>0.17741619027991926</v>
      </c>
      <c r="AD142" s="153"/>
      <c r="AE142" s="153">
        <f t="shared" ref="AE142:AE173" si="283">L*Isw_min/J142*1000000</f>
        <v>0.96344647519582249</v>
      </c>
      <c r="AF142" s="317">
        <f t="shared" ref="AF142:AF173" si="284">MAX(12000,F142/(0.5*AE142/1000000*Isw_min*Nps))/1000</f>
        <v>810.09980831515634</v>
      </c>
      <c r="AG142" s="463">
        <f t="shared" ref="AG142:AG173" si="285">0.5*AE142/1000000*Isw_min*Nps*X142*1000</f>
        <v>6.9127284595300251E-2</v>
      </c>
      <c r="AI142" s="153">
        <f t="shared" ref="AI142:AI173" si="286">SQRT(F142/(0.5*L/J142*Fsw_DCM*Nps))</f>
        <v>1.2475245329521421</v>
      </c>
      <c r="AJ142" s="153">
        <f t="shared" ref="AJ142:AJ173" si="287">MAX(IF(F142&gt;AC142,U142,AI142),Isw_min)</f>
        <v>1.2475245329521421</v>
      </c>
      <c r="AK142" s="153">
        <f t="shared" ref="AK142:AK173" si="288">IF(F142&gt;AG142, (AJ142-Isw_min)/1.2*0.8+1.2, AF142*0.2/350+1)</f>
        <v>1.4850163553014282</v>
      </c>
      <c r="AM142" s="317">
        <f t="shared" ref="AM142:AM173" si="289">F142*1000</f>
        <v>160</v>
      </c>
      <c r="AN142" s="147">
        <f t="shared" ref="AN142:AN173" si="290">IF(F142&gt;AG142, Y142, AF142)</f>
        <v>350</v>
      </c>
      <c r="AP142" s="147">
        <f t="shared" ref="AP142:AP173" si="291">IF(H142&gt;N142, "",AM142)</f>
        <v>160</v>
      </c>
      <c r="AQ142" s="147">
        <f t="shared" ref="AQ142:AQ173" si="292">IF(H142&gt;N142, "",AN142)</f>
        <v>350</v>
      </c>
      <c r="AS142" s="5">
        <f t="shared" si="263"/>
        <v>2.8571428571428572</v>
      </c>
      <c r="AT142" s="5">
        <f t="shared" ref="AT142:AT173" si="293">L*AJ142/I142*1000000</f>
        <v>1.2475245329521421</v>
      </c>
      <c r="AU142" s="5">
        <f t="shared" si="230"/>
        <v>1.6096183241907152</v>
      </c>
      <c r="AV142" s="5"/>
      <c r="AW142" s="153">
        <f t="shared" si="231"/>
        <v>0.43663358653324968</v>
      </c>
      <c r="AX142" s="153">
        <f t="shared" si="259"/>
        <v>2.4511999999999996</v>
      </c>
      <c r="AY142" s="153">
        <f t="shared" si="260"/>
        <v>0.17570335546025775</v>
      </c>
      <c r="AZ142" s="153">
        <f t="shared" si="264"/>
        <v>13.950786503644407</v>
      </c>
      <c r="BA142" s="147">
        <f t="shared" ref="BA142:BA173" si="294">L*Isw_max^2/(2*Vout_ripple*Vout)*1000000000*((1+M142)/2)^2</f>
        <v>17.910795069528412</v>
      </c>
      <c r="BB142" s="147">
        <f t="shared" ref="BB142:BB173" si="295">L*F142^2/(2*Cout*Vout*Nps^2)*1000000000*((1+M142)/(1-M142))^2+F142*RCoutEsr</f>
        <v>2.7231759170370382</v>
      </c>
      <c r="BC142" s="5">
        <f t="shared" si="258"/>
        <v>0.85932242866371167</v>
      </c>
      <c r="BD142" s="147">
        <f t="shared" ref="BD142:BD173" si="296">((CB142/I142/Efficiency)*AU142/Cin+(CB142/I142/Efficiency)*RCinEsr)*1000</f>
        <v>22.567250157450708</v>
      </c>
      <c r="BF142" s="153">
        <f t="shared" si="265"/>
        <v>0.47593433527561735</v>
      </c>
      <c r="BG142" s="153">
        <f t="shared" si="261"/>
        <v>0.2703049182304324</v>
      </c>
      <c r="BI142" s="463">
        <f t="shared" si="236"/>
        <v>2.4916484064366813E-2</v>
      </c>
      <c r="BJ142" s="463">
        <f t="shared" si="237"/>
        <v>3.6371577758219698E-2</v>
      </c>
      <c r="BK142" s="463">
        <f t="shared" si="238"/>
        <v>1.7499999999999998E-2</v>
      </c>
      <c r="BL142" s="463">
        <f t="shared" si="239"/>
        <v>2.18575035E-2</v>
      </c>
      <c r="BM142">
        <f t="shared" si="240"/>
        <v>2.6099999999999999E-3</v>
      </c>
      <c r="BN142">
        <f t="shared" ref="BN142:BN173" si="297">(I142-Vdd)*Qg*AN142</f>
        <v>1.4E-5</v>
      </c>
      <c r="BO142" s="463">
        <f t="shared" ref="BO142:BO173" si="298">(BJ142+BK142+BL142+BM142+BN142+BI142*(1+RdsonTC*(Ta-25)))/(1-BI142*RdsonTC*ThetaJA)</f>
        <v>0.10712575756042088</v>
      </c>
      <c r="BP142" s="147">
        <f t="shared" si="243"/>
        <v>103.25556532258651</v>
      </c>
      <c r="BQ142" s="463">
        <f t="shared" ref="BQ142:BQ173" si="299">(Vfwd2*F142+BG142^2*Rdiode)*(1+Diode_TC/1000*(Ta-25))</f>
        <v>7.2284293619628889E-2</v>
      </c>
      <c r="BT142" s="147">
        <f t="shared" si="245"/>
        <v>72.284293619628883</v>
      </c>
      <c r="BU142" s="463">
        <f t="shared" si="246"/>
        <v>1.9253646777010719E-2</v>
      </c>
      <c r="BV142" s="463">
        <f t="shared" si="247"/>
        <v>1.3882302275716542E-2</v>
      </c>
      <c r="BW142" s="463">
        <f t="shared" si="248"/>
        <v>0</v>
      </c>
      <c r="BX142" s="463"/>
      <c r="BY142" s="463">
        <f t="shared" si="249"/>
        <v>0.27235555555555557</v>
      </c>
      <c r="BZ142" s="147">
        <f t="shared" si="250"/>
        <v>305.49150460828281</v>
      </c>
      <c r="CA142" s="153">
        <f t="shared" si="251"/>
        <v>0.48103136355049825</v>
      </c>
      <c r="CB142" s="5">
        <f t="shared" si="252"/>
        <v>2.4</v>
      </c>
      <c r="CC142" s="153">
        <f t="shared" si="253"/>
        <v>0.83303501321218199</v>
      </c>
      <c r="CD142" s="5">
        <f t="shared" si="254"/>
        <v>83.303501321218192</v>
      </c>
      <c r="CG142" s="59">
        <f t="shared" ref="CG142:CG173" si="300">IF(ABS(F142-Ioutmax_Vinmin)&lt;Iout/200, AN142, -50)</f>
        <v>-50</v>
      </c>
      <c r="CH142">
        <f t="shared" ref="CH142:CH173" si="301">IF(ABS(F142-Ioutmax_Vinmin)&lt;Iout/200, N142*CC142, -50)</f>
        <v>-50</v>
      </c>
    </row>
    <row r="143" spans="5:86" x14ac:dyDescent="0.25">
      <c r="E143" s="150">
        <v>33</v>
      </c>
      <c r="F143" s="191">
        <f t="shared" ref="F143:F174" si="302">IF(PLOT_TYPE=1, E143/100*Iout_max, min_I*EXP(N143*rr/100))</f>
        <v>0.16500000000000001</v>
      </c>
      <c r="G143" s="191"/>
      <c r="H143" s="191">
        <f t="shared" si="266"/>
        <v>2.4750000000000001</v>
      </c>
      <c r="I143" s="472">
        <f t="shared" si="267"/>
        <v>9</v>
      </c>
      <c r="J143" s="386">
        <f t="shared" si="268"/>
        <v>7.66</v>
      </c>
      <c r="K143" s="386">
        <f t="shared" si="269"/>
        <v>16.66</v>
      </c>
      <c r="L143" s="386"/>
      <c r="M143" s="191">
        <f t="shared" si="270"/>
        <v>0.45978391356542619</v>
      </c>
      <c r="N143" s="152">
        <f t="shared" si="271"/>
        <v>7.6905756302521011</v>
      </c>
      <c r="O143" s="152">
        <f t="shared" si="262"/>
        <v>2.4750000000000001</v>
      </c>
      <c r="P143" s="191">
        <f t="shared" si="272"/>
        <v>0.51270504201680678</v>
      </c>
      <c r="Q143" s="191">
        <f t="shared" si="273"/>
        <v>15</v>
      </c>
      <c r="R143" s="191"/>
      <c r="S143" s="152">
        <f t="shared" si="274"/>
        <v>82.705739712023757</v>
      </c>
      <c r="T143" s="152">
        <f t="shared" si="275"/>
        <v>15</v>
      </c>
      <c r="U143" s="191">
        <f t="shared" si="276"/>
        <v>1.3291267769074557</v>
      </c>
      <c r="V143" s="191">
        <f t="shared" si="277"/>
        <v>1.329126776907456</v>
      </c>
      <c r="W143" s="191">
        <f t="shared" si="278"/>
        <v>1.5616372052437471</v>
      </c>
      <c r="X143" s="175">
        <f t="shared" si="279"/>
        <v>350</v>
      </c>
      <c r="Y143" s="386">
        <f t="shared" si="215"/>
        <v>345.92931355670066</v>
      </c>
      <c r="AA143" s="191">
        <f t="shared" si="280"/>
        <v>1.3136683244726464</v>
      </c>
      <c r="AB143" s="153">
        <f t="shared" si="281"/>
        <v>1.5434745326702111</v>
      </c>
      <c r="AC143" s="153">
        <f t="shared" si="282"/>
        <v>0.17741619027991926</v>
      </c>
      <c r="AD143" s="153"/>
      <c r="AE143" s="153">
        <f t="shared" si="283"/>
        <v>0.96344647519582249</v>
      </c>
      <c r="AF143" s="317">
        <f t="shared" si="284"/>
        <v>835.41542732500511</v>
      </c>
      <c r="AG143" s="463">
        <f t="shared" si="285"/>
        <v>6.9127284595300251E-2</v>
      </c>
      <c r="AI143" s="153">
        <f t="shared" si="286"/>
        <v>1.2668671520535928</v>
      </c>
      <c r="AJ143" s="153">
        <f t="shared" si="287"/>
        <v>1.2668671520535928</v>
      </c>
      <c r="AK143" s="153">
        <f t="shared" si="288"/>
        <v>1.4979114347023952</v>
      </c>
      <c r="AM143" s="317">
        <f t="shared" si="289"/>
        <v>165</v>
      </c>
      <c r="AN143" s="147">
        <f t="shared" si="290"/>
        <v>345.92931355670066</v>
      </c>
      <c r="AP143" s="147">
        <f t="shared" si="291"/>
        <v>165</v>
      </c>
      <c r="AQ143" s="147">
        <f t="shared" si="292"/>
        <v>345.92931355670066</v>
      </c>
      <c r="AS143" s="5">
        <f t="shared" si="263"/>
        <v>2.8907639821512028</v>
      </c>
      <c r="AT143" s="5">
        <f t="shared" si="293"/>
        <v>1.2668671520535928</v>
      </c>
      <c r="AU143" s="5">
        <f t="shared" si="230"/>
        <v>1.62389683009761</v>
      </c>
      <c r="AV143" s="5"/>
      <c r="AW143" s="153">
        <f t="shared" si="231"/>
        <v>0.43824648427743162</v>
      </c>
      <c r="AX143" s="153">
        <f t="shared" si="259"/>
        <v>2.4984003394532226</v>
      </c>
      <c r="AY143" s="153">
        <f t="shared" si="260"/>
        <v>0.17791676915488583</v>
      </c>
      <c r="AZ143" s="153">
        <f t="shared" si="264"/>
        <v>14.042523092796468</v>
      </c>
      <c r="BA143" s="147">
        <f t="shared" si="294"/>
        <v>17.910795069528412</v>
      </c>
      <c r="BB143" s="147">
        <f t="shared" si="295"/>
        <v>2.8805650133333347</v>
      </c>
      <c r="BC143" s="5">
        <f t="shared" si="258"/>
        <v>0.89403729384753294</v>
      </c>
      <c r="BD143" s="147">
        <f t="shared" si="296"/>
        <v>23.470789306911254</v>
      </c>
      <c r="BF143" s="153">
        <f t="shared" si="265"/>
        <v>0.48420544482174582</v>
      </c>
      <c r="BG143" s="153">
        <f t="shared" si="261"/>
        <v>0.27410272444336553</v>
      </c>
      <c r="BI143" s="463">
        <f t="shared" si="236"/>
        <v>2.5790040407452721E-2</v>
      </c>
      <c r="BJ143" s="463">
        <f t="shared" si="237"/>
        <v>3.650593214031006E-2</v>
      </c>
      <c r="BK143" s="463">
        <f t="shared" si="238"/>
        <v>1.7296465677835032E-2</v>
      </c>
      <c r="BL143" s="463">
        <f t="shared" si="239"/>
        <v>2.160328909090909E-2</v>
      </c>
      <c r="BM143">
        <f t="shared" si="240"/>
        <v>2.6099999999999999E-3</v>
      </c>
      <c r="BN143">
        <f t="shared" si="297"/>
        <v>1.3837172542268027E-5</v>
      </c>
      <c r="BO143" s="463">
        <f t="shared" si="298"/>
        <v>0.10781422833889394</v>
      </c>
      <c r="BP143" s="147">
        <f t="shared" si="243"/>
        <v>103.80572731650692</v>
      </c>
      <c r="BQ143" s="463">
        <f t="shared" si="299"/>
        <v>7.4510215982023703E-2</v>
      </c>
      <c r="BT143" s="147">
        <f t="shared" si="245"/>
        <v>74.510215982023709</v>
      </c>
      <c r="BU143" s="463">
        <f t="shared" si="246"/>
        <v>1.9928667587577102E-2</v>
      </c>
      <c r="BV143" s="463">
        <f t="shared" si="247"/>
        <v>1.4275137673982358E-2</v>
      </c>
      <c r="BW143" s="463">
        <f t="shared" si="248"/>
        <v>0</v>
      </c>
      <c r="BX143" s="463"/>
      <c r="BY143" s="463">
        <f t="shared" si="249"/>
        <v>0.27760003771702479</v>
      </c>
      <c r="BZ143" s="147">
        <f t="shared" si="250"/>
        <v>311.80384297858427</v>
      </c>
      <c r="CA143" s="153">
        <f t="shared" si="251"/>
        <v>0.49011978627711489</v>
      </c>
      <c r="CB143" s="5">
        <f t="shared" si="252"/>
        <v>2.4750000000000001</v>
      </c>
      <c r="CC143" s="153">
        <f t="shared" si="253"/>
        <v>0.83470489504490153</v>
      </c>
      <c r="CD143" s="5">
        <f t="shared" si="254"/>
        <v>83.470489504490146</v>
      </c>
      <c r="CG143" s="59">
        <f t="shared" si="300"/>
        <v>-50</v>
      </c>
      <c r="CH143">
        <f t="shared" si="301"/>
        <v>-50</v>
      </c>
    </row>
    <row r="144" spans="5:86" x14ac:dyDescent="0.25">
      <c r="E144" s="150">
        <v>34</v>
      </c>
      <c r="F144" s="191">
        <f t="shared" si="302"/>
        <v>0.17</v>
      </c>
      <c r="G144" s="191"/>
      <c r="H144" s="191">
        <f t="shared" si="266"/>
        <v>2.5500000000000003</v>
      </c>
      <c r="I144" s="472">
        <f t="shared" si="267"/>
        <v>9</v>
      </c>
      <c r="J144" s="386">
        <f t="shared" si="268"/>
        <v>7.66</v>
      </c>
      <c r="K144" s="386">
        <f t="shared" si="269"/>
        <v>16.66</v>
      </c>
      <c r="L144" s="386"/>
      <c r="M144" s="191">
        <f t="shared" si="270"/>
        <v>0.45978391356542619</v>
      </c>
      <c r="N144" s="152">
        <f t="shared" si="271"/>
        <v>7.6905756302521011</v>
      </c>
      <c r="O144" s="152">
        <f t="shared" si="262"/>
        <v>2.5500000000000003</v>
      </c>
      <c r="P144" s="191">
        <f t="shared" si="272"/>
        <v>0.51270504201680678</v>
      </c>
      <c r="Q144" s="191">
        <f t="shared" si="273"/>
        <v>15</v>
      </c>
      <c r="R144" s="191"/>
      <c r="S144" s="152">
        <f t="shared" si="274"/>
        <v>79.748409072672658</v>
      </c>
      <c r="T144" s="152">
        <f t="shared" si="275"/>
        <v>15</v>
      </c>
      <c r="U144" s="191">
        <f t="shared" si="276"/>
        <v>1.3694033459046515</v>
      </c>
      <c r="V144" s="191">
        <f t="shared" si="277"/>
        <v>1.3694033459046517</v>
      </c>
      <c r="W144" s="191">
        <f t="shared" si="278"/>
        <v>1.6089595447965881</v>
      </c>
      <c r="X144" s="175">
        <f t="shared" si="279"/>
        <v>350</v>
      </c>
      <c r="Y144" s="386">
        <f t="shared" si="215"/>
        <v>335.75492198150351</v>
      </c>
      <c r="AA144" s="191">
        <f t="shared" si="280"/>
        <v>1.3136683244726464</v>
      </c>
      <c r="AB144" s="153">
        <f t="shared" si="281"/>
        <v>1.5434745326702111</v>
      </c>
      <c r="AC144" s="153">
        <f t="shared" si="282"/>
        <v>0.17741619027991926</v>
      </c>
      <c r="AD144" s="153"/>
      <c r="AE144" s="153">
        <f t="shared" si="283"/>
        <v>0.96344647519582249</v>
      </c>
      <c r="AF144" s="317">
        <f t="shared" si="284"/>
        <v>860.73104633485377</v>
      </c>
      <c r="AG144" s="463">
        <f t="shared" si="285"/>
        <v>6.9127284595300251E-2</v>
      </c>
      <c r="AI144" s="153">
        <f t="shared" si="286"/>
        <v>1.2859188549777554</v>
      </c>
      <c r="AJ144" s="153">
        <f t="shared" si="287"/>
        <v>1.2859188549777554</v>
      </c>
      <c r="AK144" s="153">
        <f t="shared" si="288"/>
        <v>1.5106125699851702</v>
      </c>
      <c r="AM144" s="317">
        <f t="shared" si="289"/>
        <v>170</v>
      </c>
      <c r="AN144" s="147">
        <f t="shared" si="290"/>
        <v>335.75492198150351</v>
      </c>
      <c r="AP144" s="147">
        <f t="shared" si="291"/>
        <v>170</v>
      </c>
      <c r="AQ144" s="147">
        <f t="shared" si="292"/>
        <v>335.75492198150351</v>
      </c>
      <c r="AS144" s="5">
        <f t="shared" si="263"/>
        <v>2.9783628907012396</v>
      </c>
      <c r="AT144" s="5">
        <f t="shared" si="293"/>
        <v>1.2859188549777554</v>
      </c>
      <c r="AU144" s="5">
        <f t="shared" si="230"/>
        <v>1.6924440357234842</v>
      </c>
      <c r="AV144" s="5"/>
      <c r="AW144" s="153">
        <f t="shared" si="231"/>
        <v>0.43175358482760062</v>
      </c>
      <c r="AX144" s="153">
        <f t="shared" si="259"/>
        <v>2.4984003394532222</v>
      </c>
      <c r="AY144" s="153">
        <f t="shared" si="260"/>
        <v>0.1826796948859265</v>
      </c>
      <c r="AZ144" s="153">
        <f t="shared" si="264"/>
        <v>13.676398687951263</v>
      </c>
      <c r="BA144" s="147">
        <f t="shared" si="294"/>
        <v>17.910795069528412</v>
      </c>
      <c r="BB144" s="147">
        <f t="shared" si="295"/>
        <v>3.0423353125925949</v>
      </c>
      <c r="BC144" s="5">
        <f t="shared" si="258"/>
        <v>0.96001163187518279</v>
      </c>
      <c r="BD144" s="147">
        <f t="shared" si="296"/>
        <v>25.162919703113836</v>
      </c>
      <c r="BF144" s="153">
        <f t="shared" si="265"/>
        <v>0.48783270536995776</v>
      </c>
      <c r="BG144" s="153">
        <f t="shared" si="261"/>
        <v>0.27982808059913994</v>
      </c>
      <c r="BI144" s="463">
        <f t="shared" si="236"/>
        <v>2.6177882327142923E-2</v>
      </c>
      <c r="BJ144" s="463">
        <f t="shared" si="237"/>
        <v>3.5965073616139133E-2</v>
      </c>
      <c r="BK144" s="463">
        <f t="shared" si="238"/>
        <v>1.6787746099075174E-2</v>
      </c>
      <c r="BL144" s="463">
        <f t="shared" si="239"/>
        <v>2.0967898235294116E-2</v>
      </c>
      <c r="BM144">
        <f t="shared" si="240"/>
        <v>2.6099999999999999E-3</v>
      </c>
      <c r="BN144">
        <f t="shared" si="297"/>
        <v>1.3430196879260142E-5</v>
      </c>
      <c r="BO144" s="463">
        <f t="shared" si="298"/>
        <v>0.10657076211122125</v>
      </c>
      <c r="BP144" s="147">
        <f t="shared" si="243"/>
        <v>102.50860027765135</v>
      </c>
      <c r="BQ144" s="463">
        <f t="shared" si="299"/>
        <v>7.6904813716906856E-2</v>
      </c>
      <c r="BT144" s="147">
        <f t="shared" si="245"/>
        <v>76.904813716906858</v>
      </c>
      <c r="BU144" s="463">
        <f t="shared" si="246"/>
        <v>2.0228363616428623E-2</v>
      </c>
      <c r="BV144" s="463">
        <f t="shared" si="247"/>
        <v>1.4877713391441765E-2</v>
      </c>
      <c r="BW144" s="463">
        <f t="shared" si="248"/>
        <v>0</v>
      </c>
      <c r="BX144" s="463"/>
      <c r="BY144" s="463">
        <f t="shared" si="249"/>
        <v>0.27760003771702474</v>
      </c>
      <c r="BZ144" s="147">
        <f t="shared" si="250"/>
        <v>312.70611472489514</v>
      </c>
      <c r="CA144" s="153">
        <f t="shared" si="251"/>
        <v>0.4921195287194533</v>
      </c>
      <c r="CB144" s="5">
        <f t="shared" si="252"/>
        <v>2.5500000000000003</v>
      </c>
      <c r="CC144" s="153">
        <f t="shared" si="253"/>
        <v>0.83823136333942616</v>
      </c>
      <c r="CD144" s="5">
        <f t="shared" si="254"/>
        <v>83.823136333942614</v>
      </c>
      <c r="CG144" s="59">
        <f t="shared" si="300"/>
        <v>-50</v>
      </c>
      <c r="CH144">
        <f t="shared" si="301"/>
        <v>-50</v>
      </c>
    </row>
    <row r="145" spans="5:86" x14ac:dyDescent="0.25">
      <c r="E145" s="150">
        <v>35</v>
      </c>
      <c r="F145" s="191">
        <f t="shared" si="302"/>
        <v>0.17499999999999999</v>
      </c>
      <c r="G145" s="191"/>
      <c r="H145" s="191">
        <f t="shared" si="266"/>
        <v>2.625</v>
      </c>
      <c r="I145" s="472">
        <f t="shared" si="267"/>
        <v>9</v>
      </c>
      <c r="J145" s="386">
        <f t="shared" si="268"/>
        <v>7.66</v>
      </c>
      <c r="K145" s="386">
        <f t="shared" si="269"/>
        <v>16.66</v>
      </c>
      <c r="L145" s="386"/>
      <c r="M145" s="191">
        <f t="shared" si="270"/>
        <v>0.45978391356542619</v>
      </c>
      <c r="N145" s="152">
        <f t="shared" si="271"/>
        <v>7.6905756302521011</v>
      </c>
      <c r="O145" s="152">
        <f t="shared" si="262"/>
        <v>2.625</v>
      </c>
      <c r="P145" s="191">
        <f t="shared" si="272"/>
        <v>0.51270504201680678</v>
      </c>
      <c r="Q145" s="191">
        <f t="shared" si="273"/>
        <v>15</v>
      </c>
      <c r="R145" s="191"/>
      <c r="S145" s="152">
        <f t="shared" si="274"/>
        <v>76.960248207817003</v>
      </c>
      <c r="T145" s="152">
        <f t="shared" si="275"/>
        <v>15</v>
      </c>
      <c r="U145" s="191">
        <f t="shared" si="276"/>
        <v>1.4096799149018469</v>
      </c>
      <c r="V145" s="191">
        <f t="shared" si="277"/>
        <v>1.4096799149018469</v>
      </c>
      <c r="W145" s="191">
        <f t="shared" si="278"/>
        <v>1.6562818843494282</v>
      </c>
      <c r="X145" s="175">
        <f t="shared" si="279"/>
        <v>350</v>
      </c>
      <c r="Y145" s="386">
        <f t="shared" si="215"/>
        <v>326.1619242106035</v>
      </c>
      <c r="AA145" s="191">
        <f t="shared" si="280"/>
        <v>1.3136683244726464</v>
      </c>
      <c r="AB145" s="153">
        <f t="shared" si="281"/>
        <v>1.5434745326702111</v>
      </c>
      <c r="AC145" s="153">
        <f t="shared" si="282"/>
        <v>0.17741619027991926</v>
      </c>
      <c r="AD145" s="153"/>
      <c r="AE145" s="153">
        <f t="shared" si="283"/>
        <v>0.96344647519582249</v>
      </c>
      <c r="AF145" s="317">
        <f t="shared" si="284"/>
        <v>886.04666534470232</v>
      </c>
      <c r="AG145" s="463">
        <f t="shared" si="285"/>
        <v>6.9127284595300251E-2</v>
      </c>
      <c r="AI145" s="153">
        <f t="shared" si="286"/>
        <v>1.3046923860520618</v>
      </c>
      <c r="AJ145" s="153">
        <f t="shared" si="287"/>
        <v>1.3046923860520618</v>
      </c>
      <c r="AK145" s="153">
        <f t="shared" si="288"/>
        <v>1.5231282573680414</v>
      </c>
      <c r="AM145" s="317">
        <f t="shared" si="289"/>
        <v>175</v>
      </c>
      <c r="AN145" s="147">
        <f t="shared" si="290"/>
        <v>326.1619242106035</v>
      </c>
      <c r="AP145" s="147">
        <f t="shared" si="291"/>
        <v>175</v>
      </c>
      <c r="AQ145" s="147">
        <f t="shared" si="292"/>
        <v>326.1619242106035</v>
      </c>
      <c r="AS145" s="5">
        <f t="shared" si="263"/>
        <v>3.0659617992512751</v>
      </c>
      <c r="AT145" s="5">
        <f t="shared" si="293"/>
        <v>1.3046923860520618</v>
      </c>
      <c r="AU145" s="5">
        <f t="shared" si="230"/>
        <v>1.7612694131992133</v>
      </c>
      <c r="AV145" s="5"/>
      <c r="AW145" s="153">
        <f t="shared" si="231"/>
        <v>0.42554097913766409</v>
      </c>
      <c r="AX145" s="153">
        <f t="shared" si="259"/>
        <v>2.4984003394532235</v>
      </c>
      <c r="AY145" s="153">
        <f t="shared" si="260"/>
        <v>0.18737307765450306</v>
      </c>
      <c r="AZ145" s="153">
        <f t="shared" si="264"/>
        <v>13.333827734099668</v>
      </c>
      <c r="BA145" s="147">
        <f t="shared" si="294"/>
        <v>17.910795069528412</v>
      </c>
      <c r="BB145" s="147">
        <f t="shared" si="295"/>
        <v>3.2084868148148153</v>
      </c>
      <c r="BC145" s="5">
        <f t="shared" si="258"/>
        <v>1.0284355932928337</v>
      </c>
      <c r="BD145" s="147">
        <f t="shared" si="296"/>
        <v>26.916847416655077</v>
      </c>
      <c r="BF145" s="153">
        <f t="shared" si="265"/>
        <v>0.49138081333942174</v>
      </c>
      <c r="BG145" s="153">
        <f t="shared" si="261"/>
        <v>0.28546116359729912</v>
      </c>
      <c r="BI145" s="463">
        <f t="shared" si="236"/>
        <v>2.656006140899228E-2</v>
      </c>
      <c r="BJ145" s="463">
        <f t="shared" si="237"/>
        <v>3.5447563562167418E-2</v>
      </c>
      <c r="BK145" s="463">
        <f t="shared" si="238"/>
        <v>1.6308096210530174E-2</v>
      </c>
      <c r="BL145" s="463">
        <f t="shared" si="239"/>
        <v>2.0368815428571434E-2</v>
      </c>
      <c r="BM145">
        <f t="shared" si="240"/>
        <v>2.6099999999999999E-3</v>
      </c>
      <c r="BN145">
        <f t="shared" si="297"/>
        <v>1.304647696842414E-5</v>
      </c>
      <c r="BO145" s="463">
        <f t="shared" si="298"/>
        <v>0.10540973399944381</v>
      </c>
      <c r="BP145" s="147">
        <f t="shared" si="243"/>
        <v>101.2945366102613</v>
      </c>
      <c r="BQ145" s="463">
        <f t="shared" si="299"/>
        <v>7.9301378000931094E-2</v>
      </c>
      <c r="BT145" s="147">
        <f t="shared" si="245"/>
        <v>79.301378000931095</v>
      </c>
      <c r="BU145" s="463">
        <f t="shared" si="246"/>
        <v>2.052368381603949E-2</v>
      </c>
      <c r="BV145" s="463">
        <f t="shared" si="247"/>
        <v>1.5482734425241555E-2</v>
      </c>
      <c r="BW145" s="463">
        <f t="shared" si="248"/>
        <v>0</v>
      </c>
      <c r="BX145" s="463"/>
      <c r="BY145" s="463">
        <f t="shared" si="249"/>
        <v>0.27760003771702485</v>
      </c>
      <c r="BZ145" s="147">
        <f t="shared" si="250"/>
        <v>313.6064559583059</v>
      </c>
      <c r="CA145" s="153">
        <f t="shared" si="251"/>
        <v>0.49420237056949834</v>
      </c>
      <c r="CB145" s="5">
        <f t="shared" si="252"/>
        <v>2.625</v>
      </c>
      <c r="CC145" s="153">
        <f t="shared" si="253"/>
        <v>0.8415612993781908</v>
      </c>
      <c r="CD145" s="5">
        <f t="shared" si="254"/>
        <v>84.156129937819074</v>
      </c>
      <c r="CG145" s="59">
        <f t="shared" si="300"/>
        <v>-50</v>
      </c>
      <c r="CH145">
        <f t="shared" si="301"/>
        <v>-50</v>
      </c>
    </row>
    <row r="146" spans="5:86" x14ac:dyDescent="0.25">
      <c r="E146" s="150">
        <v>36</v>
      </c>
      <c r="F146" s="191">
        <f t="shared" si="302"/>
        <v>0.18</v>
      </c>
      <c r="G146" s="191"/>
      <c r="H146" s="191">
        <f t="shared" si="266"/>
        <v>2.6999999999999997</v>
      </c>
      <c r="I146" s="472">
        <f t="shared" si="267"/>
        <v>9</v>
      </c>
      <c r="J146" s="386">
        <f t="shared" si="268"/>
        <v>7.66</v>
      </c>
      <c r="K146" s="386">
        <f t="shared" si="269"/>
        <v>16.66</v>
      </c>
      <c r="L146" s="386"/>
      <c r="M146" s="191">
        <f t="shared" si="270"/>
        <v>0.45978391356542619</v>
      </c>
      <c r="N146" s="152">
        <f t="shared" si="271"/>
        <v>7.6905756302521011</v>
      </c>
      <c r="O146" s="152">
        <f t="shared" si="262"/>
        <v>2.6999999999999997</v>
      </c>
      <c r="P146" s="191">
        <f t="shared" si="272"/>
        <v>0.51270504201680678</v>
      </c>
      <c r="Q146" s="191">
        <f t="shared" si="273"/>
        <v>15</v>
      </c>
      <c r="R146" s="191"/>
      <c r="S146" s="152">
        <f t="shared" si="274"/>
        <v>74.327163012866379</v>
      </c>
      <c r="T146" s="152">
        <f t="shared" si="275"/>
        <v>15</v>
      </c>
      <c r="U146" s="191">
        <f t="shared" si="276"/>
        <v>1.4499564838990424</v>
      </c>
      <c r="V146" s="191">
        <f t="shared" si="277"/>
        <v>1.4499564838990424</v>
      </c>
      <c r="W146" s="191">
        <f t="shared" si="278"/>
        <v>1.7036042239022691</v>
      </c>
      <c r="X146" s="175">
        <f t="shared" si="279"/>
        <v>350</v>
      </c>
      <c r="Y146" s="386">
        <f t="shared" si="215"/>
        <v>317.101870760309</v>
      </c>
      <c r="AA146" s="191">
        <f t="shared" si="280"/>
        <v>1.3136683244726464</v>
      </c>
      <c r="AB146" s="153">
        <f t="shared" si="281"/>
        <v>1.5434745326702111</v>
      </c>
      <c r="AC146" s="153">
        <f t="shared" si="282"/>
        <v>0.17741619027991926</v>
      </c>
      <c r="AD146" s="153"/>
      <c r="AE146" s="153">
        <f t="shared" si="283"/>
        <v>0.96344647519582249</v>
      </c>
      <c r="AF146" s="317">
        <f t="shared" si="284"/>
        <v>911.36228435455087</v>
      </c>
      <c r="AG146" s="463">
        <f t="shared" si="285"/>
        <v>6.9127284595300251E-2</v>
      </c>
      <c r="AI146" s="153">
        <f t="shared" si="286"/>
        <v>1.3231995854205605</v>
      </c>
      <c r="AJ146" s="153">
        <f t="shared" si="287"/>
        <v>1.4499564838990424</v>
      </c>
      <c r="AK146" s="153">
        <f t="shared" si="288"/>
        <v>1.6199709892660283</v>
      </c>
      <c r="AM146" s="317">
        <f t="shared" si="289"/>
        <v>180</v>
      </c>
      <c r="AN146" s="147">
        <f t="shared" si="290"/>
        <v>317.101870760309</v>
      </c>
      <c r="AP146" s="147">
        <f t="shared" si="291"/>
        <v>180</v>
      </c>
      <c r="AQ146" s="147">
        <f t="shared" si="292"/>
        <v>317.101870760309</v>
      </c>
      <c r="AS146" s="5">
        <f t="shared" si="263"/>
        <v>3.153560707801311</v>
      </c>
      <c r="AT146" s="5">
        <f t="shared" si="293"/>
        <v>1.4499564838990424</v>
      </c>
      <c r="AU146" s="5">
        <f t="shared" si="230"/>
        <v>1.7036042239022686</v>
      </c>
      <c r="AV146" s="5"/>
      <c r="AW146" s="153">
        <f t="shared" si="231"/>
        <v>0.45978391356542625</v>
      </c>
      <c r="AX146" s="153">
        <f t="shared" si="259"/>
        <v>2.9999999999999996</v>
      </c>
      <c r="AY146" s="153">
        <f t="shared" si="260"/>
        <v>0.19582245430809395</v>
      </c>
      <c r="AZ146" s="153">
        <f t="shared" si="264"/>
        <v>15.320000000000002</v>
      </c>
      <c r="BA146" s="147">
        <f t="shared" si="294"/>
        <v>17.910795069528412</v>
      </c>
      <c r="BB146" s="147">
        <f t="shared" si="295"/>
        <v>3.3790195200000013</v>
      </c>
      <c r="BC146" s="5">
        <f t="shared" si="258"/>
        <v>1.0231857200614223</v>
      </c>
      <c r="BD146" s="147">
        <f t="shared" si="296"/>
        <v>26.812185210640436</v>
      </c>
      <c r="BF146" s="153">
        <f t="shared" si="265"/>
        <v>0.56763769428885269</v>
      </c>
      <c r="BG146" s="153">
        <f t="shared" si="261"/>
        <v>0.30764375356194312</v>
      </c>
      <c r="BI146" s="463">
        <f t="shared" si="236"/>
        <v>3.5443380717532148E-2</v>
      </c>
      <c r="BJ146" s="463">
        <f t="shared" si="237"/>
        <v>3.8300000000000001E-2</v>
      </c>
      <c r="BK146" s="463">
        <f t="shared" si="238"/>
        <v>1.5855093538015452E-2</v>
      </c>
      <c r="BL146" s="463">
        <f t="shared" si="239"/>
        <v>1.9803015000000004E-2</v>
      </c>
      <c r="BM146">
        <f t="shared" si="240"/>
        <v>2.6099999999999999E-3</v>
      </c>
      <c r="BN146">
        <f t="shared" si="297"/>
        <v>1.268407483041236E-5</v>
      </c>
      <c r="BO146" s="463">
        <f t="shared" si="298"/>
        <v>0.11757790737697689</v>
      </c>
      <c r="BP146" s="147">
        <f t="shared" si="243"/>
        <v>112.0114892555476</v>
      </c>
      <c r="BQ146" s="463">
        <f t="shared" si="299"/>
        <v>8.3221706967348152E-2</v>
      </c>
      <c r="BT146" s="147">
        <f t="shared" si="245"/>
        <v>83.221706967348155</v>
      </c>
      <c r="BU146" s="463">
        <f t="shared" si="246"/>
        <v>2.7388066918093024E-2</v>
      </c>
      <c r="BV146" s="463">
        <f t="shared" si="247"/>
        <v>1.7982489030079502E-2</v>
      </c>
      <c r="BW146" s="463">
        <f t="shared" si="248"/>
        <v>0</v>
      </c>
      <c r="BX146" s="463"/>
      <c r="BY146" s="463">
        <f t="shared" si="249"/>
        <v>0.33333333333333337</v>
      </c>
      <c r="BZ146" s="147">
        <f t="shared" si="250"/>
        <v>378.70388928150589</v>
      </c>
      <c r="CA146" s="153">
        <f t="shared" si="251"/>
        <v>0.5739370855044017</v>
      </c>
      <c r="CB146" s="5">
        <f t="shared" si="252"/>
        <v>2.6999999999999997</v>
      </c>
      <c r="CC146" s="153">
        <f t="shared" si="253"/>
        <v>0.8246951390588565</v>
      </c>
      <c r="CD146" s="5">
        <f t="shared" si="254"/>
        <v>82.469513905885648</v>
      </c>
      <c r="CG146" s="59">
        <f t="shared" si="300"/>
        <v>-50</v>
      </c>
      <c r="CH146">
        <f t="shared" si="301"/>
        <v>-50</v>
      </c>
    </row>
    <row r="147" spans="5:86" x14ac:dyDescent="0.25">
      <c r="E147" s="150">
        <v>37</v>
      </c>
      <c r="F147" s="191">
        <f t="shared" si="302"/>
        <v>0.185</v>
      </c>
      <c r="G147" s="191"/>
      <c r="H147" s="191">
        <f t="shared" si="266"/>
        <v>2.7749999999999999</v>
      </c>
      <c r="I147" s="472">
        <f t="shared" si="267"/>
        <v>9</v>
      </c>
      <c r="J147" s="386">
        <f t="shared" si="268"/>
        <v>7.66</v>
      </c>
      <c r="K147" s="386">
        <f t="shared" si="269"/>
        <v>16.66</v>
      </c>
      <c r="L147" s="386"/>
      <c r="M147" s="191">
        <f t="shared" si="270"/>
        <v>0.45978391356542619</v>
      </c>
      <c r="N147" s="152">
        <f t="shared" si="271"/>
        <v>7.6905756302521011</v>
      </c>
      <c r="O147" s="152">
        <f t="shared" si="262"/>
        <v>2.7749999999999999</v>
      </c>
      <c r="P147" s="191">
        <f t="shared" si="272"/>
        <v>0.51270504201680678</v>
      </c>
      <c r="Q147" s="191">
        <f t="shared" si="273"/>
        <v>15</v>
      </c>
      <c r="R147" s="191"/>
      <c r="S147" s="152">
        <f t="shared" si="274"/>
        <v>71.836583153023113</v>
      </c>
      <c r="T147" s="152">
        <f t="shared" si="275"/>
        <v>15</v>
      </c>
      <c r="U147" s="191">
        <f t="shared" si="276"/>
        <v>1.4902330528962382</v>
      </c>
      <c r="V147" s="191">
        <f t="shared" si="277"/>
        <v>1.4902330528962382</v>
      </c>
      <c r="W147" s="191">
        <f t="shared" si="278"/>
        <v>1.7509265634551101</v>
      </c>
      <c r="X147" s="175">
        <f t="shared" si="279"/>
        <v>350</v>
      </c>
      <c r="Y147" s="386">
        <f t="shared" si="215"/>
        <v>308.53154992894929</v>
      </c>
      <c r="AA147" s="191">
        <f t="shared" si="280"/>
        <v>1.3136683244726464</v>
      </c>
      <c r="AB147" s="153">
        <f t="shared" si="281"/>
        <v>1.5434745326702111</v>
      </c>
      <c r="AC147" s="153">
        <f t="shared" si="282"/>
        <v>0.17741619027991926</v>
      </c>
      <c r="AD147" s="153"/>
      <c r="AE147" s="153">
        <f t="shared" si="283"/>
        <v>0.96344647519582249</v>
      </c>
      <c r="AF147" s="317">
        <f t="shared" si="284"/>
        <v>936.67790336439953</v>
      </c>
      <c r="AG147" s="463">
        <f t="shared" si="285"/>
        <v>6.9127284595300251E-2</v>
      </c>
      <c r="AI147" s="153">
        <f t="shared" si="286"/>
        <v>1.3414514763837204</v>
      </c>
      <c r="AJ147" s="153">
        <f t="shared" si="287"/>
        <v>1.4902330528962382</v>
      </c>
      <c r="AK147" s="153">
        <f t="shared" si="288"/>
        <v>1.6468220352641589</v>
      </c>
      <c r="AM147" s="317">
        <f t="shared" si="289"/>
        <v>185</v>
      </c>
      <c r="AN147" s="147">
        <f t="shared" si="290"/>
        <v>308.53154992894929</v>
      </c>
      <c r="AP147" s="147">
        <f t="shared" si="291"/>
        <v>185</v>
      </c>
      <c r="AQ147" s="147">
        <f t="shared" si="292"/>
        <v>308.53154992894929</v>
      </c>
      <c r="AS147" s="5">
        <f t="shared" si="263"/>
        <v>3.2411596163513479</v>
      </c>
      <c r="AT147" s="5">
        <f t="shared" si="293"/>
        <v>1.4902330528962382</v>
      </c>
      <c r="AU147" s="5">
        <f t="shared" si="230"/>
        <v>1.7509265634551097</v>
      </c>
      <c r="AV147" s="5"/>
      <c r="AW147" s="153">
        <f t="shared" si="231"/>
        <v>0.45978391356542625</v>
      </c>
      <c r="AX147" s="153">
        <f t="shared" si="259"/>
        <v>3.0833333333333344</v>
      </c>
      <c r="AY147" s="153">
        <f t="shared" si="260"/>
        <v>0.20126196692776324</v>
      </c>
      <c r="AZ147" s="153">
        <f t="shared" si="264"/>
        <v>15.320000000000007</v>
      </c>
      <c r="BA147" s="147">
        <f t="shared" si="294"/>
        <v>17.910795069528412</v>
      </c>
      <c r="BB147" s="147">
        <f t="shared" si="295"/>
        <v>3.5539334281481496</v>
      </c>
      <c r="BC147" s="5">
        <f t="shared" si="258"/>
        <v>1.0808188663303144</v>
      </c>
      <c r="BD147" s="147">
        <f t="shared" si="296"/>
        <v>28.293890087474352</v>
      </c>
      <c r="BF147" s="153">
        <f t="shared" si="265"/>
        <v>0.58340540801909868</v>
      </c>
      <c r="BG147" s="153">
        <f t="shared" si="261"/>
        <v>0.31618941338310824</v>
      </c>
      <c r="BI147" s="463">
        <f t="shared" si="236"/>
        <v>3.743980571165241E-2</v>
      </c>
      <c r="BJ147" s="463">
        <f t="shared" si="237"/>
        <v>3.8300000000000008E-2</v>
      </c>
      <c r="BK147" s="463">
        <f t="shared" si="238"/>
        <v>1.5426577496447463E-2</v>
      </c>
      <c r="BL147" s="463">
        <f t="shared" si="239"/>
        <v>1.9267798378378383E-2</v>
      </c>
      <c r="BM147">
        <f t="shared" si="240"/>
        <v>2.6099999999999999E-3</v>
      </c>
      <c r="BN147">
        <f t="shared" si="297"/>
        <v>1.2341261997157972E-5</v>
      </c>
      <c r="BO147" s="463">
        <f t="shared" si="298"/>
        <v>0.11893243959058354</v>
      </c>
      <c r="BP147" s="147">
        <f t="shared" si="243"/>
        <v>113.04418158647827</v>
      </c>
      <c r="BQ147" s="463">
        <f t="shared" si="299"/>
        <v>8.5946293856712666E-2</v>
      </c>
      <c r="BT147" s="147">
        <f t="shared" si="245"/>
        <v>85.946293856712671</v>
      </c>
      <c r="BU147" s="463">
        <f t="shared" si="246"/>
        <v>2.8930758959004137E-2</v>
      </c>
      <c r="BV147" s="463">
        <f t="shared" si="247"/>
        <v>1.8995391575755281E-2</v>
      </c>
      <c r="BW147" s="463">
        <f t="shared" si="248"/>
        <v>0</v>
      </c>
      <c r="BX147" s="463"/>
      <c r="BY147" s="463">
        <f t="shared" si="249"/>
        <v>0.34259259259259267</v>
      </c>
      <c r="BZ147" s="147">
        <f t="shared" si="250"/>
        <v>390.51874312735208</v>
      </c>
      <c r="CA147" s="153">
        <f t="shared" si="251"/>
        <v>0.58950921857054306</v>
      </c>
      <c r="CB147" s="5">
        <f t="shared" si="252"/>
        <v>2.7749999999999999</v>
      </c>
      <c r="CC147" s="153">
        <f t="shared" si="253"/>
        <v>0.824785970174573</v>
      </c>
      <c r="CD147" s="5">
        <f t="shared" si="254"/>
        <v>82.478597017457304</v>
      </c>
      <c r="CG147" s="59">
        <f t="shared" si="300"/>
        <v>-50</v>
      </c>
      <c r="CH147">
        <f t="shared" si="301"/>
        <v>-50</v>
      </c>
    </row>
    <row r="148" spans="5:86" x14ac:dyDescent="0.25">
      <c r="E148" s="150">
        <v>38</v>
      </c>
      <c r="F148" s="191">
        <f t="shared" si="302"/>
        <v>0.19</v>
      </c>
      <c r="G148" s="191"/>
      <c r="H148" s="191">
        <f t="shared" si="266"/>
        <v>2.85</v>
      </c>
      <c r="I148" s="472">
        <f t="shared" si="267"/>
        <v>9</v>
      </c>
      <c r="J148" s="386">
        <f t="shared" si="268"/>
        <v>7.66</v>
      </c>
      <c r="K148" s="386">
        <f t="shared" si="269"/>
        <v>16.66</v>
      </c>
      <c r="L148" s="386"/>
      <c r="M148" s="191">
        <f t="shared" si="270"/>
        <v>0.45978391356542619</v>
      </c>
      <c r="N148" s="152">
        <f t="shared" si="271"/>
        <v>7.6905756302521011</v>
      </c>
      <c r="O148" s="152">
        <f t="shared" si="262"/>
        <v>2.85</v>
      </c>
      <c r="P148" s="191">
        <f t="shared" si="272"/>
        <v>0.51270504201680678</v>
      </c>
      <c r="Q148" s="191">
        <f t="shared" si="273"/>
        <v>15</v>
      </c>
      <c r="R148" s="191"/>
      <c r="S148" s="152">
        <f t="shared" si="274"/>
        <v>69.477261569730089</v>
      </c>
      <c r="T148" s="152">
        <f t="shared" si="275"/>
        <v>15</v>
      </c>
      <c r="U148" s="191">
        <f t="shared" si="276"/>
        <v>1.530509621893434</v>
      </c>
      <c r="V148" s="191">
        <f t="shared" si="277"/>
        <v>1.530509621893434</v>
      </c>
      <c r="W148" s="191">
        <f t="shared" si="278"/>
        <v>1.7982489030079511</v>
      </c>
      <c r="X148" s="175">
        <f t="shared" si="279"/>
        <v>350</v>
      </c>
      <c r="Y148" s="386">
        <f t="shared" si="215"/>
        <v>300.4122986150295</v>
      </c>
      <c r="AA148" s="191">
        <f t="shared" si="280"/>
        <v>1.3136683244726464</v>
      </c>
      <c r="AB148" s="153">
        <f t="shared" si="281"/>
        <v>1.5434745326702111</v>
      </c>
      <c r="AC148" s="153">
        <f t="shared" si="282"/>
        <v>0.17741619027991926</v>
      </c>
      <c r="AD148" s="153"/>
      <c r="AE148" s="153">
        <f t="shared" si="283"/>
        <v>0.96344647519582249</v>
      </c>
      <c r="AF148" s="317">
        <f t="shared" si="284"/>
        <v>961.9935223742483</v>
      </c>
      <c r="AG148" s="463">
        <f t="shared" si="285"/>
        <v>6.9127284595300251E-2</v>
      </c>
      <c r="AI148" s="153">
        <f t="shared" si="286"/>
        <v>1.3594583421815412</v>
      </c>
      <c r="AJ148" s="153">
        <f t="shared" si="287"/>
        <v>1.530509621893434</v>
      </c>
      <c r="AK148" s="153">
        <f t="shared" si="288"/>
        <v>1.6736730812622893</v>
      </c>
      <c r="AM148" s="317">
        <f t="shared" si="289"/>
        <v>190</v>
      </c>
      <c r="AN148" s="147">
        <f t="shared" si="290"/>
        <v>300.4122986150295</v>
      </c>
      <c r="AP148" s="147">
        <f t="shared" si="291"/>
        <v>190</v>
      </c>
      <c r="AQ148" s="147">
        <f t="shared" si="292"/>
        <v>300.4122986150295</v>
      </c>
      <c r="AS148" s="5">
        <f t="shared" si="263"/>
        <v>3.3287585249013851</v>
      </c>
      <c r="AT148" s="5">
        <f t="shared" si="293"/>
        <v>1.530509621893434</v>
      </c>
      <c r="AU148" s="5">
        <f t="shared" si="230"/>
        <v>1.7982489030079511</v>
      </c>
      <c r="AV148" s="5"/>
      <c r="AW148" s="153">
        <f t="shared" si="231"/>
        <v>0.45978391356542619</v>
      </c>
      <c r="AX148" s="153">
        <f t="shared" si="259"/>
        <v>3.166666666666667</v>
      </c>
      <c r="AY148" s="153">
        <f t="shared" si="260"/>
        <v>0.20670147954743254</v>
      </c>
      <c r="AZ148" s="153">
        <f t="shared" si="264"/>
        <v>15.320000000000002</v>
      </c>
      <c r="BA148" s="147">
        <f t="shared" si="294"/>
        <v>17.910795069528412</v>
      </c>
      <c r="BB148" s="147">
        <f t="shared" si="295"/>
        <v>3.7332285392592608</v>
      </c>
      <c r="BC148" s="5">
        <f t="shared" si="258"/>
        <v>1.1400310029079435</v>
      </c>
      <c r="BD148" s="147">
        <f t="shared" si="296"/>
        <v>29.815428583460495</v>
      </c>
      <c r="BF148" s="153">
        <f t="shared" si="265"/>
        <v>0.59917312174934456</v>
      </c>
      <c r="BG148" s="153">
        <f t="shared" si="261"/>
        <v>0.32473507320427336</v>
      </c>
      <c r="BI148" s="463">
        <f t="shared" si="236"/>
        <v>3.949092728095404E-2</v>
      </c>
      <c r="BJ148" s="463">
        <f t="shared" si="237"/>
        <v>3.8300000000000001E-2</v>
      </c>
      <c r="BK148" s="463">
        <f t="shared" si="238"/>
        <v>1.5020614930751474E-2</v>
      </c>
      <c r="BL148" s="463">
        <f t="shared" si="239"/>
        <v>1.8760751052631579E-2</v>
      </c>
      <c r="BM148">
        <f t="shared" si="240"/>
        <v>2.6099999999999999E-3</v>
      </c>
      <c r="BN148">
        <f t="shared" si="297"/>
        <v>1.201649194460118E-5</v>
      </c>
      <c r="BO148" s="463">
        <f t="shared" si="298"/>
        <v>0.12040284925956611</v>
      </c>
      <c r="BP148" s="147">
        <f t="shared" si="243"/>
        <v>114.1822932643371</v>
      </c>
      <c r="BQ148" s="463">
        <f t="shared" si="299"/>
        <v>8.8693198195100881E-2</v>
      </c>
      <c r="BT148" s="147">
        <f t="shared" si="245"/>
        <v>88.693198195100877</v>
      </c>
      <c r="BU148" s="463">
        <f t="shared" si="246"/>
        <v>3.0515716535282667E-2</v>
      </c>
      <c r="BV148" s="463">
        <f t="shared" si="247"/>
        <v>2.003604487610711E-2</v>
      </c>
      <c r="BW148" s="463">
        <f t="shared" si="248"/>
        <v>0</v>
      </c>
      <c r="BX148" s="463"/>
      <c r="BY148" s="463">
        <f t="shared" si="249"/>
        <v>0.35185185185185197</v>
      </c>
      <c r="BZ148" s="147">
        <f t="shared" si="250"/>
        <v>402.40361326324177</v>
      </c>
      <c r="CA148" s="153">
        <f t="shared" si="251"/>
        <v>0.60527910472267976</v>
      </c>
      <c r="CB148" s="5">
        <f t="shared" si="252"/>
        <v>2.85</v>
      </c>
      <c r="CC148" s="153">
        <f t="shared" si="253"/>
        <v>0.82482482995501483</v>
      </c>
      <c r="CD148" s="5">
        <f t="shared" si="254"/>
        <v>82.482482995501485</v>
      </c>
      <c r="CG148" s="59">
        <f t="shared" si="300"/>
        <v>-50</v>
      </c>
      <c r="CH148">
        <f t="shared" si="301"/>
        <v>-50</v>
      </c>
    </row>
    <row r="149" spans="5:86" x14ac:dyDescent="0.25">
      <c r="E149" s="150">
        <v>39</v>
      </c>
      <c r="F149" s="191">
        <f t="shared" si="302"/>
        <v>0.19500000000000001</v>
      </c>
      <c r="G149" s="191"/>
      <c r="H149" s="191">
        <f t="shared" si="266"/>
        <v>2.9250000000000003</v>
      </c>
      <c r="I149" s="472">
        <f t="shared" si="267"/>
        <v>9</v>
      </c>
      <c r="J149" s="386">
        <f t="shared" si="268"/>
        <v>7.66</v>
      </c>
      <c r="K149" s="386">
        <f t="shared" si="269"/>
        <v>16.66</v>
      </c>
      <c r="L149" s="386"/>
      <c r="M149" s="191">
        <f t="shared" si="270"/>
        <v>0.45978391356542619</v>
      </c>
      <c r="N149" s="152">
        <f t="shared" si="271"/>
        <v>7.6905756302521011</v>
      </c>
      <c r="O149" s="152">
        <f t="shared" si="262"/>
        <v>2.9250000000000003</v>
      </c>
      <c r="P149" s="191">
        <f t="shared" si="272"/>
        <v>0.51270504201680678</v>
      </c>
      <c r="Q149" s="191">
        <f t="shared" si="273"/>
        <v>15</v>
      </c>
      <c r="R149" s="191"/>
      <c r="S149" s="152">
        <f t="shared" si="274"/>
        <v>67.239104832366124</v>
      </c>
      <c r="T149" s="152">
        <f t="shared" si="275"/>
        <v>15</v>
      </c>
      <c r="U149" s="191">
        <f t="shared" si="276"/>
        <v>1.5707861908906295</v>
      </c>
      <c r="V149" s="191">
        <f t="shared" si="277"/>
        <v>1.5707861908906295</v>
      </c>
      <c r="W149" s="191">
        <f t="shared" si="278"/>
        <v>1.8455712425607917</v>
      </c>
      <c r="X149" s="175">
        <f t="shared" si="279"/>
        <v>350</v>
      </c>
      <c r="Y149" s="386">
        <f t="shared" si="215"/>
        <v>292.7094191633621</v>
      </c>
      <c r="AA149" s="191">
        <f t="shared" si="280"/>
        <v>1.3136683244726464</v>
      </c>
      <c r="AB149" s="153">
        <f t="shared" si="281"/>
        <v>1.5434745326702111</v>
      </c>
      <c r="AC149" s="153">
        <f t="shared" si="282"/>
        <v>0.17741619027991926</v>
      </c>
      <c r="AD149" s="153"/>
      <c r="AE149" s="153">
        <f t="shared" si="283"/>
        <v>0.96344647519582249</v>
      </c>
      <c r="AF149" s="317">
        <f t="shared" si="284"/>
        <v>987.30914138409696</v>
      </c>
      <c r="AG149" s="463">
        <f t="shared" si="285"/>
        <v>6.9127284595300251E-2</v>
      </c>
      <c r="AI149" s="153">
        <f t="shared" si="286"/>
        <v>1.3772297937388316</v>
      </c>
      <c r="AJ149" s="153">
        <f t="shared" si="287"/>
        <v>1.5707861908906295</v>
      </c>
      <c r="AK149" s="153">
        <f t="shared" si="288"/>
        <v>1.7005241272604197</v>
      </c>
      <c r="AM149" s="317">
        <f t="shared" si="289"/>
        <v>195</v>
      </c>
      <c r="AN149" s="147">
        <f t="shared" si="290"/>
        <v>292.7094191633621</v>
      </c>
      <c r="AP149" s="147">
        <f t="shared" si="291"/>
        <v>195</v>
      </c>
      <c r="AQ149" s="147">
        <f t="shared" si="292"/>
        <v>292.7094191633621</v>
      </c>
      <c r="AS149" s="5">
        <f t="shared" si="263"/>
        <v>3.4163574334514211</v>
      </c>
      <c r="AT149" s="5">
        <f t="shared" si="293"/>
        <v>1.5707861908906295</v>
      </c>
      <c r="AU149" s="5">
        <f t="shared" si="230"/>
        <v>1.8455712425607915</v>
      </c>
      <c r="AV149" s="5"/>
      <c r="AW149" s="153">
        <f t="shared" si="231"/>
        <v>0.45978391356542619</v>
      </c>
      <c r="AX149" s="153">
        <f t="shared" si="259"/>
        <v>3.25</v>
      </c>
      <c r="AY149" s="153">
        <f t="shared" si="260"/>
        <v>0.21214099216710181</v>
      </c>
      <c r="AZ149" s="153">
        <f t="shared" si="264"/>
        <v>15.320000000000002</v>
      </c>
      <c r="BA149" s="147">
        <f t="shared" si="294"/>
        <v>17.910795069528412</v>
      </c>
      <c r="BB149" s="147">
        <f t="shared" si="295"/>
        <v>3.9169048533333353</v>
      </c>
      <c r="BC149" s="5">
        <f t="shared" si="258"/>
        <v>1.2008221297943087</v>
      </c>
      <c r="BD149" s="147">
        <f t="shared" si="296"/>
        <v>31.376800698598849</v>
      </c>
      <c r="BF149" s="153">
        <f t="shared" si="265"/>
        <v>0.61494083547959044</v>
      </c>
      <c r="BG149" s="153">
        <f t="shared" si="261"/>
        <v>0.33328073302543842</v>
      </c>
      <c r="BI149" s="463">
        <f t="shared" si="236"/>
        <v>4.1596745425437037E-2</v>
      </c>
      <c r="BJ149" s="463">
        <f t="shared" si="237"/>
        <v>3.8300000000000008E-2</v>
      </c>
      <c r="BK149" s="463">
        <f t="shared" si="238"/>
        <v>1.4635470958168103E-2</v>
      </c>
      <c r="BL149" s="463">
        <f t="shared" si="239"/>
        <v>1.8279706153846154E-2</v>
      </c>
      <c r="BM149">
        <f t="shared" si="240"/>
        <v>2.6099999999999999E-3</v>
      </c>
      <c r="BN149">
        <f t="shared" si="297"/>
        <v>1.1708376766534484E-5</v>
      </c>
      <c r="BO149" s="463">
        <f t="shared" si="298"/>
        <v>0.12198538049055264</v>
      </c>
      <c r="BP149" s="147">
        <f t="shared" si="243"/>
        <v>115.42192253745129</v>
      </c>
      <c r="BQ149" s="463">
        <f t="shared" si="299"/>
        <v>9.1462419982512769E-2</v>
      </c>
      <c r="BT149" s="147">
        <f t="shared" si="245"/>
        <v>91.46241998251277</v>
      </c>
      <c r="BU149" s="463">
        <f t="shared" si="246"/>
        <v>3.2142939646928624E-2</v>
      </c>
      <c r="BV149" s="463">
        <f t="shared" si="247"/>
        <v>2.1104448931134979E-2</v>
      </c>
      <c r="BW149" s="463">
        <f t="shared" si="248"/>
        <v>0</v>
      </c>
      <c r="BX149" s="463"/>
      <c r="BY149" s="463">
        <f t="shared" si="249"/>
        <v>0.36111111111111122</v>
      </c>
      <c r="BZ149" s="147">
        <f t="shared" si="250"/>
        <v>414.35849968917483</v>
      </c>
      <c r="CA149" s="153">
        <f t="shared" si="251"/>
        <v>0.62124284220913895</v>
      </c>
      <c r="CB149" s="5">
        <f t="shared" si="252"/>
        <v>2.9250000000000003</v>
      </c>
      <c r="CC149" s="153">
        <f t="shared" si="253"/>
        <v>0.82481661018393926</v>
      </c>
      <c r="CD149" s="5">
        <f t="shared" si="254"/>
        <v>82.481661018393922</v>
      </c>
      <c r="CG149" s="59">
        <f t="shared" si="300"/>
        <v>-50</v>
      </c>
      <c r="CH149">
        <f t="shared" si="301"/>
        <v>-50</v>
      </c>
    </row>
    <row r="150" spans="5:86" x14ac:dyDescent="0.25">
      <c r="E150" s="150">
        <v>40</v>
      </c>
      <c r="F150" s="191">
        <f t="shared" si="302"/>
        <v>0.2</v>
      </c>
      <c r="G150" s="191"/>
      <c r="H150" s="191">
        <f t="shared" si="266"/>
        <v>3</v>
      </c>
      <c r="I150" s="472">
        <f t="shared" si="267"/>
        <v>9</v>
      </c>
      <c r="J150" s="386">
        <f t="shared" si="268"/>
        <v>7.66</v>
      </c>
      <c r="K150" s="386">
        <f t="shared" si="269"/>
        <v>16.66</v>
      </c>
      <c r="L150" s="386"/>
      <c r="M150" s="191">
        <f t="shared" si="270"/>
        <v>0.45978391356542619</v>
      </c>
      <c r="N150" s="152">
        <f t="shared" si="271"/>
        <v>7.6905756302521011</v>
      </c>
      <c r="O150" s="152">
        <f t="shared" si="262"/>
        <v>3</v>
      </c>
      <c r="P150" s="191">
        <f t="shared" si="272"/>
        <v>0.51270504201680678</v>
      </c>
      <c r="Q150" s="191">
        <f t="shared" si="273"/>
        <v>15</v>
      </c>
      <c r="R150" s="191"/>
      <c r="S150" s="152">
        <f t="shared" si="274"/>
        <v>65.113028937274493</v>
      </c>
      <c r="T150" s="152">
        <f t="shared" si="275"/>
        <v>15</v>
      </c>
      <c r="U150" s="191">
        <f t="shared" si="276"/>
        <v>1.6110627598878251</v>
      </c>
      <c r="V150" s="191">
        <f t="shared" si="277"/>
        <v>1.6110627598878251</v>
      </c>
      <c r="W150" s="191">
        <f t="shared" si="278"/>
        <v>1.8928935821136326</v>
      </c>
      <c r="X150" s="175">
        <f t="shared" si="279"/>
        <v>350</v>
      </c>
      <c r="Y150" s="386">
        <f t="shared" si="215"/>
        <v>285.39168368427801</v>
      </c>
      <c r="AA150" s="191">
        <f t="shared" si="280"/>
        <v>1.3136683244726464</v>
      </c>
      <c r="AB150" s="153">
        <f t="shared" si="281"/>
        <v>1.5434745326702111</v>
      </c>
      <c r="AC150" s="153">
        <f t="shared" si="282"/>
        <v>0.17741619027991926</v>
      </c>
      <c r="AD150" s="153"/>
      <c r="AE150" s="153">
        <f t="shared" si="283"/>
        <v>0.96344647519582249</v>
      </c>
      <c r="AF150" s="317">
        <f t="shared" si="284"/>
        <v>1012.6247603939456</v>
      </c>
      <c r="AG150" s="463">
        <f t="shared" si="285"/>
        <v>6.9127284595300251E-2</v>
      </c>
      <c r="AI150" s="153">
        <f t="shared" si="286"/>
        <v>1.394774829639833</v>
      </c>
      <c r="AJ150" s="153">
        <f t="shared" si="287"/>
        <v>1.6110627598878251</v>
      </c>
      <c r="AK150" s="153">
        <f t="shared" si="288"/>
        <v>1.7273751732585501</v>
      </c>
      <c r="AM150" s="317">
        <f t="shared" si="289"/>
        <v>200</v>
      </c>
      <c r="AN150" s="147">
        <f t="shared" si="290"/>
        <v>285.39168368427801</v>
      </c>
      <c r="AP150" s="147">
        <f t="shared" si="291"/>
        <v>200</v>
      </c>
      <c r="AQ150" s="147">
        <f t="shared" si="292"/>
        <v>285.39168368427801</v>
      </c>
      <c r="AS150" s="5">
        <f t="shared" si="263"/>
        <v>3.5039563420014583</v>
      </c>
      <c r="AT150" s="5">
        <f t="shared" si="293"/>
        <v>1.6110627598878251</v>
      </c>
      <c r="AU150" s="5">
        <f t="shared" si="230"/>
        <v>1.8928935821136332</v>
      </c>
      <c r="AV150" s="5"/>
      <c r="AW150" s="153">
        <f t="shared" si="231"/>
        <v>0.45978391356542608</v>
      </c>
      <c r="AX150" s="153">
        <f t="shared" si="259"/>
        <v>3.333333333333333</v>
      </c>
      <c r="AY150" s="153">
        <f t="shared" si="260"/>
        <v>0.21758050478677116</v>
      </c>
      <c r="AZ150" s="153">
        <f t="shared" si="264"/>
        <v>15.319999999999995</v>
      </c>
      <c r="BA150" s="147">
        <f t="shared" si="294"/>
        <v>17.910795069528412</v>
      </c>
      <c r="BB150" s="147">
        <f t="shared" si="295"/>
        <v>4.104962370370373</v>
      </c>
      <c r="BC150" s="5">
        <f t="shared" si="258"/>
        <v>1.2631922469894115</v>
      </c>
      <c r="BD150" s="147">
        <f t="shared" si="296"/>
        <v>32.978006432889451</v>
      </c>
      <c r="BF150" s="153">
        <f t="shared" si="265"/>
        <v>0.63070854920983632</v>
      </c>
      <c r="BG150" s="153">
        <f t="shared" si="261"/>
        <v>0.34182639284660354</v>
      </c>
      <c r="BI150" s="463">
        <f t="shared" si="236"/>
        <v>4.3757260145101423E-2</v>
      </c>
      <c r="BJ150" s="463">
        <f t="shared" si="237"/>
        <v>3.8299999999999994E-2</v>
      </c>
      <c r="BK150" s="463">
        <f t="shared" si="238"/>
        <v>1.4269584184213901E-2</v>
      </c>
      <c r="BL150" s="463">
        <f t="shared" si="239"/>
        <v>1.7822713499999997E-2</v>
      </c>
      <c r="BM150">
        <f t="shared" si="240"/>
        <v>2.6099999999999999E-3</v>
      </c>
      <c r="BN150">
        <f t="shared" si="297"/>
        <v>1.141566734737112E-5</v>
      </c>
      <c r="BO150" s="463">
        <f t="shared" si="298"/>
        <v>0.1236766719168832</v>
      </c>
      <c r="BP150" s="147">
        <f t="shared" si="243"/>
        <v>116.75955782931533</v>
      </c>
      <c r="BQ150" s="463">
        <f t="shared" si="299"/>
        <v>9.4253959218948358E-2</v>
      </c>
      <c r="BT150" s="147">
        <f t="shared" si="245"/>
        <v>94.253959218948353</v>
      </c>
      <c r="BU150" s="463">
        <f t="shared" si="246"/>
        <v>3.3812428293942008E-2</v>
      </c>
      <c r="BV150" s="463">
        <f t="shared" si="247"/>
        <v>2.22006037408389E-2</v>
      </c>
      <c r="BW150" s="463">
        <f t="shared" si="248"/>
        <v>0</v>
      </c>
      <c r="BX150" s="463"/>
      <c r="BY150" s="463">
        <f t="shared" si="249"/>
        <v>0.37037037037037041</v>
      </c>
      <c r="BZ150" s="147">
        <f t="shared" si="250"/>
        <v>426.38340240515134</v>
      </c>
      <c r="CA150" s="153">
        <f t="shared" si="251"/>
        <v>0.63739691945341503</v>
      </c>
      <c r="CB150" s="5">
        <f t="shared" si="252"/>
        <v>3</v>
      </c>
      <c r="CC150" s="153">
        <f t="shared" si="253"/>
        <v>0.82476564049292822</v>
      </c>
      <c r="CD150" s="5">
        <f t="shared" si="254"/>
        <v>82.476564049292818</v>
      </c>
      <c r="CG150" s="59">
        <f t="shared" si="300"/>
        <v>-50</v>
      </c>
      <c r="CH150">
        <f t="shared" si="301"/>
        <v>-50</v>
      </c>
    </row>
    <row r="151" spans="5:86" x14ac:dyDescent="0.25">
      <c r="E151" s="150">
        <v>41</v>
      </c>
      <c r="F151" s="191">
        <f t="shared" si="302"/>
        <v>0.20499999999999999</v>
      </c>
      <c r="G151" s="191"/>
      <c r="H151" s="191">
        <f t="shared" si="266"/>
        <v>3.0749999999999997</v>
      </c>
      <c r="I151" s="472">
        <f t="shared" si="267"/>
        <v>9</v>
      </c>
      <c r="J151" s="386">
        <f t="shared" si="268"/>
        <v>7.66</v>
      </c>
      <c r="K151" s="386">
        <f t="shared" si="269"/>
        <v>16.66</v>
      </c>
      <c r="L151" s="386"/>
      <c r="M151" s="191">
        <f t="shared" si="270"/>
        <v>0.45978391356542619</v>
      </c>
      <c r="N151" s="152">
        <f t="shared" si="271"/>
        <v>7.6905756302521011</v>
      </c>
      <c r="O151" s="152">
        <f t="shared" si="262"/>
        <v>3.0749999999999997</v>
      </c>
      <c r="P151" s="191">
        <f t="shared" si="272"/>
        <v>0.51270504201680678</v>
      </c>
      <c r="Q151" s="191">
        <f t="shared" si="273"/>
        <v>15</v>
      </c>
      <c r="R151" s="191"/>
      <c r="S151" s="152">
        <f t="shared" si="274"/>
        <v>63.090836209460697</v>
      </c>
      <c r="T151" s="152">
        <f t="shared" si="275"/>
        <v>15</v>
      </c>
      <c r="U151" s="191">
        <f t="shared" si="276"/>
        <v>1.6513393288850207</v>
      </c>
      <c r="V151" s="191">
        <f t="shared" si="277"/>
        <v>1.6513393288850209</v>
      </c>
      <c r="W151" s="191">
        <f t="shared" si="278"/>
        <v>1.9402159216664732</v>
      </c>
      <c r="X151" s="175">
        <f t="shared" si="279"/>
        <v>350</v>
      </c>
      <c r="Y151" s="386">
        <f t="shared" si="215"/>
        <v>278.4309109114908</v>
      </c>
      <c r="AA151" s="191">
        <f t="shared" si="280"/>
        <v>1.3136683244726464</v>
      </c>
      <c r="AB151" s="153">
        <f t="shared" si="281"/>
        <v>1.5434745326702111</v>
      </c>
      <c r="AC151" s="153">
        <f t="shared" si="282"/>
        <v>0.17741619027991926</v>
      </c>
      <c r="AD151" s="153"/>
      <c r="AE151" s="153">
        <f t="shared" si="283"/>
        <v>0.96344647519582249</v>
      </c>
      <c r="AF151" s="317">
        <f t="shared" si="284"/>
        <v>1037.9403794037942</v>
      </c>
      <c r="AG151" s="463">
        <f t="shared" si="285"/>
        <v>6.9127284595300251E-2</v>
      </c>
      <c r="AI151" s="153">
        <f t="shared" si="286"/>
        <v>1.4121018893945811</v>
      </c>
      <c r="AJ151" s="153">
        <f t="shared" si="287"/>
        <v>1.6513393288850207</v>
      </c>
      <c r="AK151" s="153">
        <f t="shared" si="288"/>
        <v>1.7542262192566804</v>
      </c>
      <c r="AM151" s="317">
        <f t="shared" si="289"/>
        <v>205</v>
      </c>
      <c r="AN151" s="147">
        <f t="shared" si="290"/>
        <v>278.4309109114908</v>
      </c>
      <c r="AP151" s="147">
        <f t="shared" si="291"/>
        <v>205</v>
      </c>
      <c r="AQ151" s="147">
        <f t="shared" si="292"/>
        <v>278.4309109114908</v>
      </c>
      <c r="AS151" s="5">
        <f t="shared" si="263"/>
        <v>3.5915552505514938</v>
      </c>
      <c r="AT151" s="5">
        <f t="shared" si="293"/>
        <v>1.6513393288850209</v>
      </c>
      <c r="AU151" s="5">
        <f t="shared" si="230"/>
        <v>1.9402159216664729</v>
      </c>
      <c r="AV151" s="5"/>
      <c r="AW151" s="153">
        <f t="shared" si="231"/>
        <v>0.45978391356542625</v>
      </c>
      <c r="AX151" s="153">
        <f t="shared" si="259"/>
        <v>3.416666666666667</v>
      </c>
      <c r="AY151" s="153">
        <f t="shared" si="260"/>
        <v>0.22302001740644034</v>
      </c>
      <c r="AZ151" s="153">
        <f t="shared" si="264"/>
        <v>15.320000000000004</v>
      </c>
      <c r="BA151" s="147">
        <f t="shared" si="294"/>
        <v>17.910795069528412</v>
      </c>
      <c r="BB151" s="147">
        <f t="shared" si="295"/>
        <v>4.2974010903703705</v>
      </c>
      <c r="BC151" s="5">
        <f t="shared" si="258"/>
        <v>1.3271413544932493</v>
      </c>
      <c r="BD151" s="147">
        <f t="shared" si="296"/>
        <v>34.619045786332229</v>
      </c>
      <c r="BF151" s="153">
        <f t="shared" si="265"/>
        <v>0.64647626294008231</v>
      </c>
      <c r="BG151" s="153">
        <f t="shared" si="261"/>
        <v>0.35037205266776861</v>
      </c>
      <c r="BI151" s="463">
        <f t="shared" si="236"/>
        <v>4.5972471439947191E-2</v>
      </c>
      <c r="BJ151" s="463">
        <f t="shared" si="237"/>
        <v>3.8300000000000001E-2</v>
      </c>
      <c r="BK151" s="463">
        <f t="shared" si="238"/>
        <v>1.3921545545574539E-2</v>
      </c>
      <c r="BL151" s="463">
        <f t="shared" si="239"/>
        <v>1.7388013170731711E-2</v>
      </c>
      <c r="BM151">
        <f t="shared" si="240"/>
        <v>2.6099999999999999E-3</v>
      </c>
      <c r="BN151">
        <f t="shared" si="297"/>
        <v>1.1137236436459633E-5</v>
      </c>
      <c r="BO151" s="463">
        <f t="shared" si="298"/>
        <v>0.12547370912301581</v>
      </c>
      <c r="BP151" s="147">
        <f t="shared" si="243"/>
        <v>118.19203015625344</v>
      </c>
      <c r="BQ151" s="463">
        <f t="shared" si="299"/>
        <v>9.7067815904407592E-2</v>
      </c>
      <c r="BT151" s="147">
        <f t="shared" si="245"/>
        <v>97.067815904407595</v>
      </c>
      <c r="BU151" s="463">
        <f t="shared" si="246"/>
        <v>3.552418247632283E-2</v>
      </c>
      <c r="BV151" s="463">
        <f t="shared" si="247"/>
        <v>2.3324509305218868E-2</v>
      </c>
      <c r="BW151" s="463">
        <f t="shared" si="248"/>
        <v>0</v>
      </c>
      <c r="BX151" s="463"/>
      <c r="BY151" s="463">
        <f t="shared" si="249"/>
        <v>0.37962962962962965</v>
      </c>
      <c r="BZ151" s="147">
        <f t="shared" si="250"/>
        <v>438.47832141117135</v>
      </c>
      <c r="CA151" s="153">
        <f t="shared" si="251"/>
        <v>0.65373816747183233</v>
      </c>
      <c r="CB151" s="5">
        <f t="shared" si="252"/>
        <v>3.0749999999999997</v>
      </c>
      <c r="CC151" s="153">
        <f t="shared" si="253"/>
        <v>0.82467576480032623</v>
      </c>
      <c r="CD151" s="5">
        <f t="shared" si="254"/>
        <v>82.467576480032619</v>
      </c>
      <c r="CG151" s="59">
        <f t="shared" si="300"/>
        <v>-50</v>
      </c>
      <c r="CH151">
        <f t="shared" si="301"/>
        <v>-50</v>
      </c>
    </row>
    <row r="152" spans="5:86" x14ac:dyDescent="0.25">
      <c r="E152" s="150">
        <v>42</v>
      </c>
      <c r="F152" s="191">
        <f t="shared" si="302"/>
        <v>0.21</v>
      </c>
      <c r="G152" s="191"/>
      <c r="H152" s="191">
        <f t="shared" si="266"/>
        <v>3.15</v>
      </c>
      <c r="I152" s="472">
        <f t="shared" si="267"/>
        <v>9</v>
      </c>
      <c r="J152" s="386">
        <f t="shared" si="268"/>
        <v>7.66</v>
      </c>
      <c r="K152" s="386">
        <f t="shared" si="269"/>
        <v>16.66</v>
      </c>
      <c r="L152" s="386"/>
      <c r="M152" s="191">
        <f t="shared" si="270"/>
        <v>0.45978391356542619</v>
      </c>
      <c r="N152" s="152">
        <f t="shared" si="271"/>
        <v>7.6905756302521011</v>
      </c>
      <c r="O152" s="152">
        <f t="shared" si="262"/>
        <v>3.15</v>
      </c>
      <c r="P152" s="191">
        <f t="shared" si="272"/>
        <v>0.51270504201680678</v>
      </c>
      <c r="Q152" s="191">
        <f t="shared" si="273"/>
        <v>15</v>
      </c>
      <c r="R152" s="191"/>
      <c r="S152" s="152">
        <f t="shared" si="274"/>
        <v>61.165109789851812</v>
      </c>
      <c r="T152" s="152">
        <f t="shared" si="275"/>
        <v>15</v>
      </c>
      <c r="U152" s="191">
        <f t="shared" si="276"/>
        <v>1.6916158978822162</v>
      </c>
      <c r="V152" s="191">
        <f t="shared" si="277"/>
        <v>1.6916158978822164</v>
      </c>
      <c r="W152" s="191">
        <f t="shared" si="278"/>
        <v>1.987538261219314</v>
      </c>
      <c r="X152" s="175">
        <f t="shared" si="279"/>
        <v>350</v>
      </c>
      <c r="Y152" s="386">
        <f t="shared" si="215"/>
        <v>271.80160350883625</v>
      </c>
      <c r="AA152" s="191">
        <f t="shared" si="280"/>
        <v>1.3136683244726464</v>
      </c>
      <c r="AB152" s="153">
        <f t="shared" si="281"/>
        <v>1.5434745326702111</v>
      </c>
      <c r="AC152" s="153">
        <f t="shared" si="282"/>
        <v>0.17741619027991926</v>
      </c>
      <c r="AD152" s="153"/>
      <c r="AE152" s="153">
        <f t="shared" si="283"/>
        <v>0.96344647519582249</v>
      </c>
      <c r="AF152" s="317">
        <f t="shared" si="284"/>
        <v>1063.2559984136428</v>
      </c>
      <c r="AG152" s="463">
        <f t="shared" si="285"/>
        <v>6.9127284595300251E-2</v>
      </c>
      <c r="AI152" s="153">
        <f t="shared" si="286"/>
        <v>1.4292189008919054</v>
      </c>
      <c r="AJ152" s="153">
        <f t="shared" si="287"/>
        <v>1.6916158978822162</v>
      </c>
      <c r="AK152" s="153">
        <f t="shared" si="288"/>
        <v>1.7810772652548108</v>
      </c>
      <c r="AM152" s="317">
        <f t="shared" si="289"/>
        <v>210</v>
      </c>
      <c r="AN152" s="147">
        <f t="shared" si="290"/>
        <v>271.80160350883625</v>
      </c>
      <c r="AP152" s="147">
        <f t="shared" si="291"/>
        <v>210</v>
      </c>
      <c r="AQ152" s="147">
        <f t="shared" si="292"/>
        <v>271.80160350883625</v>
      </c>
      <c r="AS152" s="5">
        <f t="shared" si="263"/>
        <v>3.6791541591015302</v>
      </c>
      <c r="AT152" s="5">
        <f t="shared" si="293"/>
        <v>1.6916158978822164</v>
      </c>
      <c r="AU152" s="5">
        <f t="shared" si="230"/>
        <v>1.9875382612193138</v>
      </c>
      <c r="AV152" s="5"/>
      <c r="AW152" s="153">
        <f t="shared" si="231"/>
        <v>0.45978391356542625</v>
      </c>
      <c r="AX152" s="153">
        <f t="shared" si="259"/>
        <v>3.4999999999999996</v>
      </c>
      <c r="AY152" s="153">
        <f t="shared" si="260"/>
        <v>0.22845953002610961</v>
      </c>
      <c r="AZ152" s="153">
        <f t="shared" si="264"/>
        <v>15.320000000000002</v>
      </c>
      <c r="BA152" s="147">
        <f t="shared" si="294"/>
        <v>17.910795069528412</v>
      </c>
      <c r="BB152" s="147">
        <f t="shared" si="295"/>
        <v>4.4942210133333349</v>
      </c>
      <c r="BC152" s="5">
        <f t="shared" si="258"/>
        <v>1.3926694523058254</v>
      </c>
      <c r="BD152" s="147">
        <f t="shared" si="296"/>
        <v>36.299918758927255</v>
      </c>
      <c r="BF152" s="153">
        <f t="shared" si="265"/>
        <v>0.66224397667032819</v>
      </c>
      <c r="BG152" s="153">
        <f t="shared" si="261"/>
        <v>0.35891771248893367</v>
      </c>
      <c r="BI152" s="463">
        <f t="shared" si="236"/>
        <v>4.8242379309974319E-2</v>
      </c>
      <c r="BJ152" s="463">
        <f t="shared" si="237"/>
        <v>3.8300000000000001E-2</v>
      </c>
      <c r="BK152" s="463">
        <f t="shared" si="238"/>
        <v>1.3590080175441811E-2</v>
      </c>
      <c r="BL152" s="463">
        <f t="shared" si="239"/>
        <v>1.697401285714286E-2</v>
      </c>
      <c r="BM152">
        <f t="shared" si="240"/>
        <v>2.6099999999999999E-3</v>
      </c>
      <c r="BN152">
        <f t="shared" si="297"/>
        <v>1.0872064140353449E-5</v>
      </c>
      <c r="BO152" s="463">
        <f t="shared" si="298"/>
        <v>0.12737378386953052</v>
      </c>
      <c r="BP152" s="147">
        <f t="shared" si="243"/>
        <v>119.716472342559</v>
      </c>
      <c r="BQ152" s="463">
        <f t="shared" si="299"/>
        <v>9.9903990038890542E-2</v>
      </c>
      <c r="BT152" s="147">
        <f t="shared" si="245"/>
        <v>99.903990038890541</v>
      </c>
      <c r="BU152" s="463">
        <f t="shared" si="246"/>
        <v>3.7278202194071068E-2</v>
      </c>
      <c r="BV152" s="463">
        <f t="shared" si="247"/>
        <v>2.4476165624274879E-2</v>
      </c>
      <c r="BW152" s="463">
        <f t="shared" si="248"/>
        <v>0</v>
      </c>
      <c r="BX152" s="463"/>
      <c r="BY152" s="463">
        <f t="shared" si="249"/>
        <v>0.3888888888888889</v>
      </c>
      <c r="BZ152" s="147">
        <f t="shared" si="250"/>
        <v>450.6432567072348</v>
      </c>
      <c r="CA152" s="153">
        <f t="shared" si="251"/>
        <v>0.67026371908868443</v>
      </c>
      <c r="CB152" s="5">
        <f t="shared" si="252"/>
        <v>3.15</v>
      </c>
      <c r="CC152" s="153">
        <f t="shared" si="253"/>
        <v>0.82455040584251227</v>
      </c>
      <c r="CD152" s="5">
        <f t="shared" si="254"/>
        <v>82.455040584251222</v>
      </c>
      <c r="CG152" s="59">
        <f t="shared" si="300"/>
        <v>-50</v>
      </c>
      <c r="CH152">
        <f t="shared" si="301"/>
        <v>-50</v>
      </c>
    </row>
    <row r="153" spans="5:86" x14ac:dyDescent="0.25">
      <c r="E153" s="150">
        <v>43</v>
      </c>
      <c r="F153" s="191">
        <f t="shared" si="302"/>
        <v>0.215</v>
      </c>
      <c r="G153" s="191"/>
      <c r="H153" s="191">
        <f t="shared" si="266"/>
        <v>3.2250000000000001</v>
      </c>
      <c r="I153" s="472">
        <f t="shared" si="267"/>
        <v>9</v>
      </c>
      <c r="J153" s="386">
        <f t="shared" si="268"/>
        <v>7.66</v>
      </c>
      <c r="K153" s="386">
        <f t="shared" si="269"/>
        <v>16.66</v>
      </c>
      <c r="L153" s="386"/>
      <c r="M153" s="191">
        <f t="shared" si="270"/>
        <v>0.45978391356542619</v>
      </c>
      <c r="N153" s="152">
        <f t="shared" si="271"/>
        <v>7.6905756302521011</v>
      </c>
      <c r="O153" s="152">
        <f t="shared" si="262"/>
        <v>3.2250000000000001</v>
      </c>
      <c r="P153" s="191">
        <f t="shared" si="272"/>
        <v>0.51270504201680678</v>
      </c>
      <c r="Q153" s="191">
        <f t="shared" si="273"/>
        <v>15</v>
      </c>
      <c r="R153" s="191"/>
      <c r="S153" s="152">
        <f t="shared" si="274"/>
        <v>59.329122845355172</v>
      </c>
      <c r="T153" s="152">
        <f t="shared" si="275"/>
        <v>15</v>
      </c>
      <c r="U153" s="191">
        <f t="shared" si="276"/>
        <v>1.731892466879412</v>
      </c>
      <c r="V153" s="191">
        <f t="shared" si="277"/>
        <v>1.731892466879412</v>
      </c>
      <c r="W153" s="191">
        <f t="shared" si="278"/>
        <v>2.0348606007721548</v>
      </c>
      <c r="X153" s="175">
        <f t="shared" si="279"/>
        <v>350</v>
      </c>
      <c r="Y153" s="386">
        <f t="shared" si="215"/>
        <v>265.48063598537499</v>
      </c>
      <c r="AA153" s="191">
        <f t="shared" si="280"/>
        <v>1.3136683244726464</v>
      </c>
      <c r="AB153" s="153">
        <f t="shared" si="281"/>
        <v>1.5434745326702111</v>
      </c>
      <c r="AC153" s="153">
        <f t="shared" si="282"/>
        <v>0.17741619027991926</v>
      </c>
      <c r="AD153" s="153"/>
      <c r="AE153" s="153">
        <f t="shared" si="283"/>
        <v>0.96344647519582249</v>
      </c>
      <c r="AF153" s="317">
        <f t="shared" si="284"/>
        <v>1088.5716174234913</v>
      </c>
      <c r="AG153" s="463">
        <f t="shared" si="285"/>
        <v>6.9127284595300251E-2</v>
      </c>
      <c r="AI153" s="153">
        <f t="shared" si="286"/>
        <v>1.4461333227962032</v>
      </c>
      <c r="AJ153" s="153">
        <f t="shared" si="287"/>
        <v>1.731892466879412</v>
      </c>
      <c r="AK153" s="153">
        <f t="shared" si="288"/>
        <v>1.8079283112529414</v>
      </c>
      <c r="AM153" s="317">
        <f t="shared" si="289"/>
        <v>215</v>
      </c>
      <c r="AN153" s="147">
        <f t="shared" si="290"/>
        <v>265.48063598537499</v>
      </c>
      <c r="AP153" s="147">
        <f t="shared" si="291"/>
        <v>215</v>
      </c>
      <c r="AQ153" s="147">
        <f t="shared" si="292"/>
        <v>265.48063598537499</v>
      </c>
      <c r="AS153" s="5">
        <f t="shared" si="263"/>
        <v>3.7667530676515661</v>
      </c>
      <c r="AT153" s="5">
        <f t="shared" si="293"/>
        <v>1.731892466879412</v>
      </c>
      <c r="AU153" s="5">
        <f t="shared" si="230"/>
        <v>2.0348606007721539</v>
      </c>
      <c r="AV153" s="5"/>
      <c r="AW153" s="153">
        <f t="shared" si="231"/>
        <v>0.45978391356542631</v>
      </c>
      <c r="AX153" s="153">
        <f t="shared" si="259"/>
        <v>3.5833333333333344</v>
      </c>
      <c r="AY153" s="153">
        <f t="shared" si="260"/>
        <v>0.2338990426457789</v>
      </c>
      <c r="AZ153" s="153">
        <f t="shared" si="264"/>
        <v>15.320000000000007</v>
      </c>
      <c r="BA153" s="147">
        <f t="shared" si="294"/>
        <v>17.910795069528412</v>
      </c>
      <c r="BB153" s="147">
        <f t="shared" si="295"/>
        <v>4.6954221392592608</v>
      </c>
      <c r="BC153" s="5">
        <f t="shared" si="258"/>
        <v>1.4597765404271372</v>
      </c>
      <c r="BD153" s="147">
        <f t="shared" si="296"/>
        <v>38.0206253506745</v>
      </c>
      <c r="BF153" s="153">
        <f t="shared" si="265"/>
        <v>0.67801169040057419</v>
      </c>
      <c r="BG153" s="153">
        <f t="shared" si="261"/>
        <v>0.36746337231009879</v>
      </c>
      <c r="BI153" s="463">
        <f t="shared" si="236"/>
        <v>5.056698375518285E-2</v>
      </c>
      <c r="BJ153" s="463">
        <f t="shared" si="237"/>
        <v>3.8300000000000008E-2</v>
      </c>
      <c r="BK153" s="463">
        <f t="shared" si="238"/>
        <v>1.3274031799268749E-2</v>
      </c>
      <c r="BL153" s="463">
        <f t="shared" si="239"/>
        <v>1.6579268372093031E-2</v>
      </c>
      <c r="BM153">
        <f t="shared" si="240"/>
        <v>2.6099999999999999E-3</v>
      </c>
      <c r="BN153">
        <f t="shared" si="297"/>
        <v>1.0619225439414999E-5</v>
      </c>
      <c r="BO153" s="463">
        <f t="shared" si="298"/>
        <v>0.12937445901177924</v>
      </c>
      <c r="BP153" s="147">
        <f t="shared" si="243"/>
        <v>121.33028392654464</v>
      </c>
      <c r="BQ153" s="463">
        <f t="shared" si="299"/>
        <v>0.10276248162239718</v>
      </c>
      <c r="BT153" s="147">
        <f t="shared" si="245"/>
        <v>102.76248162239717</v>
      </c>
      <c r="BU153" s="463">
        <f t="shared" si="246"/>
        <v>3.9074487447186751E-2</v>
      </c>
      <c r="BV153" s="463">
        <f t="shared" si="247"/>
        <v>2.5655572698006952E-2</v>
      </c>
      <c r="BW153" s="463">
        <f t="shared" si="248"/>
        <v>0</v>
      </c>
      <c r="BX153" s="463"/>
      <c r="BY153" s="463">
        <f t="shared" si="249"/>
        <v>0.39814814814814831</v>
      </c>
      <c r="BZ153" s="147">
        <f t="shared" si="250"/>
        <v>462.87820829334203</v>
      </c>
      <c r="CA153" s="153">
        <f t="shared" si="251"/>
        <v>0.68697097384228378</v>
      </c>
      <c r="CB153" s="5">
        <f t="shared" si="252"/>
        <v>3.2250000000000001</v>
      </c>
      <c r="CC153" s="153">
        <f t="shared" si="253"/>
        <v>0.82439261987479673</v>
      </c>
      <c r="CD153" s="5">
        <f t="shared" si="254"/>
        <v>82.439261987479668</v>
      </c>
      <c r="CG153" s="59">
        <f t="shared" si="300"/>
        <v>-50</v>
      </c>
      <c r="CH153">
        <f t="shared" si="301"/>
        <v>-50</v>
      </c>
    </row>
    <row r="154" spans="5:86" x14ac:dyDescent="0.25">
      <c r="E154" s="150">
        <v>44</v>
      </c>
      <c r="F154" s="191">
        <f t="shared" si="302"/>
        <v>0.22</v>
      </c>
      <c r="G154" s="191"/>
      <c r="H154" s="191">
        <f t="shared" si="266"/>
        <v>3.3</v>
      </c>
      <c r="I154" s="472">
        <f t="shared" si="267"/>
        <v>9</v>
      </c>
      <c r="J154" s="386">
        <f t="shared" si="268"/>
        <v>7.66</v>
      </c>
      <c r="K154" s="386">
        <f t="shared" si="269"/>
        <v>16.66</v>
      </c>
      <c r="L154" s="386"/>
      <c r="M154" s="191">
        <f t="shared" si="270"/>
        <v>0.45978391356542619</v>
      </c>
      <c r="N154" s="152">
        <f t="shared" si="271"/>
        <v>7.6905756302521011</v>
      </c>
      <c r="O154" s="152">
        <f t="shared" si="262"/>
        <v>3.3</v>
      </c>
      <c r="P154" s="191">
        <f t="shared" si="272"/>
        <v>0.51270504201680678</v>
      </c>
      <c r="Q154" s="191">
        <f t="shared" si="273"/>
        <v>15</v>
      </c>
      <c r="R154" s="191"/>
      <c r="S154" s="152">
        <f t="shared" si="274"/>
        <v>57.576760159456086</v>
      </c>
      <c r="T154" s="152">
        <f t="shared" si="275"/>
        <v>15</v>
      </c>
      <c r="U154" s="191">
        <f t="shared" si="276"/>
        <v>1.7721690358766076</v>
      </c>
      <c r="V154" s="191">
        <f t="shared" si="277"/>
        <v>1.7721690358766078</v>
      </c>
      <c r="W154" s="191">
        <f t="shared" si="278"/>
        <v>2.0821829403249961</v>
      </c>
      <c r="X154" s="175">
        <f t="shared" si="279"/>
        <v>350</v>
      </c>
      <c r="Y154" s="386">
        <f t="shared" si="215"/>
        <v>259.44698516752544</v>
      </c>
      <c r="AA154" s="191">
        <f t="shared" si="280"/>
        <v>1.3136683244726464</v>
      </c>
      <c r="AB154" s="153">
        <f t="shared" si="281"/>
        <v>1.5434745326702111</v>
      </c>
      <c r="AC154" s="153">
        <f t="shared" si="282"/>
        <v>0.17741619027991926</v>
      </c>
      <c r="AD154" s="153"/>
      <c r="AE154" s="153">
        <f t="shared" si="283"/>
        <v>0.96344647519582249</v>
      </c>
      <c r="AF154" s="317">
        <f t="shared" si="284"/>
        <v>1113.8872364333399</v>
      </c>
      <c r="AG154" s="463">
        <f t="shared" si="285"/>
        <v>6.9127284595300251E-2</v>
      </c>
      <c r="AI154" s="153">
        <f t="shared" si="286"/>
        <v>1.4628521825312728</v>
      </c>
      <c r="AJ154" s="153">
        <f t="shared" si="287"/>
        <v>1.7721690358766076</v>
      </c>
      <c r="AK154" s="153">
        <f t="shared" si="288"/>
        <v>1.8347793572510718</v>
      </c>
      <c r="AM154" s="317">
        <f t="shared" si="289"/>
        <v>220</v>
      </c>
      <c r="AN154" s="147">
        <f t="shared" si="290"/>
        <v>259.44698516752544</v>
      </c>
      <c r="AP154" s="147">
        <f t="shared" si="291"/>
        <v>220</v>
      </c>
      <c r="AQ154" s="147">
        <f t="shared" si="292"/>
        <v>259.44698516752544</v>
      </c>
      <c r="AS154" s="5">
        <f t="shared" si="263"/>
        <v>3.8543519762016043</v>
      </c>
      <c r="AT154" s="5">
        <f t="shared" si="293"/>
        <v>1.7721690358766078</v>
      </c>
      <c r="AU154" s="5">
        <f t="shared" si="230"/>
        <v>2.0821829403249965</v>
      </c>
      <c r="AV154" s="5"/>
      <c r="AW154" s="153">
        <f t="shared" si="231"/>
        <v>0.45978391356542614</v>
      </c>
      <c r="AX154" s="153">
        <f t="shared" si="259"/>
        <v>3.6666666666666656</v>
      </c>
      <c r="AY154" s="153">
        <f t="shared" si="260"/>
        <v>0.23933855526544823</v>
      </c>
      <c r="AZ154" s="153">
        <f t="shared" si="264"/>
        <v>15.319999999999995</v>
      </c>
      <c r="BA154" s="147">
        <f t="shared" si="294"/>
        <v>17.910795069528412</v>
      </c>
      <c r="BB154" s="147">
        <f t="shared" si="295"/>
        <v>4.9010044681481499</v>
      </c>
      <c r="BC154" s="5">
        <f t="shared" si="258"/>
        <v>1.5284626188571877</v>
      </c>
      <c r="BD154" s="147">
        <f t="shared" si="296"/>
        <v>39.781165561574007</v>
      </c>
      <c r="BF154" s="153">
        <f t="shared" si="265"/>
        <v>0.69377940413081995</v>
      </c>
      <c r="BG154" s="153">
        <f t="shared" si="261"/>
        <v>0.37600903213126391</v>
      </c>
      <c r="BI154" s="463">
        <f t="shared" si="236"/>
        <v>5.2946284775572713E-2</v>
      </c>
      <c r="BJ154" s="463">
        <f t="shared" si="237"/>
        <v>3.8299999999999994E-2</v>
      </c>
      <c r="BK154" s="463">
        <f t="shared" si="238"/>
        <v>1.2972349258376271E-2</v>
      </c>
      <c r="BL154" s="463">
        <f t="shared" si="239"/>
        <v>1.6202466818181816E-2</v>
      </c>
      <c r="BM154">
        <f t="shared" si="240"/>
        <v>2.6099999999999999E-3</v>
      </c>
      <c r="BN154">
        <f t="shared" si="297"/>
        <v>1.0377879406701018E-5</v>
      </c>
      <c r="BO154" s="463">
        <f t="shared" si="298"/>
        <v>0.13147353820649429</v>
      </c>
      <c r="BP154" s="147">
        <f t="shared" si="243"/>
        <v>123.03110085213079</v>
      </c>
      <c r="BQ154" s="463">
        <f t="shared" si="299"/>
        <v>0.10564329065492749</v>
      </c>
      <c r="BT154" s="147">
        <f t="shared" si="245"/>
        <v>105.64329065492748</v>
      </c>
      <c r="BU154" s="463">
        <f t="shared" si="246"/>
        <v>4.091303823566983E-2</v>
      </c>
      <c r="BV154" s="463">
        <f t="shared" si="247"/>
        <v>2.6862730526415073E-2</v>
      </c>
      <c r="BW154" s="463">
        <f t="shared" si="248"/>
        <v>0</v>
      </c>
      <c r="BX154" s="463"/>
      <c r="BY154" s="463">
        <f t="shared" si="249"/>
        <v>0.40740740740740738</v>
      </c>
      <c r="BZ154" s="147">
        <f t="shared" si="250"/>
        <v>475.1831761694923</v>
      </c>
      <c r="CA154" s="153">
        <f t="shared" si="251"/>
        <v>0.70385756767655061</v>
      </c>
      <c r="CB154" s="5">
        <f t="shared" si="252"/>
        <v>3.3</v>
      </c>
      <c r="CC154" s="153">
        <f t="shared" si="253"/>
        <v>0.8242051432201668</v>
      </c>
      <c r="CD154" s="5">
        <f t="shared" si="254"/>
        <v>82.420514322016686</v>
      </c>
      <c r="CG154" s="59">
        <f t="shared" si="300"/>
        <v>-50</v>
      </c>
      <c r="CH154">
        <f t="shared" si="301"/>
        <v>-50</v>
      </c>
    </row>
    <row r="155" spans="5:86" x14ac:dyDescent="0.25">
      <c r="E155" s="150">
        <v>45</v>
      </c>
      <c r="F155" s="191">
        <f t="shared" si="302"/>
        <v>0.22500000000000001</v>
      </c>
      <c r="G155" s="191"/>
      <c r="H155" s="191">
        <f t="shared" si="266"/>
        <v>3.375</v>
      </c>
      <c r="I155" s="472">
        <f t="shared" si="267"/>
        <v>9</v>
      </c>
      <c r="J155" s="386">
        <f t="shared" si="268"/>
        <v>7.66</v>
      </c>
      <c r="K155" s="386">
        <f t="shared" si="269"/>
        <v>16.66</v>
      </c>
      <c r="L155" s="386"/>
      <c r="M155" s="191">
        <f t="shared" si="270"/>
        <v>0.45978391356542619</v>
      </c>
      <c r="N155" s="152">
        <f t="shared" si="271"/>
        <v>7.6905756302521011</v>
      </c>
      <c r="O155" s="152">
        <f t="shared" si="262"/>
        <v>3.375</v>
      </c>
      <c r="P155" s="191">
        <f t="shared" si="272"/>
        <v>0.51270504201680678</v>
      </c>
      <c r="Q155" s="191">
        <f t="shared" si="273"/>
        <v>15</v>
      </c>
      <c r="R155" s="191"/>
      <c r="S155" s="152">
        <f t="shared" si="274"/>
        <v>55.902450177496988</v>
      </c>
      <c r="T155" s="152">
        <f t="shared" si="275"/>
        <v>15</v>
      </c>
      <c r="U155" s="191">
        <f t="shared" si="276"/>
        <v>1.8124456048738031</v>
      </c>
      <c r="V155" s="191">
        <f t="shared" si="277"/>
        <v>1.8124456048738031</v>
      </c>
      <c r="W155" s="191">
        <f t="shared" si="278"/>
        <v>2.1295052798778364</v>
      </c>
      <c r="X155" s="175">
        <f t="shared" si="279"/>
        <v>350</v>
      </c>
      <c r="Y155" s="386">
        <f t="shared" si="215"/>
        <v>253.68149660824719</v>
      </c>
      <c r="AA155" s="191">
        <f t="shared" si="280"/>
        <v>1.3136683244726464</v>
      </c>
      <c r="AB155" s="153">
        <f t="shared" si="281"/>
        <v>1.5434745326702111</v>
      </c>
      <c r="AC155" s="153">
        <f t="shared" si="282"/>
        <v>0.17741619027991926</v>
      </c>
      <c r="AD155" s="153"/>
      <c r="AE155" s="153">
        <f t="shared" si="283"/>
        <v>0.96344647519582249</v>
      </c>
      <c r="AF155" s="317">
        <f t="shared" si="284"/>
        <v>1139.2028554431886</v>
      </c>
      <c r="AG155" s="463">
        <f t="shared" si="285"/>
        <v>6.9127284595300251E-2</v>
      </c>
      <c r="AI155" s="153">
        <f t="shared" si="286"/>
        <v>1.4793821103999563</v>
      </c>
      <c r="AJ155" s="153">
        <f t="shared" si="287"/>
        <v>1.8124456048738031</v>
      </c>
      <c r="AK155" s="153">
        <f t="shared" si="288"/>
        <v>1.8616304032492021</v>
      </c>
      <c r="AM155" s="317">
        <f t="shared" si="289"/>
        <v>225</v>
      </c>
      <c r="AN155" s="147">
        <f t="shared" si="290"/>
        <v>253.68149660824719</v>
      </c>
      <c r="AP155" s="147">
        <f t="shared" si="291"/>
        <v>225</v>
      </c>
      <c r="AQ155" s="147">
        <f t="shared" si="292"/>
        <v>253.68149660824719</v>
      </c>
      <c r="AS155" s="5">
        <f t="shared" si="263"/>
        <v>3.9419508847516398</v>
      </c>
      <c r="AT155" s="5">
        <f t="shared" si="293"/>
        <v>1.8124456048738031</v>
      </c>
      <c r="AU155" s="5">
        <f t="shared" si="230"/>
        <v>2.1295052798778364</v>
      </c>
      <c r="AV155" s="5"/>
      <c r="AW155" s="153">
        <f t="shared" si="231"/>
        <v>0.45978391356542614</v>
      </c>
      <c r="AX155" s="153">
        <f t="shared" si="259"/>
        <v>3.7500000000000004</v>
      </c>
      <c r="AY155" s="153">
        <f t="shared" si="260"/>
        <v>0.2447780678851175</v>
      </c>
      <c r="AZ155" s="153">
        <f t="shared" si="264"/>
        <v>15.320000000000002</v>
      </c>
      <c r="BA155" s="147">
        <f t="shared" si="294"/>
        <v>17.910795069528412</v>
      </c>
      <c r="BB155" s="147">
        <f t="shared" si="295"/>
        <v>5.1109680000000024</v>
      </c>
      <c r="BC155" s="5">
        <f t="shared" si="258"/>
        <v>1.5987276875959733</v>
      </c>
      <c r="BD155" s="147">
        <f t="shared" si="296"/>
        <v>41.581539391625689</v>
      </c>
      <c r="BF155" s="153">
        <f t="shared" si="265"/>
        <v>0.70954711786106583</v>
      </c>
      <c r="BG155" s="153">
        <f t="shared" si="261"/>
        <v>0.38455469195242897</v>
      </c>
      <c r="BI155" s="463">
        <f t="shared" si="236"/>
        <v>5.538028237114398E-2</v>
      </c>
      <c r="BJ155" s="463">
        <f t="shared" si="237"/>
        <v>3.8300000000000008E-2</v>
      </c>
      <c r="BK155" s="463">
        <f t="shared" si="238"/>
        <v>1.2684074830412359E-2</v>
      </c>
      <c r="BL155" s="463">
        <f t="shared" si="239"/>
        <v>1.5842412000000004E-2</v>
      </c>
      <c r="BM155">
        <f t="shared" si="240"/>
        <v>2.6099999999999999E-3</v>
      </c>
      <c r="BN155">
        <f t="shared" si="297"/>
        <v>1.0147259864329888E-5</v>
      </c>
      <c r="BO155" s="463">
        <f t="shared" si="298"/>
        <v>0.13366903966168231</v>
      </c>
      <c r="BP155" s="147">
        <f t="shared" si="243"/>
        <v>124.81676920155634</v>
      </c>
      <c r="BQ155" s="463">
        <f t="shared" si="299"/>
        <v>0.1085464171364815</v>
      </c>
      <c r="BT155" s="147">
        <f t="shared" si="245"/>
        <v>108.54641713648149</v>
      </c>
      <c r="BU155" s="463">
        <f t="shared" si="246"/>
        <v>4.2793854559520353E-2</v>
      </c>
      <c r="BV155" s="463">
        <f t="shared" si="247"/>
        <v>2.8097639109499233E-2</v>
      </c>
      <c r="BW155" s="463">
        <f t="shared" si="248"/>
        <v>0</v>
      </c>
      <c r="BX155" s="463"/>
      <c r="BY155" s="463">
        <f t="shared" si="249"/>
        <v>0.41666666666666674</v>
      </c>
      <c r="BZ155" s="147">
        <f t="shared" si="250"/>
        <v>487.55816033568635</v>
      </c>
      <c r="CA155" s="153">
        <f t="shared" si="251"/>
        <v>0.72092134667372409</v>
      </c>
      <c r="CB155" s="5">
        <f t="shared" si="252"/>
        <v>3.375</v>
      </c>
      <c r="CC155" s="153">
        <f t="shared" si="253"/>
        <v>0.82399043202839317</v>
      </c>
      <c r="CD155" s="5">
        <f t="shared" si="254"/>
        <v>82.399043202839323</v>
      </c>
      <c r="CG155" s="59">
        <f t="shared" si="300"/>
        <v>-50</v>
      </c>
      <c r="CH155">
        <f t="shared" si="301"/>
        <v>-50</v>
      </c>
    </row>
    <row r="156" spans="5:86" s="59" customFormat="1" x14ac:dyDescent="0.25">
      <c r="E156" s="150">
        <v>46</v>
      </c>
      <c r="F156" s="191">
        <f t="shared" si="302"/>
        <v>0.23</v>
      </c>
      <c r="G156" s="191"/>
      <c r="H156" s="191">
        <f t="shared" si="266"/>
        <v>3.45</v>
      </c>
      <c r="I156" s="472">
        <f t="shared" si="267"/>
        <v>9</v>
      </c>
      <c r="J156" s="386">
        <f t="shared" si="268"/>
        <v>7.66</v>
      </c>
      <c r="K156" s="386">
        <f t="shared" si="269"/>
        <v>16.66</v>
      </c>
      <c r="L156" s="386"/>
      <c r="M156" s="191">
        <f t="shared" si="270"/>
        <v>0.45978391356542619</v>
      </c>
      <c r="N156" s="152">
        <f t="shared" si="271"/>
        <v>7.6905756302521011</v>
      </c>
      <c r="O156" s="152">
        <f t="shared" si="262"/>
        <v>3.45</v>
      </c>
      <c r="P156" s="191">
        <f t="shared" si="272"/>
        <v>0.51270504201680678</v>
      </c>
      <c r="Q156" s="191">
        <f t="shared" si="273"/>
        <v>15</v>
      </c>
      <c r="R156" s="191"/>
      <c r="S156" s="152">
        <f t="shared" si="274"/>
        <v>54.301105915711844</v>
      </c>
      <c r="T156" s="152">
        <f t="shared" si="275"/>
        <v>15</v>
      </c>
      <c r="U156" s="191">
        <f t="shared" si="276"/>
        <v>1.8527221738709989</v>
      </c>
      <c r="V156" s="191">
        <f t="shared" si="277"/>
        <v>1.8527221738709989</v>
      </c>
      <c r="W156" s="191">
        <f t="shared" si="278"/>
        <v>2.1768276194306773</v>
      </c>
      <c r="X156" s="175">
        <f t="shared" si="279"/>
        <v>350</v>
      </c>
      <c r="Y156" s="386">
        <f t="shared" si="215"/>
        <v>248.16668146458963</v>
      </c>
      <c r="AA156" s="191">
        <f t="shared" si="280"/>
        <v>1.3136683244726464</v>
      </c>
      <c r="AB156" s="469">
        <f t="shared" si="281"/>
        <v>1.5434745326702111</v>
      </c>
      <c r="AC156" s="469">
        <f t="shared" si="282"/>
        <v>0.17741619027991926</v>
      </c>
      <c r="AD156" s="469"/>
      <c r="AE156" s="469">
        <f t="shared" si="283"/>
        <v>0.96344647519582249</v>
      </c>
      <c r="AF156" s="317">
        <f t="shared" si="284"/>
        <v>1164.5184744530375</v>
      </c>
      <c r="AG156" s="504">
        <f t="shared" si="285"/>
        <v>6.9127284595300251E-2</v>
      </c>
      <c r="AI156" s="469">
        <f t="shared" si="286"/>
        <v>1.4957293703094652</v>
      </c>
      <c r="AJ156" s="469">
        <f t="shared" si="287"/>
        <v>1.8527221738709989</v>
      </c>
      <c r="AK156" s="153">
        <f t="shared" si="288"/>
        <v>1.8884814492473327</v>
      </c>
      <c r="AM156" s="491">
        <f t="shared" si="289"/>
        <v>230</v>
      </c>
      <c r="AN156" s="492">
        <f t="shared" si="290"/>
        <v>248.16668146458963</v>
      </c>
      <c r="AP156" s="59">
        <f t="shared" si="291"/>
        <v>230</v>
      </c>
      <c r="AQ156" s="59">
        <f t="shared" si="292"/>
        <v>248.16668146458963</v>
      </c>
      <c r="AS156" s="170">
        <f t="shared" si="263"/>
        <v>4.0295497933016753</v>
      </c>
      <c r="AT156" s="5">
        <f t="shared" si="293"/>
        <v>1.8527221738709989</v>
      </c>
      <c r="AU156" s="5">
        <f t="shared" si="230"/>
        <v>2.1768276194306764</v>
      </c>
      <c r="AV156" s="5"/>
      <c r="AW156" s="153">
        <f t="shared" si="231"/>
        <v>0.45978391356542631</v>
      </c>
      <c r="AX156" s="153">
        <f t="shared" si="259"/>
        <v>3.8333333333333339</v>
      </c>
      <c r="AY156" s="153">
        <f t="shared" si="260"/>
        <v>0.25021758050478671</v>
      </c>
      <c r="AZ156" s="153">
        <f t="shared" si="264"/>
        <v>15.320000000000006</v>
      </c>
      <c r="BA156" s="147">
        <f t="shared" si="294"/>
        <v>17.910795069528412</v>
      </c>
      <c r="BB156" s="147">
        <f t="shared" si="295"/>
        <v>5.3253127348148173</v>
      </c>
      <c r="BC156" s="5">
        <f t="shared" si="258"/>
        <v>1.6705717466434953</v>
      </c>
      <c r="BD156" s="147">
        <f t="shared" si="296"/>
        <v>43.421746840829599</v>
      </c>
      <c r="BF156" s="153">
        <f t="shared" si="265"/>
        <v>0.72531483159131194</v>
      </c>
      <c r="BG156" s="153">
        <f t="shared" si="261"/>
        <v>0.39310035177359404</v>
      </c>
      <c r="BI156" s="463">
        <f t="shared" si="236"/>
        <v>5.7868976541896648E-2</v>
      </c>
      <c r="BJ156" s="463">
        <f t="shared" si="237"/>
        <v>3.8300000000000008E-2</v>
      </c>
      <c r="BK156" s="463">
        <f t="shared" si="238"/>
        <v>1.240833407322948E-2</v>
      </c>
      <c r="BL156" s="463">
        <f t="shared" si="239"/>
        <v>1.5498011739130436E-2</v>
      </c>
      <c r="BM156">
        <f t="shared" si="240"/>
        <v>2.6099999999999999E-3</v>
      </c>
      <c r="BN156">
        <f t="shared" si="297"/>
        <v>9.926667258583586E-6</v>
      </c>
      <c r="BO156" s="463">
        <f t="shared" si="298"/>
        <v>0.13595917331463769</v>
      </c>
      <c r="BP156" s="147">
        <f t="shared" si="243"/>
        <v>126.68532235425658</v>
      </c>
      <c r="BQ156" s="463">
        <f t="shared" si="299"/>
        <v>0.11147186106705918</v>
      </c>
      <c r="BT156" s="147">
        <f t="shared" si="245"/>
        <v>111.47186106705918</v>
      </c>
      <c r="BU156" s="463">
        <f t="shared" si="246"/>
        <v>4.4716936418738321E-2</v>
      </c>
      <c r="BV156" s="463">
        <f t="shared" si="247"/>
        <v>2.9360298447259441E-2</v>
      </c>
      <c r="BW156" s="463">
        <f t="shared" si="248"/>
        <v>0</v>
      </c>
      <c r="BX156" s="463"/>
      <c r="BY156" s="463">
        <f t="shared" si="249"/>
        <v>0.42592592592592604</v>
      </c>
      <c r="BZ156" s="147">
        <f t="shared" si="250"/>
        <v>500.00316079192373</v>
      </c>
      <c r="CA156" s="153">
        <f t="shared" si="251"/>
        <v>0.73816034421323962</v>
      </c>
      <c r="CB156" s="5">
        <f t="shared" si="252"/>
        <v>3.45</v>
      </c>
      <c r="CC156" s="153">
        <f t="shared" si="253"/>
        <v>0.82375069635689757</v>
      </c>
      <c r="CD156" s="5">
        <f t="shared" si="254"/>
        <v>82.375069635689755</v>
      </c>
      <c r="CG156" s="59">
        <f t="shared" si="300"/>
        <v>-50</v>
      </c>
      <c r="CH156">
        <f t="shared" si="301"/>
        <v>-50</v>
      </c>
    </row>
    <row r="157" spans="5:86" x14ac:dyDescent="0.25">
      <c r="E157" s="150">
        <v>47</v>
      </c>
      <c r="F157" s="191">
        <f t="shared" si="302"/>
        <v>0.23499999999999999</v>
      </c>
      <c r="G157" s="191"/>
      <c r="H157" s="191">
        <f t="shared" si="266"/>
        <v>3.5249999999999999</v>
      </c>
      <c r="I157" s="472">
        <f t="shared" si="267"/>
        <v>9</v>
      </c>
      <c r="J157" s="386">
        <f t="shared" si="268"/>
        <v>7.66</v>
      </c>
      <c r="K157" s="386">
        <f t="shared" si="269"/>
        <v>16.66</v>
      </c>
      <c r="L157" s="386"/>
      <c r="M157" s="191">
        <f t="shared" si="270"/>
        <v>0.45978391356542619</v>
      </c>
      <c r="N157" s="152">
        <f t="shared" si="271"/>
        <v>7.6905756302521011</v>
      </c>
      <c r="O157" s="152">
        <f t="shared" si="262"/>
        <v>3.5249999999999999</v>
      </c>
      <c r="P157" s="191">
        <f t="shared" si="272"/>
        <v>0.51270504201680678</v>
      </c>
      <c r="Q157" s="191">
        <f t="shared" si="273"/>
        <v>15</v>
      </c>
      <c r="R157" s="191"/>
      <c r="S157" s="152">
        <f t="shared" si="274"/>
        <v>52.768073413885872</v>
      </c>
      <c r="T157" s="152">
        <f t="shared" si="275"/>
        <v>15</v>
      </c>
      <c r="U157" s="191">
        <f t="shared" si="276"/>
        <v>1.8929987428681945</v>
      </c>
      <c r="V157" s="191">
        <f t="shared" si="277"/>
        <v>1.8929987428681947</v>
      </c>
      <c r="W157" s="191">
        <f t="shared" si="278"/>
        <v>2.2241499589835185</v>
      </c>
      <c r="X157" s="175">
        <f t="shared" si="279"/>
        <v>350</v>
      </c>
      <c r="Y157" s="386">
        <f t="shared" si="215"/>
        <v>242.88653930576854</v>
      </c>
      <c r="AA157" s="191">
        <f t="shared" si="280"/>
        <v>1.3136683244726464</v>
      </c>
      <c r="AB157" s="153">
        <f t="shared" si="281"/>
        <v>1.5434745326702111</v>
      </c>
      <c r="AC157" s="153">
        <f t="shared" si="282"/>
        <v>0.17741619027991926</v>
      </c>
      <c r="AD157" s="153"/>
      <c r="AE157" s="153">
        <f t="shared" si="283"/>
        <v>0.96344647519582249</v>
      </c>
      <c r="AF157" s="317">
        <f t="shared" si="284"/>
        <v>1189.8340934628859</v>
      </c>
      <c r="AG157" s="463">
        <f t="shared" si="285"/>
        <v>6.9127284595300251E-2</v>
      </c>
      <c r="AI157" s="153">
        <f t="shared" si="286"/>
        <v>1.5118998875062031</v>
      </c>
      <c r="AJ157" s="153">
        <f t="shared" si="287"/>
        <v>1.8929987428681945</v>
      </c>
      <c r="AK157" s="153">
        <f t="shared" si="288"/>
        <v>1.9153324952454631</v>
      </c>
      <c r="AM157" s="317">
        <f t="shared" si="289"/>
        <v>235</v>
      </c>
      <c r="AN157" s="147">
        <f t="shared" si="290"/>
        <v>242.88653930576854</v>
      </c>
      <c r="AP157">
        <f t="shared" si="291"/>
        <v>235</v>
      </c>
      <c r="AQ157">
        <f t="shared" si="292"/>
        <v>242.88653930576854</v>
      </c>
      <c r="AS157" s="5">
        <f t="shared" si="263"/>
        <v>4.117148701851713</v>
      </c>
      <c r="AT157" s="5">
        <f t="shared" si="293"/>
        <v>1.8929987428681947</v>
      </c>
      <c r="AU157" s="5">
        <f t="shared" si="230"/>
        <v>2.2241499589835181</v>
      </c>
      <c r="AV157" s="5"/>
      <c r="AW157" s="153">
        <f t="shared" si="231"/>
        <v>0.45978391356542619</v>
      </c>
      <c r="AX157" s="153">
        <f t="shared" si="259"/>
        <v>3.9166666666666665</v>
      </c>
      <c r="AY157" s="153">
        <f t="shared" si="260"/>
        <v>0.255657093124456</v>
      </c>
      <c r="AZ157" s="153">
        <f t="shared" si="264"/>
        <v>15.320000000000002</v>
      </c>
      <c r="BA157" s="147">
        <f t="shared" si="294"/>
        <v>17.910795069528412</v>
      </c>
      <c r="BB157" s="147">
        <f t="shared" si="295"/>
        <v>5.5440386725925945</v>
      </c>
      <c r="BC157" s="5">
        <f t="shared" si="258"/>
        <v>1.7439947959997553</v>
      </c>
      <c r="BD157" s="147">
        <f t="shared" si="296"/>
        <v>45.301787909185748</v>
      </c>
      <c r="BF157" s="153">
        <f t="shared" si="265"/>
        <v>0.7410825453215576</v>
      </c>
      <c r="BG157" s="153">
        <f t="shared" si="261"/>
        <v>0.4016460115947591</v>
      </c>
      <c r="BI157" s="463">
        <f t="shared" si="236"/>
        <v>6.0412367287830636E-2</v>
      </c>
      <c r="BJ157" s="463">
        <f t="shared" si="237"/>
        <v>3.8299999999999994E-2</v>
      </c>
      <c r="BK157" s="463">
        <f t="shared" si="238"/>
        <v>1.2144326965288426E-2</v>
      </c>
      <c r="BL157" s="463">
        <f t="shared" si="239"/>
        <v>1.516826680851064E-2</v>
      </c>
      <c r="BM157">
        <f t="shared" si="240"/>
        <v>2.6099999999999999E-3</v>
      </c>
      <c r="BN157">
        <f t="shared" si="297"/>
        <v>9.7154615722307414E-6</v>
      </c>
      <c r="BO157" s="463">
        <f t="shared" si="298"/>
        <v>0.13834232092762352</v>
      </c>
      <c r="BP157" s="147">
        <f t="shared" si="243"/>
        <v>128.6349610616297</v>
      </c>
      <c r="BQ157" s="463">
        <f t="shared" si="299"/>
        <v>0.11441962244666054</v>
      </c>
      <c r="BT157" s="147">
        <f t="shared" si="245"/>
        <v>114.41962244666054</v>
      </c>
      <c r="BU157" s="463">
        <f t="shared" si="246"/>
        <v>4.6682283813323677E-2</v>
      </c>
      <c r="BV157" s="463">
        <f t="shared" si="247"/>
        <v>3.06507085396957E-2</v>
      </c>
      <c r="BW157" s="463">
        <f t="shared" si="248"/>
        <v>0</v>
      </c>
      <c r="BX157" s="463"/>
      <c r="BY157" s="463">
        <f t="shared" si="249"/>
        <v>0.43518518518518523</v>
      </c>
      <c r="BZ157" s="147">
        <f t="shared" si="250"/>
        <v>512.51817753820455</v>
      </c>
      <c r="CA157" s="153">
        <f t="shared" si="251"/>
        <v>0.75557276104649485</v>
      </c>
      <c r="CB157" s="5">
        <f t="shared" si="252"/>
        <v>3.5249999999999999</v>
      </c>
      <c r="CC157" s="153">
        <f t="shared" si="253"/>
        <v>0.82348792948404981</v>
      </c>
      <c r="CD157" s="5">
        <f t="shared" si="254"/>
        <v>82.348792948404977</v>
      </c>
      <c r="CG157" s="59">
        <f t="shared" si="300"/>
        <v>-50</v>
      </c>
      <c r="CH157">
        <f t="shared" si="301"/>
        <v>-50</v>
      </c>
    </row>
    <row r="158" spans="5:86" x14ac:dyDescent="0.25">
      <c r="E158" s="150">
        <v>48</v>
      </c>
      <c r="F158" s="191">
        <f t="shared" si="302"/>
        <v>0.24</v>
      </c>
      <c r="G158" s="191"/>
      <c r="H158" s="191">
        <f t="shared" si="266"/>
        <v>3.5999999999999996</v>
      </c>
      <c r="I158" s="472">
        <f t="shared" si="267"/>
        <v>9</v>
      </c>
      <c r="J158" s="386">
        <f t="shared" si="268"/>
        <v>7.66</v>
      </c>
      <c r="K158" s="386">
        <f t="shared" si="269"/>
        <v>16.66</v>
      </c>
      <c r="L158" s="386"/>
      <c r="M158" s="191">
        <f t="shared" si="270"/>
        <v>0.45978391356542619</v>
      </c>
      <c r="N158" s="152">
        <f t="shared" si="271"/>
        <v>7.6905756302521011</v>
      </c>
      <c r="O158" s="152">
        <f t="shared" si="262"/>
        <v>3.5999999999999996</v>
      </c>
      <c r="P158" s="191">
        <f t="shared" si="272"/>
        <v>0.51270504201680678</v>
      </c>
      <c r="Q158" s="191">
        <f t="shared" si="273"/>
        <v>15</v>
      </c>
      <c r="R158" s="191"/>
      <c r="S158" s="152">
        <f t="shared" si="274"/>
        <v>51.299086631532553</v>
      </c>
      <c r="T158" s="152">
        <f t="shared" si="275"/>
        <v>15</v>
      </c>
      <c r="U158" s="191">
        <f t="shared" si="276"/>
        <v>1.93327531186539</v>
      </c>
      <c r="V158" s="191">
        <f t="shared" si="277"/>
        <v>1.93327531186539</v>
      </c>
      <c r="W158" s="191">
        <f t="shared" si="278"/>
        <v>2.2714722985363589</v>
      </c>
      <c r="X158" s="175">
        <f t="shared" si="279"/>
        <v>350</v>
      </c>
      <c r="Y158" s="386">
        <f t="shared" si="215"/>
        <v>237.82640307023172</v>
      </c>
      <c r="AA158" s="191">
        <f t="shared" si="280"/>
        <v>1.3136683244726464</v>
      </c>
      <c r="AB158" s="153">
        <f t="shared" si="281"/>
        <v>1.5434745326702111</v>
      </c>
      <c r="AC158" s="153">
        <f t="shared" si="282"/>
        <v>0.17741619027991926</v>
      </c>
      <c r="AD158" s="153"/>
      <c r="AE158" s="153">
        <f t="shared" si="283"/>
        <v>0.96344647519582249</v>
      </c>
      <c r="AF158" s="317">
        <f t="shared" si="284"/>
        <v>1215.1497124727346</v>
      </c>
      <c r="AG158" s="463">
        <f t="shared" si="285"/>
        <v>6.9127284595300251E-2</v>
      </c>
      <c r="AI158" s="153">
        <f t="shared" si="286"/>
        <v>1.5278992736683235</v>
      </c>
      <c r="AJ158" s="153">
        <f t="shared" si="287"/>
        <v>1.93327531186539</v>
      </c>
      <c r="AK158" s="153">
        <f t="shared" si="288"/>
        <v>1.9421835412435935</v>
      </c>
      <c r="AM158" s="317">
        <f t="shared" si="289"/>
        <v>240</v>
      </c>
      <c r="AN158" s="147">
        <f t="shared" si="290"/>
        <v>237.82640307023172</v>
      </c>
      <c r="AP158">
        <f t="shared" si="291"/>
        <v>240</v>
      </c>
      <c r="AQ158">
        <f t="shared" si="292"/>
        <v>237.82640307023172</v>
      </c>
      <c r="AS158" s="5">
        <f t="shared" si="263"/>
        <v>4.2047476104017489</v>
      </c>
      <c r="AT158" s="5">
        <f t="shared" si="293"/>
        <v>1.93327531186539</v>
      </c>
      <c r="AU158" s="5">
        <f t="shared" si="230"/>
        <v>2.2714722985363589</v>
      </c>
      <c r="AV158" s="5"/>
      <c r="AW158" s="153">
        <f t="shared" si="231"/>
        <v>0.45978391356542619</v>
      </c>
      <c r="AX158" s="153">
        <f t="shared" si="259"/>
        <v>4</v>
      </c>
      <c r="AY158" s="153">
        <f t="shared" si="260"/>
        <v>0.26109660574412524</v>
      </c>
      <c r="AZ158" s="153">
        <f t="shared" si="264"/>
        <v>15.320000000000006</v>
      </c>
      <c r="BA158" s="147">
        <f t="shared" si="294"/>
        <v>17.910795069528412</v>
      </c>
      <c r="BB158" s="147">
        <f t="shared" si="295"/>
        <v>5.7671458133333351</v>
      </c>
      <c r="BC158" s="5">
        <f t="shared" si="258"/>
        <v>1.8189968356647519</v>
      </c>
      <c r="BD158" s="147">
        <f t="shared" si="296"/>
        <v>47.221662596694124</v>
      </c>
      <c r="BF158" s="153">
        <f t="shared" si="265"/>
        <v>0.75685025905180348</v>
      </c>
      <c r="BG158" s="153">
        <f t="shared" si="261"/>
        <v>0.41019167141592422</v>
      </c>
      <c r="BI158" s="463">
        <f t="shared" si="236"/>
        <v>6.3010454608946026E-2</v>
      </c>
      <c r="BJ158" s="463">
        <f t="shared" si="237"/>
        <v>3.8300000000000001E-2</v>
      </c>
      <c r="BK158" s="463">
        <f t="shared" si="238"/>
        <v>1.1891320153511584E-2</v>
      </c>
      <c r="BL158" s="463">
        <f t="shared" si="239"/>
        <v>1.4852261250000002E-2</v>
      </c>
      <c r="BM158">
        <f t="shared" si="240"/>
        <v>2.6099999999999999E-3</v>
      </c>
      <c r="BN158">
        <f t="shared" si="297"/>
        <v>9.5130561228092691E-6</v>
      </c>
      <c r="BO158" s="463">
        <f t="shared" si="298"/>
        <v>0.14081701867584304</v>
      </c>
      <c r="BP158" s="147">
        <f t="shared" si="243"/>
        <v>130.66403601245764</v>
      </c>
      <c r="BQ158" s="463">
        <f t="shared" si="299"/>
        <v>0.1173897012752856</v>
      </c>
      <c r="BT158" s="147">
        <f t="shared" si="245"/>
        <v>117.3897012752856</v>
      </c>
      <c r="BU158" s="463">
        <f t="shared" si="246"/>
        <v>4.8689896743276471E-2</v>
      </c>
      <c r="BV158" s="463">
        <f t="shared" si="247"/>
        <v>3.1968869386808013E-2</v>
      </c>
      <c r="BW158" s="463">
        <f t="shared" si="248"/>
        <v>0</v>
      </c>
      <c r="BX158" s="463"/>
      <c r="BY158" s="463">
        <f t="shared" si="249"/>
        <v>0.44444444444444453</v>
      </c>
      <c r="BZ158" s="147">
        <f t="shared" si="250"/>
        <v>525.10321057452904</v>
      </c>
      <c r="CA158" s="153">
        <f t="shared" si="251"/>
        <v>0.77315694786227218</v>
      </c>
      <c r="CB158" s="5">
        <f t="shared" si="252"/>
        <v>3.5999999999999996</v>
      </c>
      <c r="CC158" s="153">
        <f t="shared" si="253"/>
        <v>0.82320393320431495</v>
      </c>
      <c r="CD158" s="5">
        <f t="shared" si="254"/>
        <v>82.320393320431492</v>
      </c>
      <c r="CG158" s="59">
        <f t="shared" si="300"/>
        <v>-50</v>
      </c>
      <c r="CH158">
        <f t="shared" si="301"/>
        <v>-50</v>
      </c>
    </row>
    <row r="159" spans="5:86" x14ac:dyDescent="0.25">
      <c r="E159" s="150">
        <v>49</v>
      </c>
      <c r="F159" s="191">
        <f t="shared" si="302"/>
        <v>0.245</v>
      </c>
      <c r="G159" s="191"/>
      <c r="H159" s="191">
        <f t="shared" si="266"/>
        <v>3.6749999999999998</v>
      </c>
      <c r="I159" s="472">
        <f t="shared" si="267"/>
        <v>9</v>
      </c>
      <c r="J159" s="386">
        <f t="shared" si="268"/>
        <v>7.66</v>
      </c>
      <c r="K159" s="386">
        <f t="shared" si="269"/>
        <v>16.66</v>
      </c>
      <c r="L159" s="386"/>
      <c r="M159" s="191">
        <f t="shared" si="270"/>
        <v>0.45978391356542619</v>
      </c>
      <c r="N159" s="152">
        <f t="shared" si="271"/>
        <v>7.6905756302521011</v>
      </c>
      <c r="O159" s="152">
        <f t="shared" si="262"/>
        <v>3.6749999999999998</v>
      </c>
      <c r="P159" s="191">
        <f t="shared" si="272"/>
        <v>0.51270504201680678</v>
      </c>
      <c r="Q159" s="191">
        <f t="shared" si="273"/>
        <v>15</v>
      </c>
      <c r="R159" s="191"/>
      <c r="S159" s="152">
        <f t="shared" si="274"/>
        <v>49.890227867089401</v>
      </c>
      <c r="T159" s="152">
        <f t="shared" si="275"/>
        <v>15</v>
      </c>
      <c r="U159" s="191">
        <f t="shared" si="276"/>
        <v>1.9735518808625856</v>
      </c>
      <c r="V159" s="191">
        <f t="shared" si="277"/>
        <v>1.9735518808625858</v>
      </c>
      <c r="W159" s="191">
        <f t="shared" si="278"/>
        <v>2.3187946380892002</v>
      </c>
      <c r="X159" s="175">
        <f t="shared" si="279"/>
        <v>350</v>
      </c>
      <c r="Y159" s="386">
        <f t="shared" si="215"/>
        <v>232.97280300757393</v>
      </c>
      <c r="AA159" s="191">
        <f t="shared" si="280"/>
        <v>1.3136683244726464</v>
      </c>
      <c r="AB159" s="153">
        <f t="shared" si="281"/>
        <v>1.5434745326702111</v>
      </c>
      <c r="AC159" s="153">
        <f t="shared" si="282"/>
        <v>0.17741619027991926</v>
      </c>
      <c r="AD159" s="153"/>
      <c r="AE159" s="153">
        <f t="shared" si="283"/>
        <v>0.96344647519582249</v>
      </c>
      <c r="AF159" s="317">
        <f t="shared" si="284"/>
        <v>1240.4653314825832</v>
      </c>
      <c r="AG159" s="463">
        <f t="shared" si="285"/>
        <v>6.9127284595300251E-2</v>
      </c>
      <c r="AI159" s="153">
        <f t="shared" si="286"/>
        <v>1.5437328496573204</v>
      </c>
      <c r="AJ159" s="153">
        <f t="shared" si="287"/>
        <v>1.9735518808625856</v>
      </c>
      <c r="AK159" s="153">
        <f t="shared" si="288"/>
        <v>1.9690345872417239</v>
      </c>
      <c r="AM159" s="317">
        <f t="shared" si="289"/>
        <v>245</v>
      </c>
      <c r="AN159" s="147">
        <f t="shared" si="290"/>
        <v>232.97280300757393</v>
      </c>
      <c r="AP159">
        <f t="shared" si="291"/>
        <v>245</v>
      </c>
      <c r="AQ159">
        <f t="shared" si="292"/>
        <v>232.97280300757393</v>
      </c>
      <c r="AS159" s="5">
        <f t="shared" si="263"/>
        <v>4.2923465189517849</v>
      </c>
      <c r="AT159" s="5">
        <f t="shared" si="293"/>
        <v>1.9735518808625858</v>
      </c>
      <c r="AU159" s="5">
        <f t="shared" si="230"/>
        <v>2.3187946380891988</v>
      </c>
      <c r="AV159" s="5"/>
      <c r="AW159" s="153">
        <f t="shared" si="231"/>
        <v>0.45978391356542625</v>
      </c>
      <c r="AX159" s="153">
        <f t="shared" si="259"/>
        <v>4.0833333333333321</v>
      </c>
      <c r="AY159" s="153">
        <f t="shared" si="260"/>
        <v>0.26653611836379454</v>
      </c>
      <c r="AZ159" s="153">
        <f t="shared" si="264"/>
        <v>15.319999999999999</v>
      </c>
      <c r="BA159" s="147">
        <f t="shared" si="294"/>
        <v>17.910795069528412</v>
      </c>
      <c r="BB159" s="147">
        <f t="shared" si="295"/>
        <v>5.9946341570370389</v>
      </c>
      <c r="BC159" s="5">
        <f t="shared" si="258"/>
        <v>1.8955778656384836</v>
      </c>
      <c r="BD159" s="147">
        <f t="shared" si="296"/>
        <v>49.181370903354683</v>
      </c>
      <c r="BF159" s="153">
        <f t="shared" si="265"/>
        <v>0.77261797278204947</v>
      </c>
      <c r="BG159" s="153">
        <f t="shared" si="261"/>
        <v>0.41873733123708928</v>
      </c>
      <c r="BI159" s="463">
        <f t="shared" si="236"/>
        <v>6.5663238505242819E-2</v>
      </c>
      <c r="BJ159" s="463">
        <f t="shared" si="237"/>
        <v>3.8299999999999994E-2</v>
      </c>
      <c r="BK159" s="463">
        <f t="shared" si="238"/>
        <v>1.1648640150378696E-2</v>
      </c>
      <c r="BL159" s="463">
        <f t="shared" si="239"/>
        <v>1.4549153877551024E-2</v>
      </c>
      <c r="BM159">
        <f t="shared" si="240"/>
        <v>2.6099999999999999E-3</v>
      </c>
      <c r="BN159">
        <f t="shared" si="297"/>
        <v>9.3189121203029572E-6</v>
      </c>
      <c r="BO159" s="463">
        <f t="shared" si="298"/>
        <v>0.14338194187177455</v>
      </c>
      <c r="BP159" s="147">
        <f t="shared" si="243"/>
        <v>132.77103253317253</v>
      </c>
      <c r="BQ159" s="463">
        <f t="shared" si="299"/>
        <v>0.12038209755293434</v>
      </c>
      <c r="BT159" s="147">
        <f t="shared" si="245"/>
        <v>120.38209755293434</v>
      </c>
      <c r="BU159" s="463">
        <f t="shared" si="246"/>
        <v>5.0739775208596724E-2</v>
      </c>
      <c r="BV159" s="463">
        <f t="shared" si="247"/>
        <v>3.3314780988596367E-2</v>
      </c>
      <c r="BW159" s="463">
        <f t="shared" si="248"/>
        <v>0</v>
      </c>
      <c r="BX159" s="463"/>
      <c r="BY159" s="463">
        <f t="shared" si="249"/>
        <v>0.45370370370370372</v>
      </c>
      <c r="BZ159" s="147">
        <f t="shared" si="250"/>
        <v>537.75825990089675</v>
      </c>
      <c r="CA159" s="153">
        <f t="shared" si="251"/>
        <v>0.79091138998700372</v>
      </c>
      <c r="CB159" s="5">
        <f t="shared" si="252"/>
        <v>3.6749999999999998</v>
      </c>
      <c r="CC159" s="153">
        <f t="shared" si="253"/>
        <v>0.82290033972454035</v>
      </c>
      <c r="CD159" s="5">
        <f t="shared" si="254"/>
        <v>82.29003397245404</v>
      </c>
      <c r="CG159" s="59">
        <f t="shared" si="300"/>
        <v>-50</v>
      </c>
      <c r="CH159">
        <f t="shared" si="301"/>
        <v>-50</v>
      </c>
    </row>
    <row r="160" spans="5:86" x14ac:dyDescent="0.25">
      <c r="E160" s="150">
        <v>50</v>
      </c>
      <c r="F160" s="191">
        <f t="shared" si="302"/>
        <v>0.25</v>
      </c>
      <c r="G160" s="191"/>
      <c r="H160" s="191">
        <f t="shared" si="266"/>
        <v>3.75</v>
      </c>
      <c r="I160" s="472">
        <f t="shared" si="267"/>
        <v>9</v>
      </c>
      <c r="J160" s="386">
        <f t="shared" si="268"/>
        <v>7.66</v>
      </c>
      <c r="K160" s="386">
        <f t="shared" si="269"/>
        <v>16.66</v>
      </c>
      <c r="L160" s="386"/>
      <c r="M160" s="191">
        <f t="shared" si="270"/>
        <v>0.45978391356542619</v>
      </c>
      <c r="N160" s="152">
        <f t="shared" si="271"/>
        <v>7.6905756302521011</v>
      </c>
      <c r="O160" s="152">
        <f t="shared" si="262"/>
        <v>3.75</v>
      </c>
      <c r="P160" s="191">
        <f t="shared" si="272"/>
        <v>0.51270504201680678</v>
      </c>
      <c r="Q160" s="191">
        <f t="shared" si="273"/>
        <v>15</v>
      </c>
      <c r="R160" s="191"/>
      <c r="S160" s="152">
        <f t="shared" si="274"/>
        <v>48.537892926913898</v>
      </c>
      <c r="T160" s="152">
        <f t="shared" si="275"/>
        <v>15</v>
      </c>
      <c r="U160" s="191">
        <f t="shared" si="276"/>
        <v>2.0138284498597812</v>
      </c>
      <c r="V160" s="191">
        <f t="shared" si="277"/>
        <v>2.0138284498597812</v>
      </c>
      <c r="W160" s="191">
        <f t="shared" si="278"/>
        <v>2.3661169776420405</v>
      </c>
      <c r="X160" s="175">
        <f t="shared" si="279"/>
        <v>350</v>
      </c>
      <c r="Y160" s="386">
        <f t="shared" si="215"/>
        <v>228.31334694742245</v>
      </c>
      <c r="AA160" s="191">
        <f t="shared" si="280"/>
        <v>1.3136683244726464</v>
      </c>
      <c r="AB160" s="153">
        <f t="shared" si="281"/>
        <v>1.5434745326702111</v>
      </c>
      <c r="AC160" s="153">
        <f t="shared" si="282"/>
        <v>0.17741619027991926</v>
      </c>
      <c r="AD160" s="153"/>
      <c r="AE160" s="153">
        <f t="shared" si="283"/>
        <v>0.96344647519582249</v>
      </c>
      <c r="AF160" s="317">
        <f t="shared" si="284"/>
        <v>1265.7809504924319</v>
      </c>
      <c r="AG160" s="463">
        <f t="shared" si="285"/>
        <v>6.9127284595300251E-2</v>
      </c>
      <c r="AI160" s="153">
        <f t="shared" si="286"/>
        <v>1.5594056661901776</v>
      </c>
      <c r="AJ160" s="153">
        <f t="shared" si="287"/>
        <v>2.0138284498597812</v>
      </c>
      <c r="AK160" s="153">
        <f t="shared" si="288"/>
        <v>1.9958856332398542</v>
      </c>
      <c r="AM160" s="317">
        <f t="shared" si="289"/>
        <v>250</v>
      </c>
      <c r="AN160" s="147">
        <f t="shared" si="290"/>
        <v>228.31334694742245</v>
      </c>
      <c r="AP160">
        <f t="shared" si="291"/>
        <v>250</v>
      </c>
      <c r="AQ160">
        <f t="shared" si="292"/>
        <v>228.31334694742245</v>
      </c>
      <c r="AS160" s="5">
        <f t="shared" si="263"/>
        <v>4.3799454275018217</v>
      </c>
      <c r="AT160" s="5">
        <f t="shared" si="293"/>
        <v>2.0138284498597812</v>
      </c>
      <c r="AU160" s="5">
        <f t="shared" si="230"/>
        <v>2.3661169776420405</v>
      </c>
      <c r="AV160" s="5"/>
      <c r="AW160" s="153">
        <f t="shared" si="231"/>
        <v>0.45978391356542619</v>
      </c>
      <c r="AX160" s="153">
        <f t="shared" si="259"/>
        <v>4.1666666666666661</v>
      </c>
      <c r="AY160" s="153">
        <f t="shared" si="260"/>
        <v>0.27197563098346378</v>
      </c>
      <c r="AZ160" s="153">
        <f t="shared" si="264"/>
        <v>15.320000000000004</v>
      </c>
      <c r="BA160" s="147">
        <f t="shared" si="294"/>
        <v>17.910795069528412</v>
      </c>
      <c r="BB160" s="147">
        <f t="shared" si="295"/>
        <v>6.2265037037037061</v>
      </c>
      <c r="BC160" s="5">
        <f t="shared" si="258"/>
        <v>1.9737378859209547</v>
      </c>
      <c r="BD160" s="147">
        <f t="shared" si="296"/>
        <v>51.180912829167525</v>
      </c>
      <c r="BF160" s="153">
        <f t="shared" si="265"/>
        <v>0.78838568651229535</v>
      </c>
      <c r="BG160" s="153">
        <f t="shared" si="261"/>
        <v>0.42728299105825435</v>
      </c>
      <c r="BI160" s="463">
        <f t="shared" si="236"/>
        <v>6.8370718976720965E-2</v>
      </c>
      <c r="BJ160" s="463">
        <f t="shared" si="237"/>
        <v>3.8300000000000001E-2</v>
      </c>
      <c r="BK160" s="463">
        <f t="shared" si="238"/>
        <v>1.1415667347371122E-2</v>
      </c>
      <c r="BL160" s="463">
        <f t="shared" si="239"/>
        <v>1.4258170800000003E-2</v>
      </c>
      <c r="BM160">
        <f t="shared" si="240"/>
        <v>2.6099999999999999E-3</v>
      </c>
      <c r="BN160">
        <f t="shared" si="297"/>
        <v>9.132533877896898E-6</v>
      </c>
      <c r="BO160" s="463">
        <f t="shared" si="298"/>
        <v>0.14603589152689583</v>
      </c>
      <c r="BP160" s="147">
        <f t="shared" si="243"/>
        <v>134.9545571240921</v>
      </c>
      <c r="BQ160" s="463">
        <f t="shared" si="299"/>
        <v>0.12339681127960678</v>
      </c>
      <c r="BT160" s="147">
        <f t="shared" si="245"/>
        <v>123.39681127960678</v>
      </c>
      <c r="BU160" s="463">
        <f t="shared" si="246"/>
        <v>5.283191920928438E-2</v>
      </c>
      <c r="BV160" s="463">
        <f t="shared" si="247"/>
        <v>3.4688443345060771E-2</v>
      </c>
      <c r="BW160" s="463">
        <f t="shared" si="248"/>
        <v>0</v>
      </c>
      <c r="BX160" s="463"/>
      <c r="BY160" s="463">
        <f t="shared" si="249"/>
        <v>0.46296296296296291</v>
      </c>
      <c r="BZ160" s="147">
        <f t="shared" si="250"/>
        <v>550.483325517308</v>
      </c>
      <c r="CA160" s="153">
        <f t="shared" si="251"/>
        <v>0.80883469392100693</v>
      </c>
      <c r="CB160" s="5">
        <f t="shared" si="252"/>
        <v>3.75</v>
      </c>
      <c r="CC160" s="153">
        <f t="shared" si="253"/>
        <v>0.82257863067517012</v>
      </c>
      <c r="CD160" s="5">
        <f t="shared" si="254"/>
        <v>82.257863067517007</v>
      </c>
      <c r="CG160" s="59">
        <f t="shared" si="300"/>
        <v>-50</v>
      </c>
      <c r="CH160">
        <f t="shared" si="301"/>
        <v>-50</v>
      </c>
    </row>
    <row r="161" spans="5:86" x14ac:dyDescent="0.25">
      <c r="E161" s="150">
        <v>51</v>
      </c>
      <c r="F161" s="191">
        <f t="shared" si="302"/>
        <v>0.255</v>
      </c>
      <c r="G161" s="191"/>
      <c r="H161" s="191">
        <f t="shared" si="266"/>
        <v>3.8250000000000002</v>
      </c>
      <c r="I161" s="472">
        <f t="shared" si="267"/>
        <v>9</v>
      </c>
      <c r="J161" s="386">
        <f t="shared" si="268"/>
        <v>7.66</v>
      </c>
      <c r="K161" s="386">
        <f t="shared" si="269"/>
        <v>16.66</v>
      </c>
      <c r="L161" s="386"/>
      <c r="M161" s="191">
        <f t="shared" si="270"/>
        <v>0.45978391356542619</v>
      </c>
      <c r="N161" s="152">
        <f t="shared" si="271"/>
        <v>7.6905756302521011</v>
      </c>
      <c r="O161" s="152">
        <f t="shared" si="262"/>
        <v>3.8250000000000002</v>
      </c>
      <c r="P161" s="191">
        <f t="shared" si="272"/>
        <v>0.51270504201680678</v>
      </c>
      <c r="Q161" s="191">
        <f t="shared" si="273"/>
        <v>15</v>
      </c>
      <c r="R161" s="191"/>
      <c r="S161" s="152">
        <f t="shared" si="274"/>
        <v>47.238760392150667</v>
      </c>
      <c r="T161" s="152">
        <f t="shared" si="275"/>
        <v>15</v>
      </c>
      <c r="U161" s="191">
        <f t="shared" si="276"/>
        <v>2.0541050188569772</v>
      </c>
      <c r="V161" s="191">
        <f t="shared" si="277"/>
        <v>2.0541050188569772</v>
      </c>
      <c r="W161" s="191">
        <f t="shared" si="278"/>
        <v>2.4134393171948818</v>
      </c>
      <c r="X161" s="175">
        <f t="shared" si="279"/>
        <v>350</v>
      </c>
      <c r="Y161" s="386">
        <f t="shared" si="215"/>
        <v>223.8366146543357</v>
      </c>
      <c r="AA161" s="191">
        <f t="shared" si="280"/>
        <v>1.3136683244726464</v>
      </c>
      <c r="AB161" s="153">
        <f t="shared" si="281"/>
        <v>1.5434745326702111</v>
      </c>
      <c r="AC161" s="153">
        <f t="shared" si="282"/>
        <v>0.17741619027991926</v>
      </c>
      <c r="AD161" s="153"/>
      <c r="AE161" s="153">
        <f t="shared" si="283"/>
        <v>0.96344647519582249</v>
      </c>
      <c r="AF161" s="317">
        <f t="shared" si="284"/>
        <v>1291.0965695022805</v>
      </c>
      <c r="AG161" s="463">
        <f t="shared" si="285"/>
        <v>6.9127284595300251E-2</v>
      </c>
      <c r="AI161" s="153">
        <f t="shared" si="286"/>
        <v>1.5749225226597505</v>
      </c>
      <c r="AJ161" s="153">
        <f t="shared" si="287"/>
        <v>2.0541050188569772</v>
      </c>
      <c r="AK161" s="153">
        <f t="shared" si="288"/>
        <v>2.0227366792379851</v>
      </c>
      <c r="AM161" s="317">
        <f t="shared" si="289"/>
        <v>255</v>
      </c>
      <c r="AN161" s="147">
        <f t="shared" si="290"/>
        <v>223.8366146543357</v>
      </c>
      <c r="AP161">
        <f t="shared" si="291"/>
        <v>255</v>
      </c>
      <c r="AQ161">
        <f t="shared" si="292"/>
        <v>223.8366146543357</v>
      </c>
      <c r="AS161" s="5">
        <f t="shared" si="263"/>
        <v>4.4675443360518585</v>
      </c>
      <c r="AT161" s="5">
        <f t="shared" si="293"/>
        <v>2.0541050188569772</v>
      </c>
      <c r="AU161" s="5">
        <f t="shared" si="230"/>
        <v>2.4134393171948814</v>
      </c>
      <c r="AV161" s="5"/>
      <c r="AW161" s="153">
        <f t="shared" si="231"/>
        <v>0.45978391356542619</v>
      </c>
      <c r="AX161" s="153">
        <f t="shared" si="259"/>
        <v>4.25</v>
      </c>
      <c r="AY161" s="153">
        <f t="shared" si="260"/>
        <v>0.27741514360313313</v>
      </c>
      <c r="AZ161" s="153">
        <f t="shared" si="264"/>
        <v>15.320000000000002</v>
      </c>
      <c r="BA161" s="147">
        <f t="shared" si="294"/>
        <v>17.910795069528412</v>
      </c>
      <c r="BB161" s="147">
        <f t="shared" si="295"/>
        <v>6.4627544533333356</v>
      </c>
      <c r="BC161" s="5">
        <f t="shared" si="258"/>
        <v>2.0534768965121613</v>
      </c>
      <c r="BD161" s="147">
        <f t="shared" si="296"/>
        <v>53.220288374132565</v>
      </c>
      <c r="BF161" s="153">
        <f t="shared" si="265"/>
        <v>0.80415340024254134</v>
      </c>
      <c r="BG161" s="153">
        <f t="shared" si="261"/>
        <v>0.43582865087941952</v>
      </c>
      <c r="BI161" s="463">
        <f t="shared" si="236"/>
        <v>7.1132896023380493E-2</v>
      </c>
      <c r="BJ161" s="463">
        <f t="shared" si="237"/>
        <v>3.8300000000000001E-2</v>
      </c>
      <c r="BK161" s="463">
        <f t="shared" si="238"/>
        <v>1.1191830732716785E-2</v>
      </c>
      <c r="BL161" s="463">
        <f t="shared" si="239"/>
        <v>1.3978598823529413E-2</v>
      </c>
      <c r="BM161">
        <f t="shared" si="240"/>
        <v>2.6099999999999999E-3</v>
      </c>
      <c r="BN161">
        <f t="shared" si="297"/>
        <v>8.9534645861734283E-6</v>
      </c>
      <c r="BO161" s="463">
        <f t="shared" si="298"/>
        <v>0.14877778249872076</v>
      </c>
      <c r="BP161" s="147">
        <f t="shared" si="243"/>
        <v>137.21332557962671</v>
      </c>
      <c r="BQ161" s="463">
        <f t="shared" si="299"/>
        <v>0.1264338424553029</v>
      </c>
      <c r="BT161" s="147">
        <f t="shared" si="245"/>
        <v>126.43384245530289</v>
      </c>
      <c r="BU161" s="463">
        <f t="shared" si="246"/>
        <v>5.4966328745339479E-2</v>
      </c>
      <c r="BV161" s="463">
        <f t="shared" si="247"/>
        <v>3.608985645620124E-2</v>
      </c>
      <c r="BW161" s="463">
        <f t="shared" si="248"/>
        <v>0</v>
      </c>
      <c r="BX161" s="463"/>
      <c r="BY161" s="463">
        <f t="shared" si="249"/>
        <v>0.47222222222222238</v>
      </c>
      <c r="BZ161" s="147">
        <f t="shared" si="250"/>
        <v>563.27840742376316</v>
      </c>
      <c r="CA161" s="153">
        <f t="shared" si="251"/>
        <v>0.82692557545869261</v>
      </c>
      <c r="CB161" s="5">
        <f t="shared" si="252"/>
        <v>3.8250000000000002</v>
      </c>
      <c r="CC161" s="153">
        <f t="shared" si="253"/>
        <v>0.82224015366429093</v>
      </c>
      <c r="CD161" s="5">
        <f t="shared" si="254"/>
        <v>82.224015366429086</v>
      </c>
      <c r="CG161" s="59">
        <f t="shared" si="300"/>
        <v>-50</v>
      </c>
      <c r="CH161">
        <f t="shared" si="301"/>
        <v>-50</v>
      </c>
    </row>
    <row r="162" spans="5:86" x14ac:dyDescent="0.25">
      <c r="E162" s="150">
        <v>52</v>
      </c>
      <c r="F162" s="191">
        <f t="shared" si="302"/>
        <v>0.26</v>
      </c>
      <c r="G162" s="191"/>
      <c r="H162" s="191">
        <f t="shared" si="266"/>
        <v>3.9000000000000004</v>
      </c>
      <c r="I162" s="472">
        <f t="shared" si="267"/>
        <v>9</v>
      </c>
      <c r="J162" s="386">
        <f t="shared" si="268"/>
        <v>7.66</v>
      </c>
      <c r="K162" s="386">
        <f t="shared" si="269"/>
        <v>16.66</v>
      </c>
      <c r="L162" s="386"/>
      <c r="M162" s="191">
        <f t="shared" si="270"/>
        <v>0.45978391356542619</v>
      </c>
      <c r="N162" s="152">
        <f t="shared" si="271"/>
        <v>7.6905756302521011</v>
      </c>
      <c r="O162" s="152">
        <f t="shared" si="262"/>
        <v>3.9000000000000004</v>
      </c>
      <c r="P162" s="191">
        <f t="shared" si="272"/>
        <v>0.51270504201680678</v>
      </c>
      <c r="Q162" s="191">
        <f t="shared" si="273"/>
        <v>15</v>
      </c>
      <c r="R162" s="191"/>
      <c r="S162" s="152">
        <f t="shared" si="274"/>
        <v>45.989764431837315</v>
      </c>
      <c r="T162" s="152">
        <f t="shared" si="275"/>
        <v>15</v>
      </c>
      <c r="U162" s="191">
        <f t="shared" si="276"/>
        <v>2.0943815878541727</v>
      </c>
      <c r="V162" s="191">
        <f t="shared" si="277"/>
        <v>2.0943815878541727</v>
      </c>
      <c r="W162" s="191">
        <f t="shared" si="278"/>
        <v>2.4607616567477226</v>
      </c>
      <c r="X162" s="175">
        <f t="shared" si="279"/>
        <v>350</v>
      </c>
      <c r="Y162" s="386">
        <f t="shared" si="215"/>
        <v>219.53206437252157</v>
      </c>
      <c r="AA162" s="191">
        <f t="shared" si="280"/>
        <v>1.3136683244726464</v>
      </c>
      <c r="AB162" s="153">
        <f t="shared" si="281"/>
        <v>1.5434745326702111</v>
      </c>
      <c r="AC162" s="153">
        <f t="shared" si="282"/>
        <v>0.17741619027991926</v>
      </c>
      <c r="AD162" s="153"/>
      <c r="AE162" s="153">
        <f t="shared" si="283"/>
        <v>0.96344647519582249</v>
      </c>
      <c r="AF162" s="317">
        <f t="shared" si="284"/>
        <v>1316.4121885121292</v>
      </c>
      <c r="AG162" s="463">
        <f t="shared" si="285"/>
        <v>6.9127284595300251E-2</v>
      </c>
      <c r="AI162" s="153">
        <f t="shared" si="286"/>
        <v>1.5902879843021744</v>
      </c>
      <c r="AJ162" s="153">
        <f t="shared" si="287"/>
        <v>2.0943815878541727</v>
      </c>
      <c r="AK162" s="153">
        <f t="shared" si="288"/>
        <v>2.0495877252361154</v>
      </c>
      <c r="AM162" s="317">
        <f t="shared" si="289"/>
        <v>260</v>
      </c>
      <c r="AN162" s="147">
        <f t="shared" si="290"/>
        <v>219.53206437252157</v>
      </c>
      <c r="AP162">
        <f t="shared" si="291"/>
        <v>260</v>
      </c>
      <c r="AQ162">
        <f t="shared" si="292"/>
        <v>219.53206437252157</v>
      </c>
      <c r="AS162" s="5">
        <f t="shared" si="263"/>
        <v>4.5551432446018953</v>
      </c>
      <c r="AT162" s="5">
        <f t="shared" si="293"/>
        <v>2.0943815878541727</v>
      </c>
      <c r="AU162" s="5">
        <f t="shared" si="230"/>
        <v>2.4607616567477226</v>
      </c>
      <c r="AV162" s="5"/>
      <c r="AW162" s="153">
        <f t="shared" si="231"/>
        <v>0.45978391356542614</v>
      </c>
      <c r="AX162" s="153">
        <f t="shared" si="259"/>
        <v>4.3333333333333339</v>
      </c>
      <c r="AY162" s="153">
        <f t="shared" si="260"/>
        <v>0.28285465622280248</v>
      </c>
      <c r="AZ162" s="153">
        <f t="shared" si="264"/>
        <v>15.32</v>
      </c>
      <c r="BA162" s="147">
        <f t="shared" si="294"/>
        <v>17.910795069528412</v>
      </c>
      <c r="BB162" s="147">
        <f t="shared" si="295"/>
        <v>6.7033864059259294</v>
      </c>
      <c r="BC162" s="5">
        <f t="shared" si="258"/>
        <v>2.1347948974121054</v>
      </c>
      <c r="BD162" s="147">
        <f t="shared" si="296"/>
        <v>55.299497538249824</v>
      </c>
      <c r="BF162" s="153">
        <f t="shared" si="265"/>
        <v>0.81992111397278722</v>
      </c>
      <c r="BG162" s="153">
        <f t="shared" si="261"/>
        <v>0.44437431070058464</v>
      </c>
      <c r="BI162" s="463">
        <f t="shared" si="236"/>
        <v>7.3949769645221389E-2</v>
      </c>
      <c r="BJ162" s="463">
        <f t="shared" si="237"/>
        <v>3.8300000000000001E-2</v>
      </c>
      <c r="BK162" s="463">
        <f t="shared" si="238"/>
        <v>1.0976603218626079E-2</v>
      </c>
      <c r="BL162" s="463">
        <f t="shared" si="239"/>
        <v>1.3709779615384617E-2</v>
      </c>
      <c r="BM162">
        <f t="shared" si="240"/>
        <v>2.6099999999999999E-3</v>
      </c>
      <c r="BN162">
        <f t="shared" si="297"/>
        <v>8.7812825749008625E-6</v>
      </c>
      <c r="BO162" s="463">
        <f t="shared" si="298"/>
        <v>0.1516066330098548</v>
      </c>
      <c r="BP162" s="147">
        <f t="shared" si="243"/>
        <v>139.54615247923209</v>
      </c>
      <c r="BQ162" s="463">
        <f t="shared" si="299"/>
        <v>0.12949319108002269</v>
      </c>
      <c r="BT162" s="147">
        <f t="shared" si="245"/>
        <v>129.49319108002268</v>
      </c>
      <c r="BU162" s="463">
        <f t="shared" si="246"/>
        <v>5.7143003816761989E-2</v>
      </c>
      <c r="BV162" s="463">
        <f t="shared" si="247"/>
        <v>3.7519020322017753E-2</v>
      </c>
      <c r="BW162" s="463">
        <f t="shared" si="248"/>
        <v>0</v>
      </c>
      <c r="BX162" s="463"/>
      <c r="BY162" s="463">
        <f t="shared" si="249"/>
        <v>0.48148148148148157</v>
      </c>
      <c r="BZ162" s="147">
        <f t="shared" si="250"/>
        <v>576.14350562026129</v>
      </c>
      <c r="CA162" s="153">
        <f t="shared" si="251"/>
        <v>0.84518284917951603</v>
      </c>
      <c r="CB162" s="5">
        <f t="shared" si="252"/>
        <v>3.9000000000000004</v>
      </c>
      <c r="CC162" s="153">
        <f t="shared" si="253"/>
        <v>0.82188613673219024</v>
      </c>
      <c r="CD162" s="5">
        <f t="shared" si="254"/>
        <v>82.188613673219024</v>
      </c>
      <c r="CG162" s="59">
        <f t="shared" si="300"/>
        <v>-50</v>
      </c>
      <c r="CH162">
        <f t="shared" si="301"/>
        <v>-50</v>
      </c>
    </row>
    <row r="163" spans="5:86" x14ac:dyDescent="0.25">
      <c r="E163" s="150">
        <v>53</v>
      </c>
      <c r="F163" s="191">
        <f t="shared" si="302"/>
        <v>0.26500000000000001</v>
      </c>
      <c r="G163" s="191"/>
      <c r="H163" s="191">
        <f t="shared" si="266"/>
        <v>3.9750000000000001</v>
      </c>
      <c r="I163" s="472">
        <f t="shared" si="267"/>
        <v>9</v>
      </c>
      <c r="J163" s="386">
        <f t="shared" si="268"/>
        <v>7.66</v>
      </c>
      <c r="K163" s="386">
        <f t="shared" si="269"/>
        <v>16.66</v>
      </c>
      <c r="L163" s="386"/>
      <c r="M163" s="191">
        <f t="shared" si="270"/>
        <v>0.45978391356542619</v>
      </c>
      <c r="N163" s="152">
        <f t="shared" si="271"/>
        <v>7.6905756302521011</v>
      </c>
      <c r="O163" s="152">
        <f t="shared" si="262"/>
        <v>3.9750000000000001</v>
      </c>
      <c r="P163" s="191">
        <f t="shared" si="272"/>
        <v>0.51270504201680678</v>
      </c>
      <c r="Q163" s="191">
        <f t="shared" si="273"/>
        <v>15</v>
      </c>
      <c r="R163" s="191"/>
      <c r="S163" s="152">
        <f t="shared" si="274"/>
        <v>44.788070693882567</v>
      </c>
      <c r="T163" s="152">
        <f t="shared" si="275"/>
        <v>15</v>
      </c>
      <c r="U163" s="191">
        <f t="shared" si="276"/>
        <v>2.1346581568513683</v>
      </c>
      <c r="V163" s="191">
        <f t="shared" si="277"/>
        <v>2.1346581568513683</v>
      </c>
      <c r="W163" s="191">
        <f t="shared" si="278"/>
        <v>2.5080839963005634</v>
      </c>
      <c r="X163" s="175">
        <f t="shared" si="279"/>
        <v>350</v>
      </c>
      <c r="Y163" s="386">
        <f t="shared" si="215"/>
        <v>215.38994995039849</v>
      </c>
      <c r="AA163" s="191">
        <f t="shared" si="280"/>
        <v>1.3136683244726464</v>
      </c>
      <c r="AB163" s="153">
        <f t="shared" si="281"/>
        <v>1.5434745326702111</v>
      </c>
      <c r="AC163" s="153">
        <f t="shared" si="282"/>
        <v>0.17741619027991926</v>
      </c>
      <c r="AD163" s="153"/>
      <c r="AE163" s="153">
        <f t="shared" si="283"/>
        <v>0.96344647519582249</v>
      </c>
      <c r="AF163" s="317">
        <f t="shared" si="284"/>
        <v>1341.7278075219779</v>
      </c>
      <c r="AG163" s="463">
        <f t="shared" si="285"/>
        <v>6.9127284595300251E-2</v>
      </c>
      <c r="AI163" s="153">
        <f t="shared" si="286"/>
        <v>1.6055063978853505</v>
      </c>
      <c r="AJ163" s="153">
        <f t="shared" si="287"/>
        <v>2.1346581568513683</v>
      </c>
      <c r="AK163" s="153">
        <f t="shared" si="288"/>
        <v>2.0764387712342458</v>
      </c>
      <c r="AM163" s="317">
        <f t="shared" si="289"/>
        <v>265</v>
      </c>
      <c r="AN163" s="147">
        <f t="shared" si="290"/>
        <v>215.38994995039849</v>
      </c>
      <c r="AP163">
        <f t="shared" si="291"/>
        <v>265</v>
      </c>
      <c r="AQ163">
        <f t="shared" si="292"/>
        <v>215.38994995039849</v>
      </c>
      <c r="AS163" s="5">
        <f t="shared" si="263"/>
        <v>4.6427421531519322</v>
      </c>
      <c r="AT163" s="5">
        <f t="shared" si="293"/>
        <v>2.1346581568513683</v>
      </c>
      <c r="AU163" s="5">
        <f t="shared" si="230"/>
        <v>2.5080839963005639</v>
      </c>
      <c r="AV163" s="5"/>
      <c r="AW163" s="153">
        <f t="shared" si="231"/>
        <v>0.45978391356542608</v>
      </c>
      <c r="AX163" s="153">
        <f t="shared" si="259"/>
        <v>4.4166666666666661</v>
      </c>
      <c r="AY163" s="153">
        <f t="shared" si="260"/>
        <v>0.28829416884247178</v>
      </c>
      <c r="AZ163" s="153">
        <f t="shared" si="264"/>
        <v>15.319999999999995</v>
      </c>
      <c r="BA163" s="147">
        <f t="shared" si="294"/>
        <v>17.910795069528412</v>
      </c>
      <c r="BB163" s="147">
        <f t="shared" si="295"/>
        <v>6.9483995614814846</v>
      </c>
      <c r="BC163" s="5">
        <f t="shared" si="258"/>
        <v>2.2176918886207857</v>
      </c>
      <c r="BD163" s="147">
        <f t="shared" si="296"/>
        <v>57.418540321519309</v>
      </c>
      <c r="BF163" s="153">
        <f t="shared" si="265"/>
        <v>0.8356888277030331</v>
      </c>
      <c r="BG163" s="153">
        <f t="shared" si="261"/>
        <v>0.4529199705217497</v>
      </c>
      <c r="BI163" s="463">
        <f t="shared" si="236"/>
        <v>7.6821339842243666E-2</v>
      </c>
      <c r="BJ163" s="463">
        <f t="shared" si="237"/>
        <v>3.8299999999999994E-2</v>
      </c>
      <c r="BK163" s="463">
        <f t="shared" si="238"/>
        <v>1.0769497497519924E-2</v>
      </c>
      <c r="BL163" s="463">
        <f t="shared" si="239"/>
        <v>1.3451104528301887E-2</v>
      </c>
      <c r="BM163">
        <f t="shared" si="240"/>
        <v>2.6099999999999999E-3</v>
      </c>
      <c r="BN163">
        <f t="shared" si="297"/>
        <v>8.6155979980159393E-6</v>
      </c>
      <c r="BO163" s="463">
        <f t="shared" si="298"/>
        <v>0.1545215553579726</v>
      </c>
      <c r="BP163" s="147">
        <f t="shared" si="243"/>
        <v>141.95194186806549</v>
      </c>
      <c r="BQ163" s="463">
        <f t="shared" si="299"/>
        <v>0.13257485715376618</v>
      </c>
      <c r="BT163" s="147">
        <f t="shared" si="245"/>
        <v>132.57485715376617</v>
      </c>
      <c r="BU163" s="463">
        <f t="shared" si="246"/>
        <v>5.9361944423551929E-2</v>
      </c>
      <c r="BV163" s="463">
        <f t="shared" si="247"/>
        <v>3.8975934942510296E-2</v>
      </c>
      <c r="BW163" s="463">
        <f t="shared" si="248"/>
        <v>0</v>
      </c>
      <c r="BX163" s="463"/>
      <c r="BY163" s="463">
        <f t="shared" si="249"/>
        <v>0.4907407407407407</v>
      </c>
      <c r="BZ163" s="147">
        <f t="shared" si="250"/>
        <v>589.07862010680287</v>
      </c>
      <c r="CA163" s="153">
        <f t="shared" si="251"/>
        <v>0.86360541912863453</v>
      </c>
      <c r="CB163" s="5">
        <f t="shared" si="252"/>
        <v>3.9750000000000001</v>
      </c>
      <c r="CC163" s="153">
        <f t="shared" si="253"/>
        <v>0.82151770100646948</v>
      </c>
      <c r="CD163" s="5">
        <f t="shared" si="254"/>
        <v>82.151770100646942</v>
      </c>
      <c r="CG163" s="59">
        <f t="shared" si="300"/>
        <v>-50</v>
      </c>
      <c r="CH163">
        <f t="shared" si="301"/>
        <v>-50</v>
      </c>
    </row>
    <row r="164" spans="5:86" x14ac:dyDescent="0.25">
      <c r="E164" s="150">
        <v>54</v>
      </c>
      <c r="F164" s="191">
        <f t="shared" si="302"/>
        <v>0.27</v>
      </c>
      <c r="G164" s="191"/>
      <c r="H164" s="191">
        <f t="shared" si="266"/>
        <v>4.0500000000000007</v>
      </c>
      <c r="I164" s="472">
        <f t="shared" si="267"/>
        <v>9</v>
      </c>
      <c r="J164" s="386">
        <f t="shared" si="268"/>
        <v>7.66</v>
      </c>
      <c r="K164" s="386">
        <f t="shared" si="269"/>
        <v>16.66</v>
      </c>
      <c r="L164" s="386"/>
      <c r="M164" s="191">
        <f t="shared" si="270"/>
        <v>0.45978391356542619</v>
      </c>
      <c r="N164" s="152">
        <f t="shared" si="271"/>
        <v>7.6905756302521011</v>
      </c>
      <c r="O164" s="152">
        <f t="shared" si="262"/>
        <v>4.0500000000000007</v>
      </c>
      <c r="P164" s="191">
        <f t="shared" si="272"/>
        <v>0.51270504201680678</v>
      </c>
      <c r="Q164" s="191">
        <f t="shared" si="273"/>
        <v>15</v>
      </c>
      <c r="R164" s="191"/>
      <c r="S164" s="152">
        <f t="shared" si="274"/>
        <v>43.631054874937362</v>
      </c>
      <c r="T164" s="152">
        <f t="shared" si="275"/>
        <v>15</v>
      </c>
      <c r="U164" s="191">
        <f t="shared" si="276"/>
        <v>2.1749347258485643</v>
      </c>
      <c r="V164" s="191">
        <f t="shared" si="277"/>
        <v>2.1749347258485643</v>
      </c>
      <c r="W164" s="191">
        <f t="shared" si="278"/>
        <v>2.5554063358534043</v>
      </c>
      <c r="X164" s="175">
        <f t="shared" si="279"/>
        <v>350</v>
      </c>
      <c r="Y164" s="386">
        <f t="shared" si="215"/>
        <v>211.40124717353925</v>
      </c>
      <c r="AA164" s="191">
        <f t="shared" si="280"/>
        <v>1.3136683244726464</v>
      </c>
      <c r="AB164" s="153">
        <f t="shared" si="281"/>
        <v>1.5434745326702111</v>
      </c>
      <c r="AC164" s="153">
        <f t="shared" si="282"/>
        <v>0.17741619027991926</v>
      </c>
      <c r="AD164" s="153"/>
      <c r="AE164" s="153">
        <f t="shared" si="283"/>
        <v>0.96344647519582249</v>
      </c>
      <c r="AF164" s="317">
        <f t="shared" si="284"/>
        <v>1367.0434265318265</v>
      </c>
      <c r="AG164" s="463">
        <f t="shared" si="285"/>
        <v>6.9127284595300251E-2</v>
      </c>
      <c r="AI164" s="153">
        <f t="shared" si="286"/>
        <v>1.6205819060713083</v>
      </c>
      <c r="AJ164" s="153">
        <f t="shared" si="287"/>
        <v>2.1749347258485643</v>
      </c>
      <c r="AK164" s="153">
        <f t="shared" si="288"/>
        <v>2.1032898172323762</v>
      </c>
      <c r="AM164" s="317">
        <f t="shared" si="289"/>
        <v>270</v>
      </c>
      <c r="AN164" s="147">
        <f t="shared" si="290"/>
        <v>211.40124717353925</v>
      </c>
      <c r="AP164">
        <f t="shared" si="291"/>
        <v>270</v>
      </c>
      <c r="AQ164">
        <f t="shared" si="292"/>
        <v>211.40124717353925</v>
      </c>
      <c r="AS164" s="5">
        <f t="shared" si="263"/>
        <v>4.730341061701969</v>
      </c>
      <c r="AT164" s="5">
        <f t="shared" si="293"/>
        <v>2.1749347258485643</v>
      </c>
      <c r="AU164" s="5">
        <f t="shared" si="230"/>
        <v>2.5554063358534047</v>
      </c>
      <c r="AV164" s="5"/>
      <c r="AW164" s="153">
        <f t="shared" si="231"/>
        <v>0.45978391356542614</v>
      </c>
      <c r="AX164" s="153">
        <f t="shared" si="259"/>
        <v>4.5000000000000018</v>
      </c>
      <c r="AY164" s="153">
        <f t="shared" si="260"/>
        <v>0.29373368146214107</v>
      </c>
      <c r="AZ164" s="153">
        <f t="shared" si="264"/>
        <v>15.320000000000002</v>
      </c>
      <c r="BA164" s="147">
        <f t="shared" si="294"/>
        <v>17.910795069528412</v>
      </c>
      <c r="BB164" s="147">
        <f t="shared" si="295"/>
        <v>7.1977939200000041</v>
      </c>
      <c r="BC164" s="5">
        <f t="shared" si="258"/>
        <v>2.3021678701382027</v>
      </c>
      <c r="BD164" s="147">
        <f t="shared" si="296"/>
        <v>59.577416723941027</v>
      </c>
      <c r="BF164" s="153">
        <f t="shared" si="265"/>
        <v>0.8514565414332792</v>
      </c>
      <c r="BG164" s="153">
        <f t="shared" si="261"/>
        <v>0.46146563034291488</v>
      </c>
      <c r="BI164" s="463">
        <f t="shared" si="236"/>
        <v>7.9747606614447367E-2</v>
      </c>
      <c r="BJ164" s="463">
        <f t="shared" si="237"/>
        <v>3.8300000000000001E-2</v>
      </c>
      <c r="BK164" s="463">
        <f t="shared" si="238"/>
        <v>1.0570062358676963E-2</v>
      </c>
      <c r="BL164" s="463">
        <f t="shared" si="239"/>
        <v>1.3202009999999998E-2</v>
      </c>
      <c r="BM164">
        <f t="shared" si="240"/>
        <v>2.6099999999999999E-3</v>
      </c>
      <c r="BN164">
        <f t="shared" si="297"/>
        <v>8.4560498869415694E-6</v>
      </c>
      <c r="BO164" s="463">
        <f t="shared" si="298"/>
        <v>0.15752174766245278</v>
      </c>
      <c r="BP164" s="147">
        <f t="shared" si="243"/>
        <v>144.42967897312431</v>
      </c>
      <c r="BQ164" s="463">
        <f t="shared" si="299"/>
        <v>0.13567884067653338</v>
      </c>
      <c r="BT164" s="147">
        <f t="shared" si="245"/>
        <v>135.67884067653338</v>
      </c>
      <c r="BU164" s="463">
        <f t="shared" si="246"/>
        <v>6.1623150565709335E-2</v>
      </c>
      <c r="BV164" s="463">
        <f t="shared" si="247"/>
        <v>4.0460600317678917E-2</v>
      </c>
      <c r="BW164" s="463">
        <f t="shared" si="248"/>
        <v>0</v>
      </c>
      <c r="BX164" s="463"/>
      <c r="BY164" s="463">
        <f t="shared" si="249"/>
        <v>0.50000000000000022</v>
      </c>
      <c r="BZ164" s="147">
        <f t="shared" si="250"/>
        <v>602.08375088338846</v>
      </c>
      <c r="CA164" s="153">
        <f t="shared" si="251"/>
        <v>0.88219227053304605</v>
      </c>
      <c r="CB164" s="5">
        <f t="shared" si="252"/>
        <v>4.0500000000000007</v>
      </c>
      <c r="CC164" s="153">
        <f t="shared" si="253"/>
        <v>0.82113587181026426</v>
      </c>
      <c r="CD164" s="5">
        <f t="shared" si="254"/>
        <v>82.113587181026432</v>
      </c>
      <c r="CG164" s="59">
        <f t="shared" si="300"/>
        <v>-50</v>
      </c>
      <c r="CH164">
        <f t="shared" si="301"/>
        <v>-50</v>
      </c>
    </row>
    <row r="165" spans="5:86" x14ac:dyDescent="0.25">
      <c r="E165" s="150">
        <v>55</v>
      </c>
      <c r="F165" s="191">
        <f t="shared" si="302"/>
        <v>0.27500000000000002</v>
      </c>
      <c r="G165" s="191"/>
      <c r="H165" s="191">
        <f t="shared" si="266"/>
        <v>4.125</v>
      </c>
      <c r="I165" s="472">
        <f t="shared" si="267"/>
        <v>9</v>
      </c>
      <c r="J165" s="386">
        <f t="shared" si="268"/>
        <v>7.66</v>
      </c>
      <c r="K165" s="386">
        <f t="shared" si="269"/>
        <v>16.66</v>
      </c>
      <c r="L165" s="386"/>
      <c r="M165" s="191">
        <f t="shared" si="270"/>
        <v>0.45978391356542619</v>
      </c>
      <c r="N165" s="152">
        <f t="shared" si="271"/>
        <v>7.6905756302521011</v>
      </c>
      <c r="O165" s="152">
        <f t="shared" si="262"/>
        <v>4.125</v>
      </c>
      <c r="P165" s="191">
        <f t="shared" si="272"/>
        <v>0.51270504201680678</v>
      </c>
      <c r="Q165" s="191">
        <f t="shared" si="273"/>
        <v>15</v>
      </c>
      <c r="R165" s="191"/>
      <c r="S165" s="152">
        <f t="shared" si="274"/>
        <v>42.516283628213863</v>
      </c>
      <c r="T165" s="152">
        <f t="shared" si="275"/>
        <v>15</v>
      </c>
      <c r="U165" s="191">
        <f t="shared" si="276"/>
        <v>2.2152112948457594</v>
      </c>
      <c r="V165" s="191">
        <f t="shared" si="277"/>
        <v>2.215211294845759</v>
      </c>
      <c r="W165" s="191">
        <f t="shared" si="278"/>
        <v>2.6027286754062446</v>
      </c>
      <c r="X165" s="175">
        <f t="shared" si="279"/>
        <v>350</v>
      </c>
      <c r="Y165" s="386">
        <f t="shared" si="215"/>
        <v>207.55758813402042</v>
      </c>
      <c r="AA165" s="191">
        <f t="shared" si="280"/>
        <v>1.3136683244726464</v>
      </c>
      <c r="AB165" s="153">
        <f t="shared" si="281"/>
        <v>1.5434745326702111</v>
      </c>
      <c r="AC165" s="153">
        <f t="shared" si="282"/>
        <v>0.17741619027991926</v>
      </c>
      <c r="AD165" s="153"/>
      <c r="AE165" s="153">
        <f t="shared" si="283"/>
        <v>0.96344647519582249</v>
      </c>
      <c r="AF165" s="317">
        <f t="shared" si="284"/>
        <v>1392.3590455416752</v>
      </c>
      <c r="AG165" s="463">
        <f t="shared" si="285"/>
        <v>6.9127284595300251E-2</v>
      </c>
      <c r="AI165" s="153">
        <f t="shared" si="286"/>
        <v>1.635518460586928</v>
      </c>
      <c r="AJ165" s="153">
        <f t="shared" si="287"/>
        <v>2.2152112948457594</v>
      </c>
      <c r="AK165" s="153">
        <f t="shared" si="288"/>
        <v>2.1301408632305066</v>
      </c>
      <c r="AM165" s="317">
        <f t="shared" si="289"/>
        <v>275</v>
      </c>
      <c r="AN165" s="147">
        <f t="shared" si="290"/>
        <v>207.55758813402042</v>
      </c>
      <c r="AP165">
        <f t="shared" si="291"/>
        <v>275</v>
      </c>
      <c r="AQ165">
        <f t="shared" si="292"/>
        <v>207.55758813402042</v>
      </c>
      <c r="AS165" s="5">
        <f t="shared" si="263"/>
        <v>4.817939970252004</v>
      </c>
      <c r="AT165" s="5">
        <f t="shared" si="293"/>
        <v>2.215211294845759</v>
      </c>
      <c r="AU165" s="5">
        <f t="shared" si="230"/>
        <v>2.6027286754062451</v>
      </c>
      <c r="AV165" s="5"/>
      <c r="AW165" s="153">
        <f t="shared" si="231"/>
        <v>0.45978391356542608</v>
      </c>
      <c r="AX165" s="153">
        <f t="shared" si="259"/>
        <v>4.583333333333333</v>
      </c>
      <c r="AY165" s="153">
        <f t="shared" si="260"/>
        <v>0.29917319408181031</v>
      </c>
      <c r="AZ165" s="153">
        <f t="shared" si="264"/>
        <v>15.319999999999997</v>
      </c>
      <c r="BA165" s="147">
        <f t="shared" si="294"/>
        <v>17.910795069528412</v>
      </c>
      <c r="BB165" s="147">
        <f t="shared" si="295"/>
        <v>7.4515694814814859</v>
      </c>
      <c r="BC165" s="5">
        <f t="shared" si="258"/>
        <v>2.3882228419643554</v>
      </c>
      <c r="BD165" s="147">
        <f t="shared" si="296"/>
        <v>61.776126745514929</v>
      </c>
      <c r="BF165" s="153">
        <f t="shared" si="265"/>
        <v>0.86722425516352486</v>
      </c>
      <c r="BG165" s="153">
        <f t="shared" si="261"/>
        <v>0.47001129016407989</v>
      </c>
      <c r="BI165" s="463">
        <f t="shared" si="236"/>
        <v>8.2728569961832352E-2</v>
      </c>
      <c r="BJ165" s="463">
        <f t="shared" si="237"/>
        <v>3.8300000000000001E-2</v>
      </c>
      <c r="BK165" s="463">
        <f t="shared" si="238"/>
        <v>1.037787940670102E-2</v>
      </c>
      <c r="BL165" s="463">
        <f t="shared" si="239"/>
        <v>1.2961973454545457E-2</v>
      </c>
      <c r="BM165">
        <f t="shared" si="240"/>
        <v>2.6099999999999999E-3</v>
      </c>
      <c r="BN165">
        <f t="shared" si="297"/>
        <v>8.3023035253608166E-6</v>
      </c>
      <c r="BO165" s="463">
        <f t="shared" si="298"/>
        <v>0.16060648651584281</v>
      </c>
      <c r="BP165" s="147">
        <f t="shared" si="243"/>
        <v>146.97842282307883</v>
      </c>
      <c r="BQ165" s="463">
        <f t="shared" si="299"/>
        <v>0.13880514164832425</v>
      </c>
      <c r="BT165" s="147">
        <f t="shared" si="245"/>
        <v>138.80514164832425</v>
      </c>
      <c r="BU165" s="463">
        <f t="shared" si="246"/>
        <v>6.3926622243234088E-2</v>
      </c>
      <c r="BV165" s="463">
        <f t="shared" si="247"/>
        <v>4.1973016447523555E-2</v>
      </c>
      <c r="BW165" s="463">
        <f t="shared" si="248"/>
        <v>0</v>
      </c>
      <c r="BX165" s="463"/>
      <c r="BY165" s="463">
        <f t="shared" si="249"/>
        <v>0.5092592592592593</v>
      </c>
      <c r="BZ165" s="147">
        <f t="shared" si="250"/>
        <v>615.15889795001692</v>
      </c>
      <c r="CA165" s="153">
        <f t="shared" si="251"/>
        <v>0.90094246242141995</v>
      </c>
      <c r="CB165" s="5">
        <f t="shared" si="252"/>
        <v>4.125</v>
      </c>
      <c r="CC165" s="153">
        <f t="shared" si="253"/>
        <v>0.82074158843685607</v>
      </c>
      <c r="CD165" s="5">
        <f t="shared" si="254"/>
        <v>82.074158843685609</v>
      </c>
      <c r="CG165" s="59">
        <f t="shared" si="300"/>
        <v>-50</v>
      </c>
      <c r="CH165">
        <f t="shared" si="301"/>
        <v>-50</v>
      </c>
    </row>
    <row r="166" spans="5:86" x14ac:dyDescent="0.25">
      <c r="E166" s="150">
        <v>56</v>
      </c>
      <c r="F166" s="191">
        <f t="shared" si="302"/>
        <v>0.28000000000000003</v>
      </c>
      <c r="G166" s="191"/>
      <c r="H166" s="191">
        <f t="shared" si="266"/>
        <v>4.2</v>
      </c>
      <c r="I166" s="472">
        <f t="shared" si="267"/>
        <v>9</v>
      </c>
      <c r="J166" s="386">
        <f t="shared" si="268"/>
        <v>7.66</v>
      </c>
      <c r="K166" s="386">
        <f t="shared" si="269"/>
        <v>16.66</v>
      </c>
      <c r="L166" s="386"/>
      <c r="M166" s="191">
        <f t="shared" si="270"/>
        <v>0.45978391356542619</v>
      </c>
      <c r="N166" s="152">
        <f t="shared" si="271"/>
        <v>7.6905756302521011</v>
      </c>
      <c r="O166" s="152">
        <f t="shared" si="262"/>
        <v>4.2</v>
      </c>
      <c r="P166" s="191">
        <f t="shared" si="272"/>
        <v>0.51270504201680678</v>
      </c>
      <c r="Q166" s="191">
        <f t="shared" si="273"/>
        <v>15</v>
      </c>
      <c r="R166" s="191"/>
      <c r="S166" s="152">
        <f t="shared" si="274"/>
        <v>41.441497517013381</v>
      </c>
      <c r="T166" s="152">
        <f t="shared" si="275"/>
        <v>15</v>
      </c>
      <c r="U166" s="191">
        <f t="shared" si="276"/>
        <v>2.2554878638429554</v>
      </c>
      <c r="V166" s="191">
        <f t="shared" si="277"/>
        <v>2.2554878638429554</v>
      </c>
      <c r="W166" s="191">
        <f t="shared" si="278"/>
        <v>2.6500510149590859</v>
      </c>
      <c r="X166" s="175">
        <f t="shared" si="279"/>
        <v>350</v>
      </c>
      <c r="Y166" s="386">
        <f t="shared" si="215"/>
        <v>203.85120263162719</v>
      </c>
      <c r="AA166" s="191">
        <f t="shared" si="280"/>
        <v>1.3136683244726464</v>
      </c>
      <c r="AB166" s="153">
        <f t="shared" si="281"/>
        <v>1.5434745326702111</v>
      </c>
      <c r="AC166" s="153">
        <f t="shared" si="282"/>
        <v>0.17741619027991926</v>
      </c>
      <c r="AD166" s="153"/>
      <c r="AE166" s="153">
        <f t="shared" si="283"/>
        <v>0.96344647519582249</v>
      </c>
      <c r="AF166" s="317">
        <f t="shared" si="284"/>
        <v>1417.6746645515238</v>
      </c>
      <c r="AG166" s="463">
        <f t="shared" si="285"/>
        <v>6.9127284595300251E-2</v>
      </c>
      <c r="AI166" s="153">
        <f t="shared" si="286"/>
        <v>1.6503198343216856</v>
      </c>
      <c r="AJ166" s="153">
        <f t="shared" si="287"/>
        <v>2.2554878638429554</v>
      </c>
      <c r="AK166" s="153">
        <f t="shared" si="288"/>
        <v>2.1569919092286369</v>
      </c>
      <c r="AM166" s="317">
        <f t="shared" si="289"/>
        <v>280</v>
      </c>
      <c r="AN166" s="147">
        <f t="shared" si="290"/>
        <v>203.85120263162719</v>
      </c>
      <c r="AP166">
        <f t="shared" si="291"/>
        <v>280</v>
      </c>
      <c r="AQ166">
        <f t="shared" si="292"/>
        <v>203.85120263162719</v>
      </c>
      <c r="AS166" s="5">
        <f t="shared" si="263"/>
        <v>4.9055388788020409</v>
      </c>
      <c r="AT166" s="5">
        <f t="shared" si="293"/>
        <v>2.2554878638429554</v>
      </c>
      <c r="AU166" s="5">
        <f t="shared" si="230"/>
        <v>2.6500510149590855</v>
      </c>
      <c r="AV166" s="5"/>
      <c r="AW166" s="153">
        <f t="shared" si="231"/>
        <v>0.45978391356542619</v>
      </c>
      <c r="AX166" s="153">
        <f t="shared" si="259"/>
        <v>4.6666666666666679</v>
      </c>
      <c r="AY166" s="153">
        <f t="shared" si="260"/>
        <v>0.30461270670147955</v>
      </c>
      <c r="AZ166" s="153">
        <f t="shared" si="264"/>
        <v>15.320000000000004</v>
      </c>
      <c r="BA166" s="147">
        <f t="shared" si="294"/>
        <v>17.910795069528412</v>
      </c>
      <c r="BB166" s="147">
        <f t="shared" si="295"/>
        <v>7.7097262459259293</v>
      </c>
      <c r="BC166" s="5">
        <f t="shared" si="258"/>
        <v>2.4758568040992461</v>
      </c>
      <c r="BD166" s="147">
        <f t="shared" si="296"/>
        <v>64.014670386241065</v>
      </c>
      <c r="BF166" s="153">
        <f t="shared" si="265"/>
        <v>0.88299196889377096</v>
      </c>
      <c r="BG166" s="153">
        <f t="shared" si="261"/>
        <v>0.47855694998524495</v>
      </c>
      <c r="BI166" s="463">
        <f t="shared" si="236"/>
        <v>8.5764229884398802E-2</v>
      </c>
      <c r="BJ166" s="463">
        <f t="shared" si="237"/>
        <v>3.8300000000000008E-2</v>
      </c>
      <c r="BK166" s="463">
        <f t="shared" si="238"/>
        <v>1.0192560131581358E-2</v>
      </c>
      <c r="BL166" s="463">
        <f t="shared" si="239"/>
        <v>1.2730509642857145E-2</v>
      </c>
      <c r="BM166">
        <f t="shared" si="240"/>
        <v>2.6099999999999999E-3</v>
      </c>
      <c r="BN166">
        <f t="shared" si="297"/>
        <v>8.1540481052650871E-6</v>
      </c>
      <c r="BO166" s="463">
        <f t="shared" si="298"/>
        <v>0.16377512042716474</v>
      </c>
      <c r="BP166" s="147">
        <f t="shared" si="243"/>
        <v>149.5972996588373</v>
      </c>
      <c r="BQ166" s="463">
        <f t="shared" si="299"/>
        <v>0.14195376006913876</v>
      </c>
      <c r="BT166" s="147">
        <f t="shared" si="245"/>
        <v>141.95376006913875</v>
      </c>
      <c r="BU166" s="463">
        <f t="shared" si="246"/>
        <v>6.6272359456126348E-2</v>
      </c>
      <c r="BV166" s="463">
        <f t="shared" si="247"/>
        <v>4.3513183332044243E-2</v>
      </c>
      <c r="BW166" s="463">
        <f t="shared" si="248"/>
        <v>0</v>
      </c>
      <c r="BX166" s="463"/>
      <c r="BY166" s="463">
        <f t="shared" si="249"/>
        <v>0.51851851851851871</v>
      </c>
      <c r="BZ166" s="147">
        <f t="shared" si="250"/>
        <v>628.30406130668928</v>
      </c>
      <c r="CA166" s="153">
        <f t="shared" si="251"/>
        <v>0.91985512103466538</v>
      </c>
      <c r="CB166" s="5">
        <f t="shared" si="252"/>
        <v>4.2</v>
      </c>
      <c r="CC166" s="153">
        <f t="shared" si="253"/>
        <v>0.82033571277134643</v>
      </c>
      <c r="CD166" s="5">
        <f t="shared" si="254"/>
        <v>82.033571277134641</v>
      </c>
      <c r="CG166" s="59">
        <f t="shared" si="300"/>
        <v>-50</v>
      </c>
      <c r="CH166">
        <f t="shared" si="301"/>
        <v>-50</v>
      </c>
    </row>
    <row r="167" spans="5:86" x14ac:dyDescent="0.25">
      <c r="E167" s="150">
        <v>57</v>
      </c>
      <c r="F167" s="191">
        <f t="shared" si="302"/>
        <v>0.28499999999999998</v>
      </c>
      <c r="G167" s="191"/>
      <c r="H167" s="191">
        <f t="shared" si="266"/>
        <v>4.2749999999999995</v>
      </c>
      <c r="I167" s="472">
        <f t="shared" si="267"/>
        <v>9</v>
      </c>
      <c r="J167" s="386">
        <f t="shared" si="268"/>
        <v>7.66</v>
      </c>
      <c r="K167" s="386">
        <f t="shared" si="269"/>
        <v>16.66</v>
      </c>
      <c r="L167" s="386"/>
      <c r="M167" s="191">
        <f t="shared" si="270"/>
        <v>0.45978391356542619</v>
      </c>
      <c r="N167" s="152">
        <f t="shared" si="271"/>
        <v>7.6905756302521011</v>
      </c>
      <c r="O167" s="152">
        <f t="shared" si="262"/>
        <v>4.2749999999999995</v>
      </c>
      <c r="P167" s="191">
        <f t="shared" si="272"/>
        <v>0.51270504201680678</v>
      </c>
      <c r="Q167" s="191">
        <f t="shared" si="273"/>
        <v>15</v>
      </c>
      <c r="R167" s="191"/>
      <c r="S167" s="152">
        <f t="shared" si="274"/>
        <v>40.404595762740676</v>
      </c>
      <c r="T167" s="152">
        <f t="shared" si="275"/>
        <v>15</v>
      </c>
      <c r="U167" s="191">
        <f t="shared" si="276"/>
        <v>2.2957644328401505</v>
      </c>
      <c r="V167" s="191">
        <f t="shared" si="277"/>
        <v>2.2957644328401505</v>
      </c>
      <c r="W167" s="191">
        <f t="shared" si="278"/>
        <v>2.6973733545119258</v>
      </c>
      <c r="X167" s="175">
        <f t="shared" si="279"/>
        <v>350</v>
      </c>
      <c r="Y167" s="386">
        <f t="shared" si="215"/>
        <v>200.27486574335308</v>
      </c>
      <c r="AA167" s="191">
        <f t="shared" si="280"/>
        <v>1.3136683244726464</v>
      </c>
      <c r="AB167" s="153">
        <f t="shared" si="281"/>
        <v>1.5434745326702111</v>
      </c>
      <c r="AC167" s="153">
        <f t="shared" si="282"/>
        <v>0.17741619027991926</v>
      </c>
      <c r="AD167" s="153"/>
      <c r="AE167" s="153">
        <f t="shared" si="283"/>
        <v>0.96344647519582249</v>
      </c>
      <c r="AF167" s="317">
        <f t="shared" si="284"/>
        <v>1442.9902835613723</v>
      </c>
      <c r="AG167" s="463">
        <f t="shared" si="285"/>
        <v>6.9127284595300251E-2</v>
      </c>
      <c r="AI167" s="153">
        <f t="shared" si="286"/>
        <v>1.6649896324573543</v>
      </c>
      <c r="AJ167" s="153">
        <f t="shared" si="287"/>
        <v>2.2957644328401505</v>
      </c>
      <c r="AK167" s="153">
        <f t="shared" si="288"/>
        <v>2.1838429552267673</v>
      </c>
      <c r="AM167" s="317">
        <f t="shared" si="289"/>
        <v>285</v>
      </c>
      <c r="AN167" s="147">
        <f t="shared" si="290"/>
        <v>200.27486574335308</v>
      </c>
      <c r="AP167">
        <f t="shared" si="291"/>
        <v>285</v>
      </c>
      <c r="AQ167">
        <f t="shared" si="292"/>
        <v>200.27486574335308</v>
      </c>
      <c r="AS167" s="5">
        <f t="shared" si="263"/>
        <v>4.9931377873520759</v>
      </c>
      <c r="AT167" s="5">
        <f t="shared" si="293"/>
        <v>2.2957644328401505</v>
      </c>
      <c r="AU167" s="5">
        <f t="shared" si="230"/>
        <v>2.6973733545119254</v>
      </c>
      <c r="AV167" s="5"/>
      <c r="AW167" s="153">
        <f t="shared" si="231"/>
        <v>0.45978391356542625</v>
      </c>
      <c r="AX167" s="153">
        <f t="shared" si="259"/>
        <v>4.75</v>
      </c>
      <c r="AY167" s="153">
        <f t="shared" si="260"/>
        <v>0.31005221932114874</v>
      </c>
      <c r="AZ167" s="153">
        <f t="shared" si="264"/>
        <v>15.320000000000004</v>
      </c>
      <c r="BA167" s="147">
        <f t="shared" si="294"/>
        <v>17.910795069528412</v>
      </c>
      <c r="BB167" s="147">
        <f t="shared" si="295"/>
        <v>7.9722642133333359</v>
      </c>
      <c r="BC167" s="5">
        <f t="shared" si="258"/>
        <v>2.5650697565428713</v>
      </c>
      <c r="BD167" s="147">
        <f t="shared" si="296"/>
        <v>66.293047646119419</v>
      </c>
      <c r="BF167" s="153">
        <f t="shared" si="265"/>
        <v>0.89875968262401673</v>
      </c>
      <c r="BG167" s="153">
        <f t="shared" si="261"/>
        <v>0.48710260980640996</v>
      </c>
      <c r="BI167" s="463">
        <f t="shared" si="236"/>
        <v>8.885458638214655E-2</v>
      </c>
      <c r="BJ167" s="463">
        <f t="shared" si="237"/>
        <v>3.8300000000000008E-2</v>
      </c>
      <c r="BK167" s="463">
        <f t="shared" si="238"/>
        <v>1.0013743287167653E-2</v>
      </c>
      <c r="BL167" s="463">
        <f t="shared" si="239"/>
        <v>1.2507167368421057E-2</v>
      </c>
      <c r="BM167">
        <f t="shared" si="240"/>
        <v>2.6099999999999999E-3</v>
      </c>
      <c r="BN167">
        <f t="shared" si="297"/>
        <v>8.0109946297341225E-6</v>
      </c>
      <c r="BO167" s="463">
        <f t="shared" si="298"/>
        <v>0.16702706395992839</v>
      </c>
      <c r="BP167" s="147">
        <f t="shared" si="243"/>
        <v>152.28549703773524</v>
      </c>
      <c r="BQ167" s="463">
        <f t="shared" si="299"/>
        <v>0.14512469593897695</v>
      </c>
      <c r="BT167" s="147">
        <f t="shared" si="245"/>
        <v>145.12469593897694</v>
      </c>
      <c r="BU167" s="463">
        <f t="shared" si="246"/>
        <v>6.8660362204385983E-2</v>
      </c>
      <c r="BV167" s="463">
        <f t="shared" si="247"/>
        <v>4.5081100971240982E-2</v>
      </c>
      <c r="BW167" s="463">
        <f t="shared" si="248"/>
        <v>0</v>
      </c>
      <c r="BX167" s="463"/>
      <c r="BY167" s="463">
        <f t="shared" si="249"/>
        <v>0.52777777777777779</v>
      </c>
      <c r="BZ167" s="147">
        <f t="shared" si="250"/>
        <v>641.51924095340473</v>
      </c>
      <c r="CA167" s="153">
        <f t="shared" si="251"/>
        <v>0.93892943393011696</v>
      </c>
      <c r="CB167" s="5">
        <f t="shared" si="252"/>
        <v>4.2749999999999995</v>
      </c>
      <c r="CC167" s="153">
        <f t="shared" si="253"/>
        <v>0.81991903691293777</v>
      </c>
      <c r="CD167" s="5">
        <f t="shared" si="254"/>
        <v>81.991903691293771</v>
      </c>
      <c r="CG167" s="59">
        <f t="shared" si="300"/>
        <v>-50</v>
      </c>
      <c r="CH167">
        <f t="shared" si="301"/>
        <v>-50</v>
      </c>
    </row>
    <row r="168" spans="5:86" x14ac:dyDescent="0.25">
      <c r="E168" s="150">
        <v>58</v>
      </c>
      <c r="F168" s="191">
        <f t="shared" si="302"/>
        <v>0.28999999999999998</v>
      </c>
      <c r="G168" s="191"/>
      <c r="H168" s="191">
        <f t="shared" si="266"/>
        <v>4.3499999999999996</v>
      </c>
      <c r="I168" s="472">
        <f t="shared" si="267"/>
        <v>9</v>
      </c>
      <c r="J168" s="386">
        <f t="shared" si="268"/>
        <v>7.66</v>
      </c>
      <c r="K168" s="386">
        <f t="shared" si="269"/>
        <v>16.66</v>
      </c>
      <c r="L168" s="386"/>
      <c r="M168" s="191">
        <f t="shared" si="270"/>
        <v>0.45978391356542619</v>
      </c>
      <c r="N168" s="152">
        <f t="shared" si="271"/>
        <v>7.6905756302521011</v>
      </c>
      <c r="O168" s="152">
        <f t="shared" si="262"/>
        <v>4.3499999999999996</v>
      </c>
      <c r="P168" s="191">
        <f t="shared" si="272"/>
        <v>0.51270504201680678</v>
      </c>
      <c r="Q168" s="191">
        <f t="shared" si="273"/>
        <v>15</v>
      </c>
      <c r="R168" s="191"/>
      <c r="S168" s="152">
        <f t="shared" si="274"/>
        <v>39.403622570833789</v>
      </c>
      <c r="T168" s="152">
        <f t="shared" si="275"/>
        <v>15</v>
      </c>
      <c r="U168" s="191">
        <f t="shared" si="276"/>
        <v>2.3360410018373461</v>
      </c>
      <c r="V168" s="191">
        <f t="shared" si="277"/>
        <v>2.3360410018373465</v>
      </c>
      <c r="W168" s="191">
        <f t="shared" si="278"/>
        <v>2.7446956940647671</v>
      </c>
      <c r="X168" s="175">
        <f t="shared" si="279"/>
        <v>350</v>
      </c>
      <c r="Y168" s="386">
        <f t="shared" si="215"/>
        <v>196.82185081674348</v>
      </c>
      <c r="AA168" s="191">
        <f t="shared" si="280"/>
        <v>1.3136683244726464</v>
      </c>
      <c r="AB168" s="153">
        <f t="shared" si="281"/>
        <v>1.5434745326702111</v>
      </c>
      <c r="AC168" s="153">
        <f t="shared" si="282"/>
        <v>0.17741619027991926</v>
      </c>
      <c r="AD168" s="153"/>
      <c r="AE168" s="153">
        <f t="shared" si="283"/>
        <v>0.96344647519582249</v>
      </c>
      <c r="AF168" s="317">
        <f t="shared" si="284"/>
        <v>1468.3059025712209</v>
      </c>
      <c r="AG168" s="463">
        <f t="shared" si="285"/>
        <v>6.9127284595300251E-2</v>
      </c>
      <c r="AI168" s="153">
        <f t="shared" si="286"/>
        <v>1.6795313027226961</v>
      </c>
      <c r="AJ168" s="153">
        <f t="shared" si="287"/>
        <v>2.3360410018373461</v>
      </c>
      <c r="AK168" s="153">
        <f t="shared" si="288"/>
        <v>2.2106940012248977</v>
      </c>
      <c r="AM168" s="317">
        <f t="shared" si="289"/>
        <v>290</v>
      </c>
      <c r="AN168" s="147">
        <f t="shared" si="290"/>
        <v>196.82185081674348</v>
      </c>
      <c r="AP168">
        <f t="shared" si="291"/>
        <v>290</v>
      </c>
      <c r="AQ168">
        <f t="shared" si="292"/>
        <v>196.82185081674348</v>
      </c>
      <c r="AS168" s="5">
        <f t="shared" si="263"/>
        <v>5.0807366959021136</v>
      </c>
      <c r="AT168" s="5">
        <f t="shared" si="293"/>
        <v>2.3360410018373465</v>
      </c>
      <c r="AU168" s="5">
        <f t="shared" si="230"/>
        <v>2.7446956940647671</v>
      </c>
      <c r="AV168" s="5"/>
      <c r="AW168" s="153">
        <f t="shared" si="231"/>
        <v>0.45978391356542619</v>
      </c>
      <c r="AX168" s="153">
        <f t="shared" si="259"/>
        <v>4.8333333333333321</v>
      </c>
      <c r="AY168" s="153">
        <f t="shared" si="260"/>
        <v>0.31549173194081798</v>
      </c>
      <c r="AZ168" s="153">
        <f t="shared" si="264"/>
        <v>15.320000000000002</v>
      </c>
      <c r="BA168" s="147">
        <f t="shared" si="294"/>
        <v>17.910795069528412</v>
      </c>
      <c r="BB168" s="147">
        <f t="shared" si="295"/>
        <v>8.2391833837037076</v>
      </c>
      <c r="BC168" s="5">
        <f t="shared" si="258"/>
        <v>2.6558616992952362</v>
      </c>
      <c r="BD168" s="147">
        <f t="shared" si="296"/>
        <v>68.611258525150035</v>
      </c>
      <c r="BF168" s="153">
        <f t="shared" si="265"/>
        <v>0.9145273963542625</v>
      </c>
      <c r="BG168" s="153">
        <f t="shared" si="261"/>
        <v>0.49564826962757502</v>
      </c>
      <c r="BI168" s="463">
        <f t="shared" si="236"/>
        <v>9.1999639455075694E-2</v>
      </c>
      <c r="BJ168" s="463">
        <f t="shared" si="237"/>
        <v>3.8300000000000001E-2</v>
      </c>
      <c r="BK168" s="463">
        <f t="shared" si="238"/>
        <v>9.8410925408371729E-3</v>
      </c>
      <c r="BL168" s="463">
        <f t="shared" si="239"/>
        <v>1.2291526551724139E-2</v>
      </c>
      <c r="BM168">
        <f t="shared" si="240"/>
        <v>2.6099999999999999E-3</v>
      </c>
      <c r="BN168">
        <f t="shared" si="297"/>
        <v>7.8728740326697399E-6</v>
      </c>
      <c r="BO168" s="463">
        <f t="shared" si="298"/>
        <v>0.17036179248112127</v>
      </c>
      <c r="BP168" s="147">
        <f t="shared" si="243"/>
        <v>155.042258547637</v>
      </c>
      <c r="BQ168" s="463">
        <f t="shared" si="299"/>
        <v>0.14831794925783887</v>
      </c>
      <c r="BT168" s="147">
        <f t="shared" si="245"/>
        <v>148.31794925783888</v>
      </c>
      <c r="BU168" s="463">
        <f t="shared" si="246"/>
        <v>7.1090630488013049E-2</v>
      </c>
      <c r="BV168" s="463">
        <f t="shared" si="247"/>
        <v>4.6676769365113766E-2</v>
      </c>
      <c r="BW168" s="463">
        <f t="shared" si="248"/>
        <v>0</v>
      </c>
      <c r="BX168" s="463"/>
      <c r="BY168" s="463">
        <f t="shared" si="249"/>
        <v>0.53703703703703698</v>
      </c>
      <c r="BZ168" s="147">
        <f t="shared" si="250"/>
        <v>654.80443689016374</v>
      </c>
      <c r="CA168" s="153">
        <f t="shared" si="251"/>
        <v>0.95816464469563978</v>
      </c>
      <c r="CB168" s="5">
        <f t="shared" si="252"/>
        <v>4.3499999999999996</v>
      </c>
      <c r="CC168" s="153">
        <f t="shared" si="253"/>
        <v>0.81949228992866341</v>
      </c>
      <c r="CD168" s="5">
        <f t="shared" si="254"/>
        <v>81.949228992866338</v>
      </c>
      <c r="CG168" s="59">
        <f t="shared" si="300"/>
        <v>-50</v>
      </c>
      <c r="CH168">
        <f t="shared" si="301"/>
        <v>-50</v>
      </c>
    </row>
    <row r="169" spans="5:86" x14ac:dyDescent="0.25">
      <c r="E169" s="150">
        <v>59</v>
      </c>
      <c r="F169" s="191">
        <f t="shared" si="302"/>
        <v>0.29499999999999998</v>
      </c>
      <c r="G169" s="191"/>
      <c r="H169" s="191">
        <f t="shared" si="266"/>
        <v>4.4249999999999998</v>
      </c>
      <c r="I169" s="472">
        <f t="shared" si="267"/>
        <v>9</v>
      </c>
      <c r="J169" s="386">
        <f t="shared" si="268"/>
        <v>7.66</v>
      </c>
      <c r="K169" s="386">
        <f t="shared" si="269"/>
        <v>16.66</v>
      </c>
      <c r="L169" s="386"/>
      <c r="M169" s="191">
        <f t="shared" si="270"/>
        <v>0.45978391356542619</v>
      </c>
      <c r="N169" s="152">
        <f t="shared" si="271"/>
        <v>7.6905756302521011</v>
      </c>
      <c r="O169" s="152">
        <f t="shared" si="262"/>
        <v>4.4249999999999998</v>
      </c>
      <c r="P169" s="191">
        <f t="shared" si="272"/>
        <v>0.51270504201680678</v>
      </c>
      <c r="Q169" s="191">
        <f t="shared" si="273"/>
        <v>15</v>
      </c>
      <c r="R169" s="191"/>
      <c r="S169" s="152">
        <f t="shared" si="274"/>
        <v>38.436754847403996</v>
      </c>
      <c r="T169" s="152">
        <f t="shared" si="275"/>
        <v>15</v>
      </c>
      <c r="U169" s="191">
        <f t="shared" si="276"/>
        <v>2.3763175708345421</v>
      </c>
      <c r="V169" s="191">
        <f t="shared" si="277"/>
        <v>2.3763175708345421</v>
      </c>
      <c r="W169" s="191">
        <f t="shared" si="278"/>
        <v>2.7920180336176079</v>
      </c>
      <c r="X169" s="175">
        <f t="shared" si="279"/>
        <v>350</v>
      </c>
      <c r="Y169" s="386">
        <f t="shared" si="215"/>
        <v>193.48588724357836</v>
      </c>
      <c r="AA169" s="191">
        <f t="shared" si="280"/>
        <v>1.3136683244726464</v>
      </c>
      <c r="AB169" s="153">
        <f t="shared" si="281"/>
        <v>1.5434745326702111</v>
      </c>
      <c r="AC169" s="153">
        <f t="shared" si="282"/>
        <v>0.17741619027991926</v>
      </c>
      <c r="AD169" s="153"/>
      <c r="AE169" s="153">
        <f t="shared" si="283"/>
        <v>0.96344647519582249</v>
      </c>
      <c r="AF169" s="317">
        <f t="shared" si="284"/>
        <v>1493.6215215810696</v>
      </c>
      <c r="AG169" s="463">
        <f t="shared" si="285"/>
        <v>6.9127284595300251E-2</v>
      </c>
      <c r="AI169" s="153">
        <f t="shared" si="286"/>
        <v>1.6939481448557736</v>
      </c>
      <c r="AJ169" s="153">
        <f t="shared" si="287"/>
        <v>2.3763175708345421</v>
      </c>
      <c r="AK169" s="153">
        <f t="shared" si="288"/>
        <v>2.237545047223028</v>
      </c>
      <c r="AM169" s="317">
        <f t="shared" si="289"/>
        <v>295</v>
      </c>
      <c r="AN169" s="147">
        <f t="shared" si="290"/>
        <v>193.48588724357836</v>
      </c>
      <c r="AP169">
        <f t="shared" si="291"/>
        <v>295</v>
      </c>
      <c r="AQ169">
        <f t="shared" si="292"/>
        <v>193.48588724357836</v>
      </c>
      <c r="AS169" s="5">
        <f t="shared" si="263"/>
        <v>5.1683356044521496</v>
      </c>
      <c r="AT169" s="5">
        <f t="shared" si="293"/>
        <v>2.3763175708345421</v>
      </c>
      <c r="AU169" s="5">
        <f t="shared" si="230"/>
        <v>2.7920180336176075</v>
      </c>
      <c r="AV169" s="5"/>
      <c r="AW169" s="153">
        <f t="shared" si="231"/>
        <v>0.45978391356542625</v>
      </c>
      <c r="AX169" s="153">
        <f t="shared" si="259"/>
        <v>4.916666666666667</v>
      </c>
      <c r="AY169" s="153">
        <f t="shared" si="260"/>
        <v>0.32093124456048733</v>
      </c>
      <c r="AZ169" s="153">
        <f t="shared" si="264"/>
        <v>15.320000000000004</v>
      </c>
      <c r="BA169" s="147">
        <f t="shared" si="294"/>
        <v>17.910795069528412</v>
      </c>
      <c r="BB169" s="147">
        <f t="shared" si="295"/>
        <v>8.5104837570370382</v>
      </c>
      <c r="BC169" s="5">
        <f t="shared" si="258"/>
        <v>2.7482326323563364</v>
      </c>
      <c r="BD169" s="147">
        <f t="shared" si="296"/>
        <v>70.969303023332827</v>
      </c>
      <c r="BF169" s="153">
        <f t="shared" si="265"/>
        <v>0.93029511008450871</v>
      </c>
      <c r="BG169" s="153">
        <f t="shared" si="261"/>
        <v>0.5041939294487402</v>
      </c>
      <c r="BI169" s="463">
        <f t="shared" si="236"/>
        <v>9.5199389103186302E-2</v>
      </c>
      <c r="BJ169" s="463">
        <f t="shared" si="237"/>
        <v>3.8300000000000008E-2</v>
      </c>
      <c r="BK169" s="463">
        <f t="shared" si="238"/>
        <v>9.6742943621789187E-3</v>
      </c>
      <c r="BL169" s="463">
        <f t="shared" si="239"/>
        <v>1.2083195593220342E-2</v>
      </c>
      <c r="BM169">
        <f t="shared" si="240"/>
        <v>2.6099999999999999E-3</v>
      </c>
      <c r="BN169">
        <f t="shared" si="297"/>
        <v>7.7394354897431353E-6</v>
      </c>
      <c r="BO169" s="463">
        <f t="shared" si="298"/>
        <v>0.17377883744879805</v>
      </c>
      <c r="BP169" s="147">
        <f t="shared" si="243"/>
        <v>157.8668790585856</v>
      </c>
      <c r="BQ169" s="463">
        <f t="shared" si="299"/>
        <v>0.15153352002572446</v>
      </c>
      <c r="BT169" s="147">
        <f t="shared" si="245"/>
        <v>151.53352002572444</v>
      </c>
      <c r="BU169" s="463">
        <f t="shared" si="246"/>
        <v>7.35631643070076E-2</v>
      </c>
      <c r="BV169" s="463">
        <f t="shared" si="247"/>
        <v>4.8300188513662627E-2</v>
      </c>
      <c r="BW169" s="463">
        <f t="shared" si="248"/>
        <v>0</v>
      </c>
      <c r="BX169" s="463"/>
      <c r="BY169" s="463">
        <f t="shared" si="249"/>
        <v>0.5462962962962965</v>
      </c>
      <c r="BZ169" s="147">
        <f t="shared" si="250"/>
        <v>668.15964911696676</v>
      </c>
      <c r="CA169" s="153">
        <f t="shared" si="251"/>
        <v>0.97756004820127673</v>
      </c>
      <c r="CB169" s="5">
        <f t="shared" si="252"/>
        <v>4.4249999999999998</v>
      </c>
      <c r="CC169" s="153">
        <f t="shared" si="253"/>
        <v>0.8190561438504057</v>
      </c>
      <c r="CD169" s="5">
        <f t="shared" si="254"/>
        <v>81.905614385040565</v>
      </c>
      <c r="CG169" s="59">
        <f t="shared" si="300"/>
        <v>-50</v>
      </c>
      <c r="CH169">
        <f t="shared" si="301"/>
        <v>-50</v>
      </c>
    </row>
    <row r="170" spans="5:86" x14ac:dyDescent="0.25">
      <c r="E170" s="150">
        <v>60</v>
      </c>
      <c r="F170" s="191">
        <f t="shared" si="302"/>
        <v>0.3</v>
      </c>
      <c r="G170" s="191"/>
      <c r="H170" s="191">
        <f t="shared" si="266"/>
        <v>4.5</v>
      </c>
      <c r="I170" s="472">
        <f t="shared" si="267"/>
        <v>9</v>
      </c>
      <c r="J170" s="386">
        <f t="shared" si="268"/>
        <v>7.66</v>
      </c>
      <c r="K170" s="386">
        <f t="shared" si="269"/>
        <v>16.66</v>
      </c>
      <c r="L170" s="386"/>
      <c r="M170" s="191">
        <f t="shared" si="270"/>
        <v>0.45978391356542619</v>
      </c>
      <c r="N170" s="152">
        <f t="shared" si="271"/>
        <v>7.6905756302521011</v>
      </c>
      <c r="O170" s="152">
        <f t="shared" si="262"/>
        <v>4.5</v>
      </c>
      <c r="P170" s="191">
        <f t="shared" si="272"/>
        <v>0.51270504201680678</v>
      </c>
      <c r="Q170" s="191">
        <f t="shared" si="273"/>
        <v>15</v>
      </c>
      <c r="R170" s="191"/>
      <c r="S170" s="152">
        <f t="shared" si="274"/>
        <v>37.50229114434179</v>
      </c>
      <c r="T170" s="152">
        <f t="shared" si="275"/>
        <v>15</v>
      </c>
      <c r="U170" s="191">
        <f t="shared" si="276"/>
        <v>2.4165941398317377</v>
      </c>
      <c r="V170" s="191">
        <f t="shared" si="277"/>
        <v>2.4165941398317381</v>
      </c>
      <c r="W170" s="191">
        <f t="shared" si="278"/>
        <v>2.8393403731704492</v>
      </c>
      <c r="X170" s="175">
        <f t="shared" si="279"/>
        <v>350</v>
      </c>
      <c r="Y170" s="386">
        <f t="shared" ref="Y170:Y210" si="303">MIN(1/(V170+W170)*1000, 350)</f>
        <v>190.26112245618535</v>
      </c>
      <c r="AA170" s="191">
        <f t="shared" si="280"/>
        <v>1.3136683244726464</v>
      </c>
      <c r="AB170" s="153">
        <f t="shared" si="281"/>
        <v>1.5434745326702111</v>
      </c>
      <c r="AC170" s="153">
        <f t="shared" si="282"/>
        <v>0.17741619027991926</v>
      </c>
      <c r="AD170" s="153"/>
      <c r="AE170" s="153">
        <f t="shared" si="283"/>
        <v>0.96344647519582249</v>
      </c>
      <c r="AF170" s="317">
        <f t="shared" si="284"/>
        <v>1518.9371405909183</v>
      </c>
      <c r="AG170" s="463">
        <f t="shared" si="285"/>
        <v>6.9127284595300251E-2</v>
      </c>
      <c r="AI170" s="153">
        <f t="shared" si="286"/>
        <v>1.7082433193474629</v>
      </c>
      <c r="AJ170" s="153">
        <f t="shared" si="287"/>
        <v>2.4165941398317377</v>
      </c>
      <c r="AK170" s="153">
        <f t="shared" si="288"/>
        <v>2.2643960932211584</v>
      </c>
      <c r="AM170" s="317">
        <f t="shared" si="289"/>
        <v>300</v>
      </c>
      <c r="AN170" s="147">
        <f t="shared" si="290"/>
        <v>190.26112245618535</v>
      </c>
      <c r="AP170">
        <f t="shared" si="291"/>
        <v>300</v>
      </c>
      <c r="AQ170">
        <f t="shared" si="292"/>
        <v>190.26112245618535</v>
      </c>
      <c r="AS170" s="5">
        <f t="shared" si="263"/>
        <v>5.2559345130021873</v>
      </c>
      <c r="AT170" s="5">
        <f t="shared" si="293"/>
        <v>2.4165941398317381</v>
      </c>
      <c r="AU170" s="5">
        <f t="shared" ref="AU170:AU233" si="304">AS170-AT170</f>
        <v>2.8393403731704492</v>
      </c>
      <c r="AV170" s="5"/>
      <c r="AW170" s="153">
        <f t="shared" ref="AW170:AW233" si="305">AT170/AS170</f>
        <v>0.45978391356542619</v>
      </c>
      <c r="AX170" s="153">
        <f t="shared" si="259"/>
        <v>5</v>
      </c>
      <c r="AY170" s="153">
        <f t="shared" si="260"/>
        <v>0.32637075718015662</v>
      </c>
      <c r="AZ170" s="153">
        <f t="shared" si="264"/>
        <v>15.320000000000002</v>
      </c>
      <c r="BA170" s="147">
        <f t="shared" si="294"/>
        <v>17.910795069528412</v>
      </c>
      <c r="BB170" s="147">
        <f t="shared" si="295"/>
        <v>8.7861653333333365</v>
      </c>
      <c r="BC170" s="5">
        <f t="shared" si="258"/>
        <v>2.8421825557261751</v>
      </c>
      <c r="BD170" s="147">
        <f t="shared" si="296"/>
        <v>73.36718114066791</v>
      </c>
      <c r="BF170" s="153">
        <f t="shared" si="265"/>
        <v>0.94606282381475448</v>
      </c>
      <c r="BG170" s="153">
        <f t="shared" si="261"/>
        <v>0.51273958926990526</v>
      </c>
      <c r="BI170" s="463">
        <f t="shared" ref="BI170:BI210" si="306">Rdson*BF170^2</f>
        <v>9.8453835326478195E-2</v>
      </c>
      <c r="BJ170" s="463">
        <f t="shared" ref="BJ170:BJ210" si="307">0.5*K170*AJ170*AN170*1000*Trise</f>
        <v>3.8299999999999994E-2</v>
      </c>
      <c r="BK170" s="463">
        <f t="shared" ref="BK170:BK210" si="308">Qg*Vdd*AN170*1000</f>
        <v>9.5130561228092669E-3</v>
      </c>
      <c r="BL170" s="463">
        <f t="shared" ref="BL170:BL210" si="309">0.5*(Coss+Csw)*K170^2*AN170*1000</f>
        <v>1.1881809E-2</v>
      </c>
      <c r="BM170">
        <f t="shared" ref="BM170:BM210" si="310">I170*IQ</f>
        <v>2.6099999999999999E-3</v>
      </c>
      <c r="BN170">
        <f t="shared" si="297"/>
        <v>7.6104448982474141E-6</v>
      </c>
      <c r="BO170" s="463">
        <f t="shared" si="298"/>
        <v>0.17727778217554413</v>
      </c>
      <c r="BP170" s="147">
        <f t="shared" ref="BP170:BP210" si="311">SUM(BI170:BM170)*1000</f>
        <v>160.75870044928743</v>
      </c>
      <c r="BQ170" s="463">
        <f t="shared" si="299"/>
        <v>0.15477140824263377</v>
      </c>
      <c r="BT170" s="147">
        <f t="shared" ref="BT170:BT210" si="312">SUM(BQ170:BS170)*1000</f>
        <v>154.77140824263378</v>
      </c>
      <c r="BU170" s="463">
        <f t="shared" ref="BU170:BU210" si="313">Rdcr_pri*BF170^2</f>
        <v>7.6077963661369513E-2</v>
      </c>
      <c r="BV170" s="463">
        <f t="shared" ref="BV170:BV210" si="314">Rdcr_sec*BG170^2</f>
        <v>4.9951358416887519E-2</v>
      </c>
      <c r="BW170" s="463">
        <f t="shared" ref="BW170:BW210" si="315">AJ170^2.5*AN170^2.5*k_core</f>
        <v>0</v>
      </c>
      <c r="BX170" s="463"/>
      <c r="BY170" s="463">
        <f t="shared" ref="BY170:BY210" si="316">0.5*Lleak*0.000000001*AJ170^2*AN170*1000</f>
        <v>0.55555555555555569</v>
      </c>
      <c r="BZ170" s="147">
        <f t="shared" ref="BZ170:BZ210" si="317">SUM(BU170:BY170)*1000</f>
        <v>681.58487763381265</v>
      </c>
      <c r="CA170" s="153">
        <f t="shared" ref="CA170:CA210" si="318">SUM(BI170:BM170,BQ170:BS170,BU170:BY170)</f>
        <v>0.99711498632573403</v>
      </c>
      <c r="CB170" s="5">
        <f t="shared" ref="CB170:CB212" si="319">MIN(H170,O170)</f>
        <v>4.5</v>
      </c>
      <c r="CC170" s="153">
        <f t="shared" ref="CC170:CC210" si="320">CB170/(CB170+CA170)</f>
        <v>0.81861121901104628</v>
      </c>
      <c r="CD170" s="5">
        <f t="shared" ref="CD170:CD210" si="321">CC170*100</f>
        <v>81.861121901104624</v>
      </c>
      <c r="CG170" s="59">
        <f t="shared" si="300"/>
        <v>-50</v>
      </c>
      <c r="CH170">
        <f t="shared" si="301"/>
        <v>-50</v>
      </c>
    </row>
    <row r="171" spans="5:86" x14ac:dyDescent="0.25">
      <c r="E171" s="150">
        <v>61</v>
      </c>
      <c r="F171" s="191">
        <f t="shared" si="302"/>
        <v>0.30499999999999999</v>
      </c>
      <c r="G171" s="191"/>
      <c r="H171" s="191">
        <f t="shared" si="266"/>
        <v>4.5750000000000002</v>
      </c>
      <c r="I171" s="472">
        <f t="shared" si="267"/>
        <v>9</v>
      </c>
      <c r="J171" s="386">
        <f t="shared" si="268"/>
        <v>7.66</v>
      </c>
      <c r="K171" s="386">
        <f t="shared" si="269"/>
        <v>16.66</v>
      </c>
      <c r="L171" s="386"/>
      <c r="M171" s="191">
        <f t="shared" si="270"/>
        <v>0.45978391356542619</v>
      </c>
      <c r="N171" s="152">
        <f t="shared" si="271"/>
        <v>7.6905756302521011</v>
      </c>
      <c r="O171" s="152">
        <f t="shared" si="262"/>
        <v>4.5750000000000002</v>
      </c>
      <c r="P171" s="191">
        <f t="shared" si="272"/>
        <v>0.51270504201680678</v>
      </c>
      <c r="Q171" s="191">
        <f t="shared" si="273"/>
        <v>15</v>
      </c>
      <c r="R171" s="191"/>
      <c r="S171" s="152">
        <f t="shared" si="274"/>
        <v>36.598641691922495</v>
      </c>
      <c r="T171" s="152">
        <f t="shared" si="275"/>
        <v>15</v>
      </c>
      <c r="U171" s="191">
        <f t="shared" si="276"/>
        <v>2.4568707088289332</v>
      </c>
      <c r="V171" s="191">
        <f t="shared" si="277"/>
        <v>2.4568707088289332</v>
      </c>
      <c r="W171" s="191">
        <f t="shared" si="278"/>
        <v>2.8866627127232896</v>
      </c>
      <c r="X171" s="175">
        <f t="shared" si="279"/>
        <v>350</v>
      </c>
      <c r="Y171" s="386">
        <f t="shared" si="303"/>
        <v>187.14208766182168</v>
      </c>
      <c r="AA171" s="191">
        <f t="shared" si="280"/>
        <v>1.3136683244726464</v>
      </c>
      <c r="AB171" s="153">
        <f t="shared" si="281"/>
        <v>1.5434745326702111</v>
      </c>
      <c r="AC171" s="153">
        <f t="shared" si="282"/>
        <v>0.17741619027991926</v>
      </c>
      <c r="AD171" s="153"/>
      <c r="AE171" s="153">
        <f t="shared" si="283"/>
        <v>0.96344647519582249</v>
      </c>
      <c r="AF171" s="317">
        <f t="shared" si="284"/>
        <v>1544.2527596007669</v>
      </c>
      <c r="AG171" s="463">
        <f t="shared" si="285"/>
        <v>6.9127284595300251E-2</v>
      </c>
      <c r="AI171" s="153">
        <f t="shared" si="286"/>
        <v>1.7224198555317918</v>
      </c>
      <c r="AJ171" s="153">
        <f t="shared" si="287"/>
        <v>2.4568707088289332</v>
      </c>
      <c r="AK171" s="153">
        <f t="shared" si="288"/>
        <v>2.2912471392192888</v>
      </c>
      <c r="AM171" s="317">
        <f t="shared" si="289"/>
        <v>305</v>
      </c>
      <c r="AN171" s="147">
        <f t="shared" si="290"/>
        <v>187.14208766182168</v>
      </c>
      <c r="AP171">
        <f t="shared" si="291"/>
        <v>305</v>
      </c>
      <c r="AQ171">
        <f t="shared" si="292"/>
        <v>187.14208766182168</v>
      </c>
      <c r="AS171" s="5">
        <f t="shared" si="263"/>
        <v>5.3435334215522232</v>
      </c>
      <c r="AT171" s="5">
        <f t="shared" si="293"/>
        <v>2.4568707088289332</v>
      </c>
      <c r="AU171" s="5">
        <f t="shared" si="304"/>
        <v>2.88666271272329</v>
      </c>
      <c r="AV171" s="5"/>
      <c r="AW171" s="153">
        <f t="shared" si="305"/>
        <v>0.45978391356542614</v>
      </c>
      <c r="AX171" s="153">
        <f t="shared" si="259"/>
        <v>5.083333333333333</v>
      </c>
      <c r="AY171" s="153">
        <f t="shared" si="260"/>
        <v>0.33181026979982592</v>
      </c>
      <c r="AZ171" s="153">
        <f t="shared" si="264"/>
        <v>15.32</v>
      </c>
      <c r="BA171" s="147">
        <f t="shared" si="294"/>
        <v>17.910795069528412</v>
      </c>
      <c r="BB171" s="147">
        <f t="shared" si="295"/>
        <v>9.0662281125925972</v>
      </c>
      <c r="BC171" s="5">
        <f t="shared" si="258"/>
        <v>2.937711469404749</v>
      </c>
      <c r="BD171" s="147">
        <f t="shared" si="296"/>
        <v>75.804892877155169</v>
      </c>
      <c r="BF171" s="153">
        <f t="shared" si="265"/>
        <v>0.96183053754500036</v>
      </c>
      <c r="BG171" s="153">
        <f t="shared" si="261"/>
        <v>0.52128524909107044</v>
      </c>
      <c r="BI171" s="463">
        <f t="shared" si="306"/>
        <v>0.10176297812495147</v>
      </c>
      <c r="BJ171" s="463">
        <f t="shared" si="307"/>
        <v>3.8300000000000008E-2</v>
      </c>
      <c r="BK171" s="463">
        <f t="shared" si="308"/>
        <v>9.3571043830910847E-3</v>
      </c>
      <c r="BL171" s="463">
        <f t="shared" si="309"/>
        <v>1.168702524590164E-2</v>
      </c>
      <c r="BM171">
        <f t="shared" si="310"/>
        <v>2.6099999999999999E-3</v>
      </c>
      <c r="BN171">
        <f t="shared" si="297"/>
        <v>7.4856835064728674E-6</v>
      </c>
      <c r="BO171" s="463">
        <f t="shared" si="298"/>
        <v>0.18085825801331851</v>
      </c>
      <c r="BP171" s="147">
        <f t="shared" si="311"/>
        <v>163.71710775394422</v>
      </c>
      <c r="BQ171" s="463">
        <f t="shared" si="299"/>
        <v>0.15803161390856671</v>
      </c>
      <c r="BT171" s="147">
        <f t="shared" si="312"/>
        <v>158.0316139085667</v>
      </c>
      <c r="BU171" s="463">
        <f t="shared" si="313"/>
        <v>7.8635028551098871E-2</v>
      </c>
      <c r="BV171" s="463">
        <f t="shared" si="314"/>
        <v>5.1630279074788475E-2</v>
      </c>
      <c r="BW171" s="463">
        <f t="shared" si="315"/>
        <v>0</v>
      </c>
      <c r="BX171" s="463"/>
      <c r="BY171" s="463">
        <f t="shared" si="316"/>
        <v>0.56481481481481499</v>
      </c>
      <c r="BZ171" s="147">
        <f t="shared" si="317"/>
        <v>695.08012244070244</v>
      </c>
      <c r="CA171" s="153">
        <f t="shared" si="318"/>
        <v>1.0168288441032132</v>
      </c>
      <c r="CB171" s="5">
        <f t="shared" si="319"/>
        <v>4.5750000000000002</v>
      </c>
      <c r="CC171" s="153">
        <f t="shared" si="320"/>
        <v>0.81815808880211049</v>
      </c>
      <c r="CD171" s="5">
        <f t="shared" si="321"/>
        <v>81.815808880211051</v>
      </c>
      <c r="CG171" s="59">
        <f t="shared" si="300"/>
        <v>-50</v>
      </c>
      <c r="CH171">
        <f t="shared" si="301"/>
        <v>-50</v>
      </c>
    </row>
    <row r="172" spans="5:86" x14ac:dyDescent="0.25">
      <c r="E172" s="150">
        <v>62</v>
      </c>
      <c r="F172" s="191">
        <f t="shared" si="302"/>
        <v>0.31</v>
      </c>
      <c r="G172" s="191"/>
      <c r="H172" s="191">
        <f t="shared" si="266"/>
        <v>4.6500000000000004</v>
      </c>
      <c r="I172" s="472">
        <f t="shared" si="267"/>
        <v>9</v>
      </c>
      <c r="J172" s="386">
        <f t="shared" si="268"/>
        <v>7.66</v>
      </c>
      <c r="K172" s="386">
        <f t="shared" si="269"/>
        <v>16.66</v>
      </c>
      <c r="L172" s="386"/>
      <c r="M172" s="191">
        <f t="shared" si="270"/>
        <v>0.45978391356542619</v>
      </c>
      <c r="N172" s="152">
        <f t="shared" si="271"/>
        <v>7.6905756302521011</v>
      </c>
      <c r="O172" s="152">
        <f t="shared" si="262"/>
        <v>4.6500000000000004</v>
      </c>
      <c r="P172" s="191">
        <f t="shared" si="272"/>
        <v>0.51270504201680678</v>
      </c>
      <c r="Q172" s="191">
        <f t="shared" si="273"/>
        <v>15</v>
      </c>
      <c r="R172" s="191"/>
      <c r="S172" s="152">
        <f t="shared" si="274"/>
        <v>35.72431939613508</v>
      </c>
      <c r="T172" s="152">
        <f t="shared" si="275"/>
        <v>15</v>
      </c>
      <c r="U172" s="191">
        <f t="shared" si="276"/>
        <v>2.4971472778261292</v>
      </c>
      <c r="V172" s="191">
        <f t="shared" si="277"/>
        <v>2.4971472778261297</v>
      </c>
      <c r="W172" s="191">
        <f t="shared" si="278"/>
        <v>2.9339850522761308</v>
      </c>
      <c r="X172" s="175">
        <f t="shared" si="279"/>
        <v>350</v>
      </c>
      <c r="Y172" s="386">
        <f t="shared" si="303"/>
        <v>184.1236668930826</v>
      </c>
      <c r="AA172" s="191">
        <f t="shared" si="280"/>
        <v>1.3136683244726464</v>
      </c>
      <c r="AB172" s="153">
        <f t="shared" si="281"/>
        <v>1.5434745326702111</v>
      </c>
      <c r="AC172" s="153">
        <f t="shared" si="282"/>
        <v>0.17741619027991926</v>
      </c>
      <c r="AD172" s="153"/>
      <c r="AE172" s="153">
        <f t="shared" si="283"/>
        <v>0.96344647519582249</v>
      </c>
      <c r="AF172" s="317">
        <f t="shared" si="284"/>
        <v>1569.5683786106156</v>
      </c>
      <c r="AG172" s="463">
        <f t="shared" si="285"/>
        <v>6.9127284595300251E-2</v>
      </c>
      <c r="AI172" s="153">
        <f t="shared" si="286"/>
        <v>1.7364806590817761</v>
      </c>
      <c r="AJ172" s="153">
        <f t="shared" si="287"/>
        <v>2.4971472778261292</v>
      </c>
      <c r="AK172" s="153">
        <f t="shared" si="288"/>
        <v>2.3180981852174196</v>
      </c>
      <c r="AM172" s="317">
        <f t="shared" si="289"/>
        <v>310</v>
      </c>
      <c r="AN172" s="147">
        <f t="shared" si="290"/>
        <v>184.1236668930826</v>
      </c>
      <c r="AP172">
        <f t="shared" si="291"/>
        <v>310</v>
      </c>
      <c r="AQ172">
        <f t="shared" si="292"/>
        <v>184.1236668930826</v>
      </c>
      <c r="AS172" s="5">
        <f t="shared" si="263"/>
        <v>5.43113233010226</v>
      </c>
      <c r="AT172" s="5">
        <f t="shared" si="293"/>
        <v>2.4971472778261297</v>
      </c>
      <c r="AU172" s="5">
        <f t="shared" si="304"/>
        <v>2.9339850522761304</v>
      </c>
      <c r="AV172" s="5"/>
      <c r="AW172" s="153">
        <f t="shared" si="305"/>
        <v>0.45978391356542625</v>
      </c>
      <c r="AX172" s="153">
        <f t="shared" si="259"/>
        <v>5.1666666666666687</v>
      </c>
      <c r="AY172" s="153">
        <f t="shared" si="260"/>
        <v>0.33724978241949521</v>
      </c>
      <c r="AZ172" s="153">
        <f t="shared" si="264"/>
        <v>15.320000000000006</v>
      </c>
      <c r="BA172" s="147">
        <f t="shared" si="294"/>
        <v>17.910795069528412</v>
      </c>
      <c r="BB172" s="147">
        <f t="shared" si="295"/>
        <v>9.3506720948148185</v>
      </c>
      <c r="BC172" s="5">
        <f t="shared" si="258"/>
        <v>3.0348193733920596</v>
      </c>
      <c r="BD172" s="147">
        <f t="shared" si="296"/>
        <v>78.282438232794647</v>
      </c>
      <c r="BF172" s="153">
        <f t="shared" si="265"/>
        <v>0.97759825127524658</v>
      </c>
      <c r="BG172" s="153">
        <f t="shared" si="261"/>
        <v>0.5298309089122355</v>
      </c>
      <c r="BI172" s="463">
        <f t="shared" si="306"/>
        <v>0.10512681749860621</v>
      </c>
      <c r="BJ172" s="463">
        <f t="shared" si="307"/>
        <v>3.8300000000000008E-2</v>
      </c>
      <c r="BK172" s="463">
        <f t="shared" si="308"/>
        <v>9.2061833446541296E-3</v>
      </c>
      <c r="BL172" s="463">
        <f t="shared" si="309"/>
        <v>1.1498524838709679E-2</v>
      </c>
      <c r="BM172">
        <f t="shared" si="310"/>
        <v>2.6099999999999999E-3</v>
      </c>
      <c r="BN172">
        <f t="shared" si="297"/>
        <v>7.3649466757233039E-6</v>
      </c>
      <c r="BO172" s="463">
        <f t="shared" si="298"/>
        <v>0.18451994091221038</v>
      </c>
      <c r="BP172" s="147">
        <f t="shared" si="311"/>
        <v>166.74152568197002</v>
      </c>
      <c r="BQ172" s="463">
        <f t="shared" si="299"/>
        <v>0.1613141370235234</v>
      </c>
      <c r="BT172" s="147">
        <f t="shared" si="312"/>
        <v>161.31413702352341</v>
      </c>
      <c r="BU172" s="463">
        <f t="shared" si="313"/>
        <v>8.1234358976195714E-2</v>
      </c>
      <c r="BV172" s="463">
        <f t="shared" si="314"/>
        <v>5.3336950487365462E-2</v>
      </c>
      <c r="BW172" s="463">
        <f t="shared" si="315"/>
        <v>0</v>
      </c>
      <c r="BX172" s="463"/>
      <c r="BY172" s="463">
        <f t="shared" si="316"/>
        <v>0.57407407407407429</v>
      </c>
      <c r="BZ172" s="147">
        <f t="shared" si="317"/>
        <v>708.64538353763544</v>
      </c>
      <c r="CA172" s="153">
        <f t="shared" si="318"/>
        <v>1.036701046243129</v>
      </c>
      <c r="CB172" s="5">
        <f t="shared" si="319"/>
        <v>4.6500000000000004</v>
      </c>
      <c r="CC172" s="153">
        <f t="shared" si="320"/>
        <v>0.81769728392386354</v>
      </c>
      <c r="CD172" s="5">
        <f t="shared" si="321"/>
        <v>81.769728392386355</v>
      </c>
      <c r="CG172" s="59">
        <f t="shared" si="300"/>
        <v>-50</v>
      </c>
      <c r="CH172">
        <f t="shared" si="301"/>
        <v>-50</v>
      </c>
    </row>
    <row r="173" spans="5:86" x14ac:dyDescent="0.25">
      <c r="E173" s="150">
        <v>63</v>
      </c>
      <c r="F173" s="191">
        <f t="shared" si="302"/>
        <v>0.315</v>
      </c>
      <c r="G173" s="191"/>
      <c r="H173" s="191">
        <f t="shared" si="266"/>
        <v>4.7249999999999996</v>
      </c>
      <c r="I173" s="472">
        <f t="shared" si="267"/>
        <v>9</v>
      </c>
      <c r="J173" s="386">
        <f t="shared" si="268"/>
        <v>7.66</v>
      </c>
      <c r="K173" s="386">
        <f t="shared" si="269"/>
        <v>16.66</v>
      </c>
      <c r="L173" s="386"/>
      <c r="M173" s="191">
        <f t="shared" si="270"/>
        <v>0.45978391356542619</v>
      </c>
      <c r="N173" s="152">
        <f t="shared" si="271"/>
        <v>7.6905756302521011</v>
      </c>
      <c r="O173" s="152">
        <f t="shared" si="262"/>
        <v>4.7249999999999996</v>
      </c>
      <c r="P173" s="191">
        <f t="shared" si="272"/>
        <v>0.51270504201680678</v>
      </c>
      <c r="Q173" s="191">
        <f t="shared" si="273"/>
        <v>15</v>
      </c>
      <c r="R173" s="191"/>
      <c r="S173" s="152">
        <f t="shared" si="274"/>
        <v>34.877931693548071</v>
      </c>
      <c r="T173" s="152">
        <f t="shared" si="275"/>
        <v>15</v>
      </c>
      <c r="U173" s="191">
        <f t="shared" si="276"/>
        <v>2.5374238468233243</v>
      </c>
      <c r="V173" s="191">
        <f t="shared" si="277"/>
        <v>2.5374238468233243</v>
      </c>
      <c r="W173" s="191">
        <f t="shared" si="278"/>
        <v>2.9813073918289712</v>
      </c>
      <c r="X173" s="175">
        <f t="shared" si="279"/>
        <v>350</v>
      </c>
      <c r="Y173" s="386">
        <f t="shared" si="303"/>
        <v>181.20106900589084</v>
      </c>
      <c r="AA173" s="191">
        <f t="shared" si="280"/>
        <v>1.3136683244726464</v>
      </c>
      <c r="AB173" s="153">
        <f t="shared" si="281"/>
        <v>1.5434745326702111</v>
      </c>
      <c r="AC173" s="153">
        <f t="shared" si="282"/>
        <v>0.17741619027991926</v>
      </c>
      <c r="AD173" s="153"/>
      <c r="AE173" s="153">
        <f t="shared" si="283"/>
        <v>0.96344647519582249</v>
      </c>
      <c r="AF173" s="317">
        <f t="shared" si="284"/>
        <v>1594.8839976204642</v>
      </c>
      <c r="AG173" s="463">
        <f t="shared" si="285"/>
        <v>6.9127284595300251E-2</v>
      </c>
      <c r="AI173" s="153">
        <f t="shared" si="286"/>
        <v>1.7504285189632851</v>
      </c>
      <c r="AJ173" s="153">
        <f t="shared" si="287"/>
        <v>2.5374238468233243</v>
      </c>
      <c r="AK173" s="153">
        <f t="shared" si="288"/>
        <v>2.3449492312155495</v>
      </c>
      <c r="AM173" s="317">
        <f t="shared" si="289"/>
        <v>315</v>
      </c>
      <c r="AN173" s="147">
        <f t="shared" si="290"/>
        <v>181.20106900589084</v>
      </c>
      <c r="AP173">
        <f t="shared" si="291"/>
        <v>315</v>
      </c>
      <c r="AQ173">
        <f t="shared" si="292"/>
        <v>181.20106900589084</v>
      </c>
      <c r="AS173" s="5">
        <f t="shared" si="263"/>
        <v>5.518731238652296</v>
      </c>
      <c r="AT173" s="5">
        <f t="shared" si="293"/>
        <v>2.5374238468233243</v>
      </c>
      <c r="AU173" s="5">
        <f t="shared" si="304"/>
        <v>2.9813073918289716</v>
      </c>
      <c r="AV173" s="5"/>
      <c r="AW173" s="153">
        <f t="shared" si="305"/>
        <v>0.45978391356542614</v>
      </c>
      <c r="AX173" s="153">
        <f t="shared" si="259"/>
        <v>5.25</v>
      </c>
      <c r="AY173" s="153">
        <f t="shared" si="260"/>
        <v>0.34268929503916445</v>
      </c>
      <c r="AZ173" s="153">
        <f t="shared" si="264"/>
        <v>15.320000000000002</v>
      </c>
      <c r="BA173" s="147">
        <f t="shared" si="294"/>
        <v>17.910795069528412</v>
      </c>
      <c r="BB173" s="147">
        <f t="shared" si="295"/>
        <v>9.6394972800000058</v>
      </c>
      <c r="BC173" s="5">
        <f t="shared" si="258"/>
        <v>3.1335062676881078</v>
      </c>
      <c r="BD173" s="147">
        <f t="shared" si="296"/>
        <v>80.799817207586358</v>
      </c>
      <c r="BF173" s="153">
        <f t="shared" si="265"/>
        <v>0.99336596500549212</v>
      </c>
      <c r="BG173" s="153">
        <f t="shared" si="261"/>
        <v>0.53837656873340056</v>
      </c>
      <c r="BI173" s="463">
        <f t="shared" si="306"/>
        <v>0.10854535344744218</v>
      </c>
      <c r="BJ173" s="463">
        <f t="shared" si="307"/>
        <v>3.8300000000000001E-2</v>
      </c>
      <c r="BK173" s="463">
        <f t="shared" si="308"/>
        <v>9.0600534502945432E-3</v>
      </c>
      <c r="BL173" s="463">
        <f t="shared" si="309"/>
        <v>1.1316008571428574E-2</v>
      </c>
      <c r="BM173">
        <f t="shared" si="310"/>
        <v>2.6099999999999999E-3</v>
      </c>
      <c r="BN173">
        <f t="shared" si="297"/>
        <v>7.2480427602356336E-6</v>
      </c>
      <c r="BO173" s="463">
        <f t="shared" si="298"/>
        <v>0.18826254831167683</v>
      </c>
      <c r="BP173" s="147">
        <f t="shared" si="311"/>
        <v>169.83141546916531</v>
      </c>
      <c r="BQ173" s="463">
        <f t="shared" si="299"/>
        <v>0.16461897758750371</v>
      </c>
      <c r="BT173" s="147">
        <f t="shared" si="312"/>
        <v>164.61897758750371</v>
      </c>
      <c r="BU173" s="463">
        <f t="shared" si="313"/>
        <v>8.3875954936659877E-2</v>
      </c>
      <c r="BV173" s="463">
        <f t="shared" si="314"/>
        <v>5.5071372654618492E-2</v>
      </c>
      <c r="BW173" s="463">
        <f t="shared" si="315"/>
        <v>0</v>
      </c>
      <c r="BX173" s="463"/>
      <c r="BY173" s="463">
        <f t="shared" si="316"/>
        <v>0.58333333333333337</v>
      </c>
      <c r="BZ173" s="147">
        <f t="shared" si="317"/>
        <v>722.28066092461177</v>
      </c>
      <c r="CA173" s="153">
        <f t="shared" si="318"/>
        <v>1.0567310539812809</v>
      </c>
      <c r="CB173" s="5">
        <f t="shared" si="319"/>
        <v>4.7249999999999996</v>
      </c>
      <c r="CC173" s="153">
        <f t="shared" si="320"/>
        <v>0.81722929618913709</v>
      </c>
      <c r="CD173" s="5">
        <f t="shared" si="321"/>
        <v>81.72292961891371</v>
      </c>
      <c r="CG173" s="59">
        <f t="shared" si="300"/>
        <v>-50</v>
      </c>
      <c r="CH173">
        <f t="shared" si="301"/>
        <v>-50</v>
      </c>
    </row>
    <row r="174" spans="5:86" x14ac:dyDescent="0.25">
      <c r="E174" s="150">
        <v>64</v>
      </c>
      <c r="F174" s="191">
        <f t="shared" si="302"/>
        <v>0.32</v>
      </c>
      <c r="G174" s="191"/>
      <c r="H174" s="191">
        <f t="shared" ref="H174:H205" si="322">F174*Vout</f>
        <v>4.8</v>
      </c>
      <c r="I174" s="472">
        <f t="shared" ref="I174:I212" si="323">VIN_min</f>
        <v>9</v>
      </c>
      <c r="J174" s="386">
        <f t="shared" ref="J174:J210" si="324">(T174+Vfwd1)*Nps</f>
        <v>7.66</v>
      </c>
      <c r="K174" s="386">
        <f t="shared" ref="K174:K210" si="325">(Vout+Vfwd1)*Nps+I174</f>
        <v>16.66</v>
      </c>
      <c r="L174" s="386"/>
      <c r="M174" s="191">
        <f t="shared" ref="M174:M210" si="326">(Vout+Vfwd1)*Nps/((Vout+Vfwd1)*Nps+I174)</f>
        <v>0.45978391356542619</v>
      </c>
      <c r="N174" s="152">
        <f t="shared" ref="N174:N205" si="327">M174*I174*(Isw_max+VIN_min/Lmag*ILIM_delay)*0.5*Efficiency</f>
        <v>7.6905756302521011</v>
      </c>
      <c r="O174" s="152">
        <f t="shared" si="262"/>
        <v>4.8</v>
      </c>
      <c r="P174" s="191">
        <f t="shared" ref="P174:P205" si="328">N174/Vout</f>
        <v>0.51270504201680678</v>
      </c>
      <c r="Q174" s="191">
        <f t="shared" ref="Q174:Q210" si="329">MIN(Vout,N174/F174)</f>
        <v>15</v>
      </c>
      <c r="R174" s="191"/>
      <c r="S174" s="152">
        <f t="shared" ref="S174:S210" si="330">(SQRT(Isw_max^2*Nps^2*I174^2+4*Isw_max*F174/Efficiency*(Nps^2*Vfwd1*I174-Nps*I174^2)+4*(F174/Efficiency)^2*Nps^2*Vfwd1^2+8*(F174/Efficiency)^2*Nps*Vfwd1*I174+4*(F174/Efficiency)^2*I174^2)-2*F174/Efficiency*I174-2*F174/Efficiency*Nps*Vfwd1+Isw_max*Nps*I174)/(4*F174/Efficiency*Nps)</f>
        <v>34.058173169925411</v>
      </c>
      <c r="T174" s="152">
        <f t="shared" ref="T174:T205" si="331">MIN(Vout, S174)</f>
        <v>15</v>
      </c>
      <c r="U174" s="191">
        <f t="shared" ref="U174:U210" si="332">MIN(2*Vout*F174/(Efficiency*I174*M174), Isw_max)</f>
        <v>2.5777004158205199</v>
      </c>
      <c r="V174" s="191">
        <f t="shared" ref="V174:V205" si="333">L*U174/I174*1000000</f>
        <v>2.5777004158205203</v>
      </c>
      <c r="W174" s="191">
        <f t="shared" ref="W174:W210" si="334">L*U174/J174*1000000</f>
        <v>3.028629731381812</v>
      </c>
      <c r="X174" s="175">
        <f t="shared" ref="X174:X210" si="335">IF(1/((350000*L)*(1/I174+1/J174))&gt;Isw_min, 350, 0.001/((Isw_min*L)*(1/I174+1/J174)))</f>
        <v>350</v>
      </c>
      <c r="Y174" s="386">
        <f t="shared" si="303"/>
        <v>178.3698023026738</v>
      </c>
      <c r="AA174" s="191">
        <f t="shared" ref="AA174:AA210" si="336">1/((X174*1000*L)*(1/I174+1/J174))</f>
        <v>1.3136683244726464</v>
      </c>
      <c r="AB174" s="153">
        <f t="shared" ref="AB174:AB205" si="337">L*AA174/J174*1000000</f>
        <v>1.5434745326702111</v>
      </c>
      <c r="AC174" s="153">
        <f t="shared" ref="AC174:AC205" si="338">0.5*AB174*AA174*Nps*X174/1000</f>
        <v>0.17741619027991926</v>
      </c>
      <c r="AD174" s="153"/>
      <c r="AE174" s="153">
        <f t="shared" ref="AE174:AE210" si="339">L*Isw_min/J174*1000000</f>
        <v>0.96344647519582249</v>
      </c>
      <c r="AF174" s="317">
        <f t="shared" ref="AF174:AF205" si="340">MAX(12000,F174/(0.5*AE174/1000000*Isw_min*Nps))/1000</f>
        <v>1620.1996166303127</v>
      </c>
      <c r="AG174" s="463">
        <f t="shared" ref="AG174:AG210" si="341">0.5*AE174/1000000*Isw_min*Nps*X174*1000</f>
        <v>6.9127284595300251E-2</v>
      </c>
      <c r="AI174" s="153">
        <f t="shared" ref="AI174:AI210" si="342">SQRT(F174/(0.5*L/J174*Fsw_DCM*Nps))</f>
        <v>1.7642661138940805</v>
      </c>
      <c r="AJ174" s="153">
        <f t="shared" ref="AJ174:AJ205" si="343">MAX(IF(F174&gt;AC174,U174,AI174),Isw_min)</f>
        <v>2.5777004158205199</v>
      </c>
      <c r="AK174" s="153">
        <f t="shared" ref="AK174:AK205" si="344">IF(F174&gt;AG174, (AJ174-Isw_min)/1.2*0.8+1.2, AF174*0.2/350+1)</f>
        <v>2.3718002772136799</v>
      </c>
      <c r="AM174" s="317">
        <f t="shared" ref="AM174:AM210" si="345">F174*1000</f>
        <v>320</v>
      </c>
      <c r="AN174" s="147">
        <f t="shared" ref="AN174:AN210" si="346">IF(F174&gt;AG174, Y174, AF174)</f>
        <v>178.3698023026738</v>
      </c>
      <c r="AP174">
        <f t="shared" ref="AP174:AP210" si="347">IF(H174&gt;N174, "",AM174)</f>
        <v>320</v>
      </c>
      <c r="AQ174">
        <f t="shared" ref="AQ174:AQ210" si="348">IF(H174&gt;N174, "",AN174)</f>
        <v>178.3698023026738</v>
      </c>
      <c r="AS174" s="5">
        <f t="shared" si="263"/>
        <v>5.6063301472023319</v>
      </c>
      <c r="AT174" s="5">
        <f t="shared" ref="AT174:AT210" si="349">L*AJ174/I174*1000000</f>
        <v>2.5777004158205203</v>
      </c>
      <c r="AU174" s="5">
        <f t="shared" si="304"/>
        <v>3.0286297313818116</v>
      </c>
      <c r="AV174" s="5"/>
      <c r="AW174" s="153">
        <f t="shared" si="305"/>
        <v>0.45978391356542625</v>
      </c>
      <c r="AX174" s="153">
        <f t="shared" si="259"/>
        <v>5.3333333333333321</v>
      </c>
      <c r="AY174" s="153">
        <f t="shared" si="260"/>
        <v>0.34812880765883369</v>
      </c>
      <c r="AZ174" s="153">
        <f t="shared" si="264"/>
        <v>15.32</v>
      </c>
      <c r="BA174" s="147">
        <f t="shared" ref="BA174:BA210" si="350">L*Isw_max^2/(2*Vout_ripple*Vout)*1000000000*((1+M174)/2)^2</f>
        <v>17.910795069528412</v>
      </c>
      <c r="BB174" s="147">
        <f t="shared" ref="BB174:BB210" si="351">L*F174^2/(2*Cout*Vout*Nps^2)*1000000000*((1+M174)/(1-M174))^2+F174*RCoutEsr</f>
        <v>9.9327036681481538</v>
      </c>
      <c r="BC174" s="5">
        <f t="shared" si="258"/>
        <v>3.2337721522928913</v>
      </c>
      <c r="BD174" s="147">
        <f t="shared" ref="BD174:BD210" si="352">((CB174/I174/Efficiency)*AU174/Cin+(CB174/I174/Efficiency)*RCinEsr)*1000</f>
        <v>83.357029801530274</v>
      </c>
      <c r="BF174" s="153">
        <f t="shared" si="265"/>
        <v>1.0091336787357381</v>
      </c>
      <c r="BG174" s="153">
        <f t="shared" si="261"/>
        <v>0.54692222855456551</v>
      </c>
      <c r="BI174" s="463">
        <f t="shared" si="306"/>
        <v>0.11201858597145962</v>
      </c>
      <c r="BJ174" s="463">
        <f t="shared" si="307"/>
        <v>3.8300000000000008E-2</v>
      </c>
      <c r="BK174" s="463">
        <f t="shared" si="308"/>
        <v>8.9184901151336884E-3</v>
      </c>
      <c r="BL174" s="463">
        <f t="shared" si="309"/>
        <v>1.1139195937500002E-2</v>
      </c>
      <c r="BM174">
        <f t="shared" si="310"/>
        <v>2.6099999999999999E-3</v>
      </c>
      <c r="BN174">
        <f t="shared" ref="BN174:BN210" si="353">(I174-Vdd)*Qg*AN174</f>
        <v>7.1347920921069527E-6</v>
      </c>
      <c r="BO174" s="463">
        <f t="shared" ref="BO174:BO205" si="354">(BJ174+BK174+BL174+BM174+BN174+BI174*(1+RdsonTC*(Ta-25)))/(1-BI174*RdsonTC*ThetaJA)</f>
        <v>0.19208583632800982</v>
      </c>
      <c r="BP174" s="147">
        <f t="shared" si="311"/>
        <v>172.98627202409332</v>
      </c>
      <c r="BQ174" s="463">
        <f t="shared" ref="BQ174:BQ210" si="355">(Vfwd2*F174+BG174^2*Rdiode)*(1+Diode_TC/1000*(Ta-25))</f>
        <v>0.1679461356005077</v>
      </c>
      <c r="BT174" s="147">
        <f t="shared" si="312"/>
        <v>167.94613560050769</v>
      </c>
      <c r="BU174" s="463">
        <f t="shared" si="313"/>
        <v>8.6559816432491526E-2</v>
      </c>
      <c r="BV174" s="463">
        <f t="shared" si="314"/>
        <v>5.6833545576547552E-2</v>
      </c>
      <c r="BW174" s="463">
        <f t="shared" si="315"/>
        <v>0</v>
      </c>
      <c r="BX174" s="463"/>
      <c r="BY174" s="463">
        <f t="shared" si="316"/>
        <v>0.59259259259259256</v>
      </c>
      <c r="BZ174" s="147">
        <f t="shared" si="317"/>
        <v>735.98595460163165</v>
      </c>
      <c r="CA174" s="153">
        <f t="shared" si="318"/>
        <v>1.0769183622262326</v>
      </c>
      <c r="CB174" s="5">
        <f t="shared" si="319"/>
        <v>4.8</v>
      </c>
      <c r="CC174" s="153">
        <f t="shared" si="320"/>
        <v>0.81675458193394301</v>
      </c>
      <c r="CD174" s="5">
        <f t="shared" si="321"/>
        <v>81.675458193394306</v>
      </c>
      <c r="CG174" s="59">
        <f t="shared" ref="CG174:CG210" si="356">IF(ABS(F174-Ioutmax_Vinmin)&lt;Iout/200, AN174, -50)</f>
        <v>-50</v>
      </c>
      <c r="CH174">
        <f t="shared" ref="CH174:CH210" si="357">IF(ABS(F174-Ioutmax_Vinmin)&lt;Iout/200, N174*CC174, -50)</f>
        <v>-50</v>
      </c>
    </row>
    <row r="175" spans="5:86" x14ac:dyDescent="0.25">
      <c r="E175" s="150">
        <v>65</v>
      </c>
      <c r="F175" s="191">
        <f t="shared" ref="F175:F206" si="358">IF(PLOT_TYPE=1, E175/100*Iout_max, min_I*EXP(N175*rr/100))</f>
        <v>0.32500000000000001</v>
      </c>
      <c r="G175" s="191"/>
      <c r="H175" s="191">
        <f t="shared" si="322"/>
        <v>4.875</v>
      </c>
      <c r="I175" s="472">
        <f t="shared" si="323"/>
        <v>9</v>
      </c>
      <c r="J175" s="386">
        <f t="shared" si="324"/>
        <v>7.66</v>
      </c>
      <c r="K175" s="386">
        <f t="shared" si="325"/>
        <v>16.66</v>
      </c>
      <c r="L175" s="386"/>
      <c r="M175" s="191">
        <f t="shared" si="326"/>
        <v>0.45978391356542619</v>
      </c>
      <c r="N175" s="152">
        <f t="shared" si="327"/>
        <v>7.6905756302521011</v>
      </c>
      <c r="O175" s="152">
        <f t="shared" si="262"/>
        <v>4.875</v>
      </c>
      <c r="P175" s="191">
        <f t="shared" si="328"/>
        <v>0.51270504201680678</v>
      </c>
      <c r="Q175" s="191">
        <f t="shared" si="329"/>
        <v>15</v>
      </c>
      <c r="R175" s="191"/>
      <c r="S175" s="152">
        <f t="shared" si="330"/>
        <v>33.263818860348223</v>
      </c>
      <c r="T175" s="152">
        <f t="shared" si="331"/>
        <v>15</v>
      </c>
      <c r="U175" s="191">
        <f t="shared" si="332"/>
        <v>2.6179769848177159</v>
      </c>
      <c r="V175" s="191">
        <f t="shared" si="333"/>
        <v>2.6179769848177159</v>
      </c>
      <c r="W175" s="191">
        <f t="shared" si="334"/>
        <v>3.0759520709346533</v>
      </c>
      <c r="X175" s="175">
        <f t="shared" si="335"/>
        <v>350</v>
      </c>
      <c r="Y175" s="386">
        <f t="shared" si="303"/>
        <v>175.62565149801725</v>
      </c>
      <c r="AA175" s="191">
        <f t="shared" si="336"/>
        <v>1.3136683244726464</v>
      </c>
      <c r="AB175" s="153">
        <f t="shared" si="337"/>
        <v>1.5434745326702111</v>
      </c>
      <c r="AC175" s="153">
        <f t="shared" si="338"/>
        <v>0.17741619027991926</v>
      </c>
      <c r="AD175" s="153"/>
      <c r="AE175" s="153">
        <f t="shared" si="339"/>
        <v>0.96344647519582249</v>
      </c>
      <c r="AF175" s="317">
        <f t="shared" si="340"/>
        <v>1645.5152356401613</v>
      </c>
      <c r="AG175" s="463">
        <f t="shared" si="341"/>
        <v>6.9127284595300251E-2</v>
      </c>
      <c r="AI175" s="153">
        <f t="shared" si="342"/>
        <v>1.7779960183503902</v>
      </c>
      <c r="AJ175" s="153">
        <f t="shared" si="343"/>
        <v>2.6179769848177159</v>
      </c>
      <c r="AK175" s="153">
        <f t="shared" si="344"/>
        <v>2.3986513232118107</v>
      </c>
      <c r="AM175" s="317">
        <f t="shared" si="345"/>
        <v>325</v>
      </c>
      <c r="AN175" s="147">
        <f t="shared" si="346"/>
        <v>175.62565149801725</v>
      </c>
      <c r="AP175">
        <f t="shared" si="347"/>
        <v>325</v>
      </c>
      <c r="AQ175">
        <f t="shared" si="348"/>
        <v>175.62565149801725</v>
      </c>
      <c r="AS175" s="5">
        <f t="shared" si="263"/>
        <v>5.6939290557523696</v>
      </c>
      <c r="AT175" s="5">
        <f t="shared" si="349"/>
        <v>2.6179769848177159</v>
      </c>
      <c r="AU175" s="5">
        <f t="shared" si="304"/>
        <v>3.0759520709346537</v>
      </c>
      <c r="AV175" s="5"/>
      <c r="AW175" s="153">
        <f t="shared" si="305"/>
        <v>0.45978391356542614</v>
      </c>
      <c r="AX175" s="153">
        <f t="shared" si="259"/>
        <v>5.416666666666667</v>
      </c>
      <c r="AY175" s="153">
        <f t="shared" si="260"/>
        <v>0.35356832027850305</v>
      </c>
      <c r="AZ175" s="153">
        <f t="shared" si="264"/>
        <v>15.32</v>
      </c>
      <c r="BA175" s="147">
        <f t="shared" si="350"/>
        <v>17.910795069528412</v>
      </c>
      <c r="BB175" s="147">
        <f t="shared" si="351"/>
        <v>10.230291259259266</v>
      </c>
      <c r="BC175" s="5">
        <f t="shared" si="258"/>
        <v>3.3356170272064141</v>
      </c>
      <c r="BD175" s="147">
        <f t="shared" si="352"/>
        <v>85.954076014626452</v>
      </c>
      <c r="BF175" s="153">
        <f t="shared" si="265"/>
        <v>1.024901392465984</v>
      </c>
      <c r="BG175" s="153">
        <f t="shared" si="261"/>
        <v>0.5554678883757308</v>
      </c>
      <c r="BI175" s="463">
        <f t="shared" si="306"/>
        <v>0.11554651507065843</v>
      </c>
      <c r="BJ175" s="463">
        <f t="shared" si="307"/>
        <v>3.8300000000000001E-2</v>
      </c>
      <c r="BK175" s="463">
        <f t="shared" si="308"/>
        <v>8.7812825749008627E-3</v>
      </c>
      <c r="BL175" s="463">
        <f t="shared" si="309"/>
        <v>1.0967823692307694E-2</v>
      </c>
      <c r="BM175">
        <f t="shared" si="310"/>
        <v>2.6099999999999999E-3</v>
      </c>
      <c r="BN175">
        <f t="shared" si="353"/>
        <v>7.0250260599206904E-6</v>
      </c>
      <c r="BO175" s="463">
        <f t="shared" si="354"/>
        <v>0.19598959720623949</v>
      </c>
      <c r="BP175" s="147">
        <f t="shared" si="311"/>
        <v>176.205621337867</v>
      </c>
      <c r="BQ175" s="463">
        <f t="shared" si="355"/>
        <v>0.17129561106253546</v>
      </c>
      <c r="BT175" s="147">
        <f t="shared" si="312"/>
        <v>171.29561106253547</v>
      </c>
      <c r="BU175" s="463">
        <f t="shared" si="313"/>
        <v>8.9285943463690606E-2</v>
      </c>
      <c r="BV175" s="463">
        <f t="shared" si="314"/>
        <v>5.8623469253152732E-2</v>
      </c>
      <c r="BW175" s="463">
        <f t="shared" si="315"/>
        <v>0</v>
      </c>
      <c r="BX175" s="463"/>
      <c r="BY175" s="463">
        <f t="shared" si="316"/>
        <v>0.60185185185185197</v>
      </c>
      <c r="BZ175" s="147">
        <f t="shared" si="317"/>
        <v>749.76126456869531</v>
      </c>
      <c r="CA175" s="153">
        <f t="shared" si="318"/>
        <v>1.0972624969690976</v>
      </c>
      <c r="CB175" s="5">
        <f t="shared" si="319"/>
        <v>4.875</v>
      </c>
      <c r="CC175" s="153">
        <f t="shared" si="320"/>
        <v>0.81627356508091287</v>
      </c>
      <c r="CD175" s="5">
        <f t="shared" si="321"/>
        <v>81.627356508091282</v>
      </c>
      <c r="CG175" s="59">
        <f t="shared" si="356"/>
        <v>-50</v>
      </c>
      <c r="CH175">
        <f t="shared" si="357"/>
        <v>-50</v>
      </c>
    </row>
    <row r="176" spans="5:86" x14ac:dyDescent="0.25">
      <c r="E176" s="150">
        <v>66</v>
      </c>
      <c r="F176" s="191">
        <f t="shared" si="358"/>
        <v>0.33</v>
      </c>
      <c r="G176" s="191"/>
      <c r="H176" s="191">
        <f t="shared" si="322"/>
        <v>4.95</v>
      </c>
      <c r="I176" s="472">
        <f t="shared" si="323"/>
        <v>9</v>
      </c>
      <c r="J176" s="386">
        <f t="shared" si="324"/>
        <v>7.66</v>
      </c>
      <c r="K176" s="386">
        <f t="shared" si="325"/>
        <v>16.66</v>
      </c>
      <c r="L176" s="386"/>
      <c r="M176" s="191">
        <f t="shared" si="326"/>
        <v>0.45978391356542619</v>
      </c>
      <c r="N176" s="152">
        <f t="shared" si="327"/>
        <v>7.6905756302521011</v>
      </c>
      <c r="O176" s="152">
        <f t="shared" si="262"/>
        <v>4.95</v>
      </c>
      <c r="P176" s="191">
        <f t="shared" si="328"/>
        <v>0.51270504201680678</v>
      </c>
      <c r="Q176" s="191">
        <f t="shared" si="329"/>
        <v>15</v>
      </c>
      <c r="R176" s="191"/>
      <c r="S176" s="152">
        <f t="shared" si="330"/>
        <v>32.493718158567425</v>
      </c>
      <c r="T176" s="152">
        <f t="shared" si="331"/>
        <v>15</v>
      </c>
      <c r="U176" s="191">
        <f t="shared" si="332"/>
        <v>2.6582535538149115</v>
      </c>
      <c r="V176" s="191">
        <f t="shared" si="333"/>
        <v>2.6582535538149119</v>
      </c>
      <c r="W176" s="191">
        <f t="shared" si="334"/>
        <v>3.1232744104874941</v>
      </c>
      <c r="X176" s="175">
        <f t="shared" si="335"/>
        <v>350</v>
      </c>
      <c r="Y176" s="386">
        <f t="shared" si="303"/>
        <v>172.96465677835033</v>
      </c>
      <c r="AA176" s="191">
        <f t="shared" si="336"/>
        <v>1.3136683244726464</v>
      </c>
      <c r="AB176" s="153">
        <f t="shared" si="337"/>
        <v>1.5434745326702111</v>
      </c>
      <c r="AC176" s="153">
        <f t="shared" si="338"/>
        <v>0.17741619027991926</v>
      </c>
      <c r="AD176" s="153"/>
      <c r="AE176" s="153">
        <f t="shared" si="339"/>
        <v>0.96344647519582249</v>
      </c>
      <c r="AF176" s="317">
        <f t="shared" si="340"/>
        <v>1670.8308546500102</v>
      </c>
      <c r="AG176" s="463">
        <f t="shared" si="341"/>
        <v>6.9127284595300251E-2</v>
      </c>
      <c r="AI176" s="153">
        <f t="shared" si="342"/>
        <v>1.7916207081591691</v>
      </c>
      <c r="AJ176" s="153">
        <f t="shared" si="343"/>
        <v>2.6582535538149115</v>
      </c>
      <c r="AK176" s="153">
        <f t="shared" si="344"/>
        <v>2.4255023692099416</v>
      </c>
      <c r="AM176" s="317">
        <f t="shared" si="345"/>
        <v>330</v>
      </c>
      <c r="AN176" s="147">
        <f t="shared" si="346"/>
        <v>172.96465677835033</v>
      </c>
      <c r="AP176">
        <f t="shared" si="347"/>
        <v>330</v>
      </c>
      <c r="AQ176">
        <f t="shared" si="348"/>
        <v>172.96465677835033</v>
      </c>
      <c r="AS176" s="5">
        <f t="shared" si="263"/>
        <v>5.7815279643024056</v>
      </c>
      <c r="AT176" s="5">
        <f t="shared" si="349"/>
        <v>2.6582535538149119</v>
      </c>
      <c r="AU176" s="5">
        <f t="shared" si="304"/>
        <v>3.1232744104874937</v>
      </c>
      <c r="AV176" s="5"/>
      <c r="AW176" s="153">
        <f t="shared" si="305"/>
        <v>0.45978391356542625</v>
      </c>
      <c r="AX176" s="153">
        <f t="shared" si="259"/>
        <v>5.5000000000000009</v>
      </c>
      <c r="AY176" s="153">
        <f t="shared" si="260"/>
        <v>0.35900783289817229</v>
      </c>
      <c r="AZ176" s="153">
        <f t="shared" si="264"/>
        <v>15.320000000000004</v>
      </c>
      <c r="BA176" s="147">
        <f t="shared" si="350"/>
        <v>17.910795069528412</v>
      </c>
      <c r="BB176" s="147">
        <f t="shared" si="351"/>
        <v>10.532260053333339</v>
      </c>
      <c r="BC176" s="5">
        <f t="shared" si="258"/>
        <v>3.4390408924286717</v>
      </c>
      <c r="BD176" s="147">
        <f t="shared" si="352"/>
        <v>88.590955846874834</v>
      </c>
      <c r="BF176" s="153">
        <f t="shared" si="265"/>
        <v>1.0406691061962301</v>
      </c>
      <c r="BG176" s="153">
        <f t="shared" si="261"/>
        <v>0.56401354819689586</v>
      </c>
      <c r="BI176" s="463">
        <f t="shared" si="306"/>
        <v>0.11912914074503864</v>
      </c>
      <c r="BJ176" s="463">
        <f t="shared" si="307"/>
        <v>3.8300000000000001E-2</v>
      </c>
      <c r="BK176" s="463">
        <f t="shared" si="308"/>
        <v>8.6482328389175158E-3</v>
      </c>
      <c r="BL176" s="463">
        <f t="shared" si="309"/>
        <v>1.0801644545454545E-2</v>
      </c>
      <c r="BM176">
        <f t="shared" si="310"/>
        <v>2.6099999999999999E-3</v>
      </c>
      <c r="BN176">
        <f t="shared" si="353"/>
        <v>6.9185862711340133E-6</v>
      </c>
      <c r="BO176" s="463">
        <f t="shared" si="354"/>
        <v>0.19997365700854464</v>
      </c>
      <c r="BP176" s="147">
        <f t="shared" si="311"/>
        <v>179.48901812941071</v>
      </c>
      <c r="BQ176" s="463">
        <f t="shared" si="355"/>
        <v>0.17466740397358685</v>
      </c>
      <c r="BT176" s="147">
        <f t="shared" si="312"/>
        <v>174.66740397358686</v>
      </c>
      <c r="BU176" s="463">
        <f t="shared" si="313"/>
        <v>9.2054336030257131E-2</v>
      </c>
      <c r="BV176" s="463">
        <f t="shared" si="314"/>
        <v>6.0441143684433908E-2</v>
      </c>
      <c r="BW176" s="463">
        <f t="shared" si="315"/>
        <v>0</v>
      </c>
      <c r="BX176" s="463"/>
      <c r="BY176" s="463">
        <f t="shared" si="316"/>
        <v>0.61111111111111116</v>
      </c>
      <c r="BZ176" s="147">
        <f t="shared" si="317"/>
        <v>763.60659082580219</v>
      </c>
      <c r="CA176" s="153">
        <f t="shared" si="318"/>
        <v>1.1177630129287999</v>
      </c>
      <c r="CB176" s="5">
        <f t="shared" si="319"/>
        <v>4.95</v>
      </c>
      <c r="CC176" s="153">
        <f t="shared" si="320"/>
        <v>0.81578663989560196</v>
      </c>
      <c r="CD176" s="5">
        <f t="shared" si="321"/>
        <v>81.578663989560198</v>
      </c>
      <c r="CG176" s="59">
        <f t="shared" si="356"/>
        <v>-50</v>
      </c>
      <c r="CH176">
        <f t="shared" si="357"/>
        <v>-50</v>
      </c>
    </row>
    <row r="177" spans="5:86" x14ac:dyDescent="0.25">
      <c r="E177" s="150">
        <v>67</v>
      </c>
      <c r="F177" s="191">
        <f t="shared" si="358"/>
        <v>0.33500000000000002</v>
      </c>
      <c r="G177" s="191"/>
      <c r="H177" s="191">
        <f t="shared" si="322"/>
        <v>5.0250000000000004</v>
      </c>
      <c r="I177" s="472">
        <f t="shared" si="323"/>
        <v>9</v>
      </c>
      <c r="J177" s="386">
        <f t="shared" si="324"/>
        <v>7.66</v>
      </c>
      <c r="K177" s="386">
        <f t="shared" si="325"/>
        <v>16.66</v>
      </c>
      <c r="L177" s="386"/>
      <c r="M177" s="191">
        <f t="shared" si="326"/>
        <v>0.45978391356542619</v>
      </c>
      <c r="N177" s="152">
        <f t="shared" si="327"/>
        <v>7.6905756302521011</v>
      </c>
      <c r="O177" s="152">
        <f t="shared" si="262"/>
        <v>5.0250000000000004</v>
      </c>
      <c r="P177" s="191">
        <f t="shared" si="328"/>
        <v>0.51270504201680678</v>
      </c>
      <c r="Q177" s="191">
        <f t="shared" si="329"/>
        <v>15</v>
      </c>
      <c r="R177" s="191"/>
      <c r="S177" s="152">
        <f t="shared" si="330"/>
        <v>31.746789271942809</v>
      </c>
      <c r="T177" s="152">
        <f t="shared" si="331"/>
        <v>15</v>
      </c>
      <c r="U177" s="191">
        <f t="shared" si="332"/>
        <v>2.698530122812107</v>
      </c>
      <c r="V177" s="191">
        <f t="shared" si="333"/>
        <v>2.698530122812107</v>
      </c>
      <c r="W177" s="191">
        <f t="shared" si="334"/>
        <v>3.1705967500403345</v>
      </c>
      <c r="X177" s="175">
        <f t="shared" si="335"/>
        <v>350</v>
      </c>
      <c r="Y177" s="386">
        <f t="shared" si="303"/>
        <v>170.38309473688244</v>
      </c>
      <c r="AA177" s="191">
        <f t="shared" si="336"/>
        <v>1.3136683244726464</v>
      </c>
      <c r="AB177" s="153">
        <f t="shared" si="337"/>
        <v>1.5434745326702111</v>
      </c>
      <c r="AC177" s="153">
        <f t="shared" si="338"/>
        <v>0.17741619027991926</v>
      </c>
      <c r="AD177" s="153"/>
      <c r="AE177" s="153">
        <f t="shared" si="339"/>
        <v>0.96344647519582249</v>
      </c>
      <c r="AF177" s="317">
        <f t="shared" si="340"/>
        <v>1696.1464736598589</v>
      </c>
      <c r="AG177" s="463">
        <f t="shared" si="341"/>
        <v>6.9127284595300251E-2</v>
      </c>
      <c r="AI177" s="153">
        <f t="shared" si="342"/>
        <v>1.8051425657104434</v>
      </c>
      <c r="AJ177" s="153">
        <f t="shared" si="343"/>
        <v>2.698530122812107</v>
      </c>
      <c r="AK177" s="153">
        <f t="shared" si="344"/>
        <v>2.4523534152080719</v>
      </c>
      <c r="AM177" s="317">
        <f t="shared" si="345"/>
        <v>335</v>
      </c>
      <c r="AN177" s="147">
        <f t="shared" si="346"/>
        <v>170.38309473688244</v>
      </c>
      <c r="AP177">
        <f t="shared" si="347"/>
        <v>335</v>
      </c>
      <c r="AQ177">
        <f t="shared" si="348"/>
        <v>170.38309473688244</v>
      </c>
      <c r="AS177" s="5">
        <f t="shared" si="263"/>
        <v>5.8691268728524406</v>
      </c>
      <c r="AT177" s="5">
        <f t="shared" si="349"/>
        <v>2.698530122812107</v>
      </c>
      <c r="AU177" s="5">
        <f t="shared" si="304"/>
        <v>3.1705967500403336</v>
      </c>
      <c r="AV177" s="5"/>
      <c r="AW177" s="153">
        <f t="shared" si="305"/>
        <v>0.45978391356542625</v>
      </c>
      <c r="AX177" s="153">
        <f t="shared" si="259"/>
        <v>5.5833333333333339</v>
      </c>
      <c r="AY177" s="153">
        <f t="shared" si="260"/>
        <v>0.36444734551784153</v>
      </c>
      <c r="AZ177" s="153">
        <f t="shared" si="264"/>
        <v>15.320000000000006</v>
      </c>
      <c r="BA177" s="147">
        <f t="shared" si="350"/>
        <v>17.910795069528412</v>
      </c>
      <c r="BB177" s="147">
        <f t="shared" si="351"/>
        <v>10.838610050370376</v>
      </c>
      <c r="BC177" s="5">
        <f t="shared" si="258"/>
        <v>3.5440437479596656</v>
      </c>
      <c r="BD177" s="147">
        <f t="shared" si="352"/>
        <v>91.267669298275379</v>
      </c>
      <c r="BF177" s="153">
        <f t="shared" si="265"/>
        <v>1.056436819926476</v>
      </c>
      <c r="BG177" s="153">
        <f t="shared" si="261"/>
        <v>0.57255920801806093</v>
      </c>
      <c r="BI177" s="463">
        <f t="shared" si="306"/>
        <v>0.12276646299460019</v>
      </c>
      <c r="BJ177" s="463">
        <f t="shared" si="307"/>
        <v>3.8300000000000008E-2</v>
      </c>
      <c r="BK177" s="463">
        <f t="shared" si="308"/>
        <v>8.5191547368441232E-3</v>
      </c>
      <c r="BL177" s="463">
        <f t="shared" si="309"/>
        <v>1.0640425970149256E-2</v>
      </c>
      <c r="BM177">
        <f t="shared" si="310"/>
        <v>2.6099999999999999E-3</v>
      </c>
      <c r="BN177">
        <f t="shared" si="353"/>
        <v>6.8153237894752977E-6</v>
      </c>
      <c r="BO177" s="463">
        <f t="shared" si="354"/>
        <v>0.20403787351456973</v>
      </c>
      <c r="BP177" s="147">
        <f t="shared" si="311"/>
        <v>182.83604370159355</v>
      </c>
      <c r="BQ177" s="463">
        <f t="shared" si="355"/>
        <v>0.17806151433366194</v>
      </c>
      <c r="BT177" s="147">
        <f t="shared" si="312"/>
        <v>178.06151433366193</v>
      </c>
      <c r="BU177" s="463">
        <f t="shared" si="313"/>
        <v>9.4864994132191058E-2</v>
      </c>
      <c r="BV177" s="463">
        <f t="shared" si="314"/>
        <v>6.2286568870391149E-2</v>
      </c>
      <c r="BW177" s="463">
        <f t="shared" si="315"/>
        <v>0</v>
      </c>
      <c r="BX177" s="463"/>
      <c r="BY177" s="463">
        <f t="shared" si="316"/>
        <v>0.62037037037037057</v>
      </c>
      <c r="BZ177" s="147">
        <f t="shared" si="317"/>
        <v>777.52193337295284</v>
      </c>
      <c r="CA177" s="153">
        <f t="shared" si="318"/>
        <v>1.1384194914082082</v>
      </c>
      <c r="CB177" s="5">
        <f t="shared" si="319"/>
        <v>5.0250000000000004</v>
      </c>
      <c r="CC177" s="153">
        <f t="shared" si="320"/>
        <v>0.81529417347056088</v>
      </c>
      <c r="CD177" s="5">
        <f t="shared" si="321"/>
        <v>81.529417347056082</v>
      </c>
      <c r="CG177" s="59">
        <f t="shared" si="356"/>
        <v>-50</v>
      </c>
      <c r="CH177">
        <f t="shared" si="357"/>
        <v>-50</v>
      </c>
    </row>
    <row r="178" spans="5:86" x14ac:dyDescent="0.25">
      <c r="E178" s="150">
        <v>68</v>
      </c>
      <c r="F178" s="191">
        <f t="shared" si="358"/>
        <v>0.34</v>
      </c>
      <c r="G178" s="191"/>
      <c r="H178" s="191">
        <f t="shared" si="322"/>
        <v>5.1000000000000005</v>
      </c>
      <c r="I178" s="472">
        <f t="shared" si="323"/>
        <v>9</v>
      </c>
      <c r="J178" s="386">
        <f t="shared" si="324"/>
        <v>7.66</v>
      </c>
      <c r="K178" s="386">
        <f t="shared" si="325"/>
        <v>16.66</v>
      </c>
      <c r="L178" s="386"/>
      <c r="M178" s="191">
        <f t="shared" si="326"/>
        <v>0.45978391356542619</v>
      </c>
      <c r="N178" s="152">
        <f t="shared" si="327"/>
        <v>7.6905756302521011</v>
      </c>
      <c r="O178" s="152">
        <f t="shared" si="262"/>
        <v>5.1000000000000005</v>
      </c>
      <c r="P178" s="191">
        <f t="shared" si="328"/>
        <v>0.51270504201680678</v>
      </c>
      <c r="Q178" s="191">
        <f t="shared" si="329"/>
        <v>15</v>
      </c>
      <c r="R178" s="191"/>
      <c r="S178" s="152">
        <f t="shared" si="330"/>
        <v>31.022014165811321</v>
      </c>
      <c r="T178" s="152">
        <f t="shared" si="331"/>
        <v>15</v>
      </c>
      <c r="U178" s="191">
        <f t="shared" si="332"/>
        <v>2.738806691809303</v>
      </c>
      <c r="V178" s="191">
        <f t="shared" si="333"/>
        <v>2.7388066918093035</v>
      </c>
      <c r="W178" s="191">
        <f t="shared" si="334"/>
        <v>3.2179190895931762</v>
      </c>
      <c r="X178" s="175">
        <f t="shared" si="335"/>
        <v>350</v>
      </c>
      <c r="Y178" s="386">
        <f t="shared" si="303"/>
        <v>167.87746099075176</v>
      </c>
      <c r="AA178" s="191">
        <f t="shared" si="336"/>
        <v>1.3136683244726464</v>
      </c>
      <c r="AB178" s="153">
        <f t="shared" si="337"/>
        <v>1.5434745326702111</v>
      </c>
      <c r="AC178" s="153">
        <f t="shared" si="338"/>
        <v>0.17741619027991926</v>
      </c>
      <c r="AD178" s="153"/>
      <c r="AE178" s="153">
        <f t="shared" si="339"/>
        <v>0.96344647519582249</v>
      </c>
      <c r="AF178" s="317">
        <f t="shared" si="340"/>
        <v>1721.4620926697075</v>
      </c>
      <c r="AG178" s="463">
        <f t="shared" si="341"/>
        <v>6.9127284595300251E-2</v>
      </c>
      <c r="AI178" s="153">
        <f t="shared" si="342"/>
        <v>1.818563884820823</v>
      </c>
      <c r="AJ178" s="153">
        <f t="shared" si="343"/>
        <v>2.738806691809303</v>
      </c>
      <c r="AK178" s="153">
        <f t="shared" si="344"/>
        <v>2.4792044612062023</v>
      </c>
      <c r="AM178" s="317">
        <f t="shared" si="345"/>
        <v>340</v>
      </c>
      <c r="AN178" s="147">
        <f t="shared" si="346"/>
        <v>167.87746099075176</v>
      </c>
      <c r="AP178">
        <f t="shared" si="347"/>
        <v>340</v>
      </c>
      <c r="AQ178">
        <f t="shared" si="348"/>
        <v>167.87746099075176</v>
      </c>
      <c r="AS178" s="5">
        <f t="shared" si="263"/>
        <v>5.9567257814024792</v>
      </c>
      <c r="AT178" s="5">
        <f t="shared" si="349"/>
        <v>2.7388066918093035</v>
      </c>
      <c r="AU178" s="5">
        <f t="shared" si="304"/>
        <v>3.2179190895931757</v>
      </c>
      <c r="AV178" s="5"/>
      <c r="AW178" s="153">
        <f t="shared" si="305"/>
        <v>0.45978391356542619</v>
      </c>
      <c r="AX178" s="153">
        <f t="shared" si="259"/>
        <v>5.666666666666667</v>
      </c>
      <c r="AY178" s="153">
        <f t="shared" si="260"/>
        <v>0.36988685813751088</v>
      </c>
      <c r="AZ178" s="153">
        <f t="shared" si="264"/>
        <v>15.32</v>
      </c>
      <c r="BA178" s="147">
        <f t="shared" si="350"/>
        <v>17.910795069528412</v>
      </c>
      <c r="BB178" s="147">
        <f t="shared" si="351"/>
        <v>11.149341250370378</v>
      </c>
      <c r="BC178" s="5">
        <f t="shared" si="258"/>
        <v>3.6506255937993988</v>
      </c>
      <c r="BD178" s="147">
        <f t="shared" si="352"/>
        <v>93.984216368828271</v>
      </c>
      <c r="BF178" s="153">
        <f t="shared" si="265"/>
        <v>1.0722045336567219</v>
      </c>
      <c r="BG178" s="153">
        <f t="shared" si="261"/>
        <v>0.5811048678392261</v>
      </c>
      <c r="BI178" s="463">
        <f t="shared" si="306"/>
        <v>0.12645848181934313</v>
      </c>
      <c r="BJ178" s="463">
        <f t="shared" si="307"/>
        <v>3.8299999999999994E-2</v>
      </c>
      <c r="BK178" s="463">
        <f t="shared" si="308"/>
        <v>8.3938730495375872E-3</v>
      </c>
      <c r="BL178" s="463">
        <f t="shared" si="309"/>
        <v>1.0483949117647058E-2</v>
      </c>
      <c r="BM178">
        <f t="shared" si="310"/>
        <v>2.6099999999999999E-3</v>
      </c>
      <c r="BN178">
        <f t="shared" si="353"/>
        <v>6.7150984396300708E-6</v>
      </c>
      <c r="BO178" s="463">
        <f t="shared" si="354"/>
        <v>0.20818213431195018</v>
      </c>
      <c r="BP178" s="147">
        <f t="shared" si="311"/>
        <v>186.24630398652778</v>
      </c>
      <c r="BQ178" s="463">
        <f t="shared" si="355"/>
        <v>0.18147794214276072</v>
      </c>
      <c r="BT178" s="147">
        <f t="shared" si="312"/>
        <v>181.47794214276072</v>
      </c>
      <c r="BU178" s="463">
        <f t="shared" si="313"/>
        <v>9.7717917769492416E-2</v>
      </c>
      <c r="BV178" s="463">
        <f t="shared" si="314"/>
        <v>6.4159744811024447E-2</v>
      </c>
      <c r="BW178" s="463">
        <f t="shared" si="315"/>
        <v>0</v>
      </c>
      <c r="BX178" s="463"/>
      <c r="BY178" s="463">
        <f t="shared" si="316"/>
        <v>0.62962962962962976</v>
      </c>
      <c r="BZ178" s="147">
        <f t="shared" si="317"/>
        <v>791.5072922101466</v>
      </c>
      <c r="CA178" s="153">
        <f t="shared" si="318"/>
        <v>1.1592315383394352</v>
      </c>
      <c r="CB178" s="5">
        <f t="shared" si="319"/>
        <v>5.1000000000000005</v>
      </c>
      <c r="CC178" s="153">
        <f t="shared" si="320"/>
        <v>0.81479650796765735</v>
      </c>
      <c r="CD178" s="5">
        <f t="shared" si="321"/>
        <v>81.479650796765739</v>
      </c>
      <c r="CG178" s="59">
        <f t="shared" si="356"/>
        <v>-50</v>
      </c>
      <c r="CH178">
        <f t="shared" si="357"/>
        <v>-50</v>
      </c>
    </row>
    <row r="179" spans="5:86" x14ac:dyDescent="0.25">
      <c r="E179" s="150">
        <v>69</v>
      </c>
      <c r="F179" s="191">
        <f t="shared" si="358"/>
        <v>0.34499999999999997</v>
      </c>
      <c r="G179" s="191"/>
      <c r="H179" s="191">
        <f t="shared" si="322"/>
        <v>5.1749999999999998</v>
      </c>
      <c r="I179" s="472">
        <f t="shared" si="323"/>
        <v>9</v>
      </c>
      <c r="J179" s="386">
        <f t="shared" si="324"/>
        <v>7.66</v>
      </c>
      <c r="K179" s="386">
        <f t="shared" si="325"/>
        <v>16.66</v>
      </c>
      <c r="L179" s="386"/>
      <c r="M179" s="191">
        <f t="shared" si="326"/>
        <v>0.45978391356542619</v>
      </c>
      <c r="N179" s="152">
        <f t="shared" si="327"/>
        <v>7.6905756302521011</v>
      </c>
      <c r="O179" s="152">
        <f t="shared" si="262"/>
        <v>5.1749999999999998</v>
      </c>
      <c r="P179" s="191">
        <f t="shared" si="328"/>
        <v>0.51270504201680678</v>
      </c>
      <c r="Q179" s="191">
        <f t="shared" si="329"/>
        <v>15</v>
      </c>
      <c r="R179" s="191"/>
      <c r="S179" s="152">
        <f t="shared" si="330"/>
        <v>30.318433947639253</v>
      </c>
      <c r="T179" s="152">
        <f t="shared" si="331"/>
        <v>15</v>
      </c>
      <c r="U179" s="191">
        <f t="shared" si="332"/>
        <v>2.7790832608064981</v>
      </c>
      <c r="V179" s="191">
        <f t="shared" si="333"/>
        <v>2.7790832608064981</v>
      </c>
      <c r="W179" s="191">
        <f t="shared" si="334"/>
        <v>3.2652414291460161</v>
      </c>
      <c r="X179" s="175">
        <f t="shared" si="335"/>
        <v>350</v>
      </c>
      <c r="Y179" s="386">
        <f t="shared" si="303"/>
        <v>165.44445430972641</v>
      </c>
      <c r="AA179" s="191">
        <f t="shared" si="336"/>
        <v>1.3136683244726464</v>
      </c>
      <c r="AB179" s="153">
        <f t="shared" si="337"/>
        <v>1.5434745326702111</v>
      </c>
      <c r="AC179" s="153">
        <f t="shared" si="338"/>
        <v>0.17741619027991926</v>
      </c>
      <c r="AD179" s="153"/>
      <c r="AE179" s="153">
        <f t="shared" si="339"/>
        <v>0.96344647519582249</v>
      </c>
      <c r="AF179" s="317">
        <f t="shared" si="340"/>
        <v>1746.777711679556</v>
      </c>
      <c r="AG179" s="463">
        <f t="shared" si="341"/>
        <v>6.9127284595300251E-2</v>
      </c>
      <c r="AI179" s="153">
        <f t="shared" si="342"/>
        <v>1.8318868752762882</v>
      </c>
      <c r="AJ179" s="153">
        <f t="shared" si="343"/>
        <v>2.7790832608064981</v>
      </c>
      <c r="AK179" s="153">
        <f t="shared" si="344"/>
        <v>2.5060555072043327</v>
      </c>
      <c r="AM179" s="317">
        <f t="shared" si="345"/>
        <v>345</v>
      </c>
      <c r="AN179" s="147">
        <f t="shared" si="346"/>
        <v>165.44445430972641</v>
      </c>
      <c r="AP179">
        <f t="shared" si="347"/>
        <v>345</v>
      </c>
      <c r="AQ179">
        <f t="shared" si="348"/>
        <v>165.44445430972641</v>
      </c>
      <c r="AS179" s="5">
        <f t="shared" si="263"/>
        <v>6.0443246899525143</v>
      </c>
      <c r="AT179" s="5">
        <f t="shared" si="349"/>
        <v>2.7790832608064981</v>
      </c>
      <c r="AU179" s="5">
        <f t="shared" si="304"/>
        <v>3.2652414291460161</v>
      </c>
      <c r="AV179" s="5"/>
      <c r="AW179" s="153">
        <f t="shared" si="305"/>
        <v>0.45978391356542619</v>
      </c>
      <c r="AX179" s="153">
        <f t="shared" si="259"/>
        <v>5.7499999999999991</v>
      </c>
      <c r="AY179" s="153">
        <f t="shared" si="260"/>
        <v>0.37532637075718006</v>
      </c>
      <c r="AZ179" s="153">
        <f t="shared" si="264"/>
        <v>15.320000000000002</v>
      </c>
      <c r="BA179" s="147">
        <f t="shared" si="350"/>
        <v>17.910795069528412</v>
      </c>
      <c r="BB179" s="147">
        <f t="shared" si="351"/>
        <v>11.464453653333337</v>
      </c>
      <c r="BC179" s="5">
        <f t="shared" si="258"/>
        <v>3.7587864299478655</v>
      </c>
      <c r="BD179" s="147">
        <f t="shared" si="352"/>
        <v>96.740597058533282</v>
      </c>
      <c r="BF179" s="153">
        <f t="shared" si="265"/>
        <v>1.0879722473869675</v>
      </c>
      <c r="BG179" s="153">
        <f t="shared" si="261"/>
        <v>0.58965052766039106</v>
      </c>
      <c r="BI179" s="463">
        <f t="shared" si="306"/>
        <v>0.13020519721926738</v>
      </c>
      <c r="BJ179" s="463">
        <f t="shared" si="307"/>
        <v>3.8299999999999994E-2</v>
      </c>
      <c r="BK179" s="463">
        <f t="shared" si="308"/>
        <v>8.2722227154863204E-3</v>
      </c>
      <c r="BL179" s="463">
        <f t="shared" si="309"/>
        <v>1.0332007826086958E-2</v>
      </c>
      <c r="BM179">
        <f t="shared" si="310"/>
        <v>2.6099999999999999E-3</v>
      </c>
      <c r="BN179">
        <f t="shared" si="353"/>
        <v>6.6177781723890562E-6</v>
      </c>
      <c r="BO179" s="463">
        <f t="shared" si="354"/>
        <v>0.21240635505786157</v>
      </c>
      <c r="BP179" s="147">
        <f t="shared" si="311"/>
        <v>189.71942776084066</v>
      </c>
      <c r="BQ179" s="463">
        <f t="shared" si="355"/>
        <v>0.18491668740088313</v>
      </c>
      <c r="BT179" s="147">
        <f t="shared" si="312"/>
        <v>184.91668740088312</v>
      </c>
      <c r="BU179" s="463">
        <f t="shared" si="313"/>
        <v>0.10061310694216115</v>
      </c>
      <c r="BV179" s="463">
        <f t="shared" si="314"/>
        <v>6.606067150633374E-2</v>
      </c>
      <c r="BW179" s="463">
        <f t="shared" si="315"/>
        <v>0</v>
      </c>
      <c r="BX179" s="463"/>
      <c r="BY179" s="463">
        <f t="shared" si="316"/>
        <v>0.63888888888888895</v>
      </c>
      <c r="BZ179" s="147">
        <f t="shared" si="317"/>
        <v>805.56266733738391</v>
      </c>
      <c r="CA179" s="153">
        <f t="shared" si="318"/>
        <v>1.1801987824991076</v>
      </c>
      <c r="CB179" s="5">
        <f t="shared" si="319"/>
        <v>5.1749999999999998</v>
      </c>
      <c r="CC179" s="153">
        <f t="shared" si="320"/>
        <v>0.81429396264533394</v>
      </c>
      <c r="CD179" s="5">
        <f t="shared" si="321"/>
        <v>81.429396264533395</v>
      </c>
      <c r="CG179" s="59">
        <f t="shared" si="356"/>
        <v>-50</v>
      </c>
      <c r="CH179">
        <f t="shared" si="357"/>
        <v>-50</v>
      </c>
    </row>
    <row r="180" spans="5:86" x14ac:dyDescent="0.25">
      <c r="E180" s="150">
        <v>70</v>
      </c>
      <c r="F180" s="191">
        <f t="shared" si="358"/>
        <v>0.35</v>
      </c>
      <c r="G180" s="191"/>
      <c r="H180" s="191">
        <f t="shared" si="322"/>
        <v>5.25</v>
      </c>
      <c r="I180" s="472">
        <f t="shared" si="323"/>
        <v>9</v>
      </c>
      <c r="J180" s="386">
        <f t="shared" si="324"/>
        <v>7.66</v>
      </c>
      <c r="K180" s="386">
        <f t="shared" si="325"/>
        <v>16.66</v>
      </c>
      <c r="L180" s="386"/>
      <c r="M180" s="191">
        <f t="shared" si="326"/>
        <v>0.45978391356542619</v>
      </c>
      <c r="N180" s="152">
        <f t="shared" si="327"/>
        <v>7.6905756302521011</v>
      </c>
      <c r="O180" s="152">
        <f t="shared" si="262"/>
        <v>5.25</v>
      </c>
      <c r="P180" s="191">
        <f t="shared" si="328"/>
        <v>0.51270504201680678</v>
      </c>
      <c r="Q180" s="191">
        <f t="shared" si="329"/>
        <v>15</v>
      </c>
      <c r="R180" s="191"/>
      <c r="S180" s="152">
        <f t="shared" si="330"/>
        <v>29.635144646986408</v>
      </c>
      <c r="T180" s="152">
        <f t="shared" si="331"/>
        <v>15</v>
      </c>
      <c r="U180" s="191">
        <f t="shared" si="332"/>
        <v>2.8193598298036937</v>
      </c>
      <c r="V180" s="191">
        <f t="shared" si="333"/>
        <v>2.8193598298036937</v>
      </c>
      <c r="W180" s="191">
        <f t="shared" si="334"/>
        <v>3.3125637686988565</v>
      </c>
      <c r="X180" s="175">
        <f t="shared" si="335"/>
        <v>350</v>
      </c>
      <c r="Y180" s="386">
        <f t="shared" si="303"/>
        <v>163.08096210530175</v>
      </c>
      <c r="AA180" s="191">
        <f t="shared" si="336"/>
        <v>1.3136683244726464</v>
      </c>
      <c r="AB180" s="153">
        <f t="shared" si="337"/>
        <v>1.5434745326702111</v>
      </c>
      <c r="AC180" s="153">
        <f t="shared" si="338"/>
        <v>0.17741619027991926</v>
      </c>
      <c r="AD180" s="153"/>
      <c r="AE180" s="153">
        <f t="shared" si="339"/>
        <v>0.96344647519582249</v>
      </c>
      <c r="AF180" s="317">
        <f t="shared" si="340"/>
        <v>1772.0933306894046</v>
      </c>
      <c r="AG180" s="463">
        <f t="shared" si="341"/>
        <v>6.9127284595300251E-2</v>
      </c>
      <c r="AI180" s="153">
        <f t="shared" si="342"/>
        <v>1.8451136670797397</v>
      </c>
      <c r="AJ180" s="153">
        <f t="shared" si="343"/>
        <v>2.8193598298036937</v>
      </c>
      <c r="AK180" s="153">
        <f t="shared" si="344"/>
        <v>2.5329065532024631</v>
      </c>
      <c r="AM180" s="317">
        <f t="shared" si="345"/>
        <v>350</v>
      </c>
      <c r="AN180" s="147">
        <f t="shared" si="346"/>
        <v>163.08096210530175</v>
      </c>
      <c r="AP180">
        <f t="shared" si="347"/>
        <v>350</v>
      </c>
      <c r="AQ180">
        <f t="shared" si="348"/>
        <v>163.08096210530175</v>
      </c>
      <c r="AS180" s="5">
        <f t="shared" si="263"/>
        <v>6.1319235985025502</v>
      </c>
      <c r="AT180" s="5">
        <f t="shared" si="349"/>
        <v>2.8193598298036937</v>
      </c>
      <c r="AU180" s="5">
        <f t="shared" si="304"/>
        <v>3.3125637686988565</v>
      </c>
      <c r="AV180" s="5"/>
      <c r="AW180" s="153">
        <f t="shared" si="305"/>
        <v>0.45978391356542619</v>
      </c>
      <c r="AX180" s="153">
        <f t="shared" si="259"/>
        <v>5.833333333333333</v>
      </c>
      <c r="AY180" s="153">
        <f t="shared" si="260"/>
        <v>0.38076588337684936</v>
      </c>
      <c r="AZ180" s="153">
        <f t="shared" si="264"/>
        <v>15.320000000000002</v>
      </c>
      <c r="BA180" s="147">
        <f t="shared" si="350"/>
        <v>17.910795069528412</v>
      </c>
      <c r="BB180" s="147">
        <f t="shared" si="351"/>
        <v>11.783947259259261</v>
      </c>
      <c r="BC180" s="5">
        <f t="shared" si="258"/>
        <v>3.8685262564050706</v>
      </c>
      <c r="BD180" s="147">
        <f t="shared" si="352"/>
        <v>99.536811367390555</v>
      </c>
      <c r="BF180" s="153">
        <f t="shared" si="265"/>
        <v>1.1037399611172134</v>
      </c>
      <c r="BG180" s="153">
        <f t="shared" si="261"/>
        <v>0.59819618748155612</v>
      </c>
      <c r="BI180" s="463">
        <f t="shared" si="306"/>
        <v>0.13400660919437307</v>
      </c>
      <c r="BJ180" s="463">
        <f t="shared" si="307"/>
        <v>3.8300000000000001E-2</v>
      </c>
      <c r="BK180" s="463">
        <f t="shared" si="308"/>
        <v>8.1540481052650871E-3</v>
      </c>
      <c r="BL180" s="463">
        <f t="shared" si="309"/>
        <v>1.0184407714285717E-2</v>
      </c>
      <c r="BM180">
        <f t="shared" si="310"/>
        <v>2.6099999999999999E-3</v>
      </c>
      <c r="BN180">
        <f t="shared" si="353"/>
        <v>6.5232384842120699E-6</v>
      </c>
      <c r="BO180" s="463">
        <f t="shared" si="354"/>
        <v>0.2167104778946051</v>
      </c>
      <c r="BP180" s="147">
        <f t="shared" si="311"/>
        <v>193.25506501392388</v>
      </c>
      <c r="BQ180" s="463">
        <f t="shared" si="355"/>
        <v>0.18837775010802926</v>
      </c>
      <c r="BT180" s="147">
        <f t="shared" si="312"/>
        <v>188.37775010802926</v>
      </c>
      <c r="BU180" s="463">
        <f t="shared" si="313"/>
        <v>0.10355056165019737</v>
      </c>
      <c r="BV180" s="463">
        <f t="shared" si="314"/>
        <v>6.7989348956319126E-2</v>
      </c>
      <c r="BW180" s="463">
        <f t="shared" si="315"/>
        <v>0</v>
      </c>
      <c r="BX180" s="463"/>
      <c r="BY180" s="463">
        <f t="shared" si="316"/>
        <v>0.64814814814814814</v>
      </c>
      <c r="BZ180" s="147">
        <f t="shared" si="317"/>
        <v>819.68805875466467</v>
      </c>
      <c r="CA180" s="153">
        <f t="shared" si="318"/>
        <v>1.2013208738766177</v>
      </c>
      <c r="CB180" s="5">
        <f t="shared" si="319"/>
        <v>5.25</v>
      </c>
      <c r="CC180" s="153">
        <f t="shared" si="320"/>
        <v>0.81378683569420085</v>
      </c>
      <c r="CD180" s="5">
        <f t="shared" si="321"/>
        <v>81.37868356942009</v>
      </c>
      <c r="CG180" s="59">
        <f t="shared" si="356"/>
        <v>-50</v>
      </c>
      <c r="CH180">
        <f t="shared" si="357"/>
        <v>-50</v>
      </c>
    </row>
    <row r="181" spans="5:86" x14ac:dyDescent="0.25">
      <c r="E181" s="150">
        <v>71</v>
      </c>
      <c r="F181" s="191">
        <f t="shared" si="358"/>
        <v>0.35499999999999998</v>
      </c>
      <c r="G181" s="191"/>
      <c r="H181" s="191">
        <f t="shared" si="322"/>
        <v>5.3249999999999993</v>
      </c>
      <c r="I181" s="472">
        <f t="shared" si="323"/>
        <v>9</v>
      </c>
      <c r="J181" s="386">
        <f t="shared" si="324"/>
        <v>7.66</v>
      </c>
      <c r="K181" s="386">
        <f t="shared" si="325"/>
        <v>16.66</v>
      </c>
      <c r="L181" s="386"/>
      <c r="M181" s="191">
        <f t="shared" si="326"/>
        <v>0.45978391356542619</v>
      </c>
      <c r="N181" s="152">
        <f t="shared" si="327"/>
        <v>7.6905756302521011</v>
      </c>
      <c r="O181" s="152">
        <f t="shared" si="262"/>
        <v>5.3249999999999993</v>
      </c>
      <c r="P181" s="191">
        <f t="shared" si="328"/>
        <v>0.51270504201680678</v>
      </c>
      <c r="Q181" s="191">
        <f t="shared" si="329"/>
        <v>15</v>
      </c>
      <c r="R181" s="191"/>
      <c r="S181" s="152">
        <f t="shared" si="330"/>
        <v>28.971293352265644</v>
      </c>
      <c r="T181" s="152">
        <f t="shared" si="331"/>
        <v>15</v>
      </c>
      <c r="U181" s="191">
        <f t="shared" si="332"/>
        <v>2.8596363988008893</v>
      </c>
      <c r="V181" s="191">
        <f t="shared" si="333"/>
        <v>2.8596363988008893</v>
      </c>
      <c r="W181" s="191">
        <f t="shared" si="334"/>
        <v>3.3598861082516978</v>
      </c>
      <c r="X181" s="175">
        <f t="shared" si="335"/>
        <v>350</v>
      </c>
      <c r="Y181" s="386">
        <f t="shared" si="303"/>
        <v>160.78404714607214</v>
      </c>
      <c r="AA181" s="191">
        <f t="shared" si="336"/>
        <v>1.3136683244726464</v>
      </c>
      <c r="AB181" s="153">
        <f t="shared" si="337"/>
        <v>1.5434745326702111</v>
      </c>
      <c r="AC181" s="153">
        <f t="shared" si="338"/>
        <v>0.17741619027991926</v>
      </c>
      <c r="AD181" s="153"/>
      <c r="AE181" s="153">
        <f t="shared" si="339"/>
        <v>0.96344647519582249</v>
      </c>
      <c r="AF181" s="317">
        <f t="shared" si="340"/>
        <v>1797.4089496992533</v>
      </c>
      <c r="AG181" s="463">
        <f t="shared" si="341"/>
        <v>6.9127284595300251E-2</v>
      </c>
      <c r="AI181" s="153">
        <f t="shared" si="342"/>
        <v>1.8582463144264176</v>
      </c>
      <c r="AJ181" s="153">
        <f t="shared" si="343"/>
        <v>2.8596363988008893</v>
      </c>
      <c r="AK181" s="153">
        <f t="shared" si="344"/>
        <v>2.5597575992005934</v>
      </c>
      <c r="AM181" s="317">
        <f t="shared" si="345"/>
        <v>355</v>
      </c>
      <c r="AN181" s="147">
        <f t="shared" si="346"/>
        <v>160.78404714607214</v>
      </c>
      <c r="AP181">
        <f t="shared" si="347"/>
        <v>355</v>
      </c>
      <c r="AQ181">
        <f t="shared" si="348"/>
        <v>160.78404714607214</v>
      </c>
      <c r="AS181" s="5">
        <f t="shared" si="263"/>
        <v>6.219522507052587</v>
      </c>
      <c r="AT181" s="5">
        <f t="shared" si="349"/>
        <v>2.8596363988008893</v>
      </c>
      <c r="AU181" s="5">
        <f t="shared" si="304"/>
        <v>3.3598861082516978</v>
      </c>
      <c r="AV181" s="5"/>
      <c r="AW181" s="153">
        <f t="shared" si="305"/>
        <v>0.45978391356542614</v>
      </c>
      <c r="AX181" s="153">
        <f t="shared" si="259"/>
        <v>5.9166666666666652</v>
      </c>
      <c r="AY181" s="153">
        <f t="shared" si="260"/>
        <v>0.38620539599651871</v>
      </c>
      <c r="AZ181" s="153">
        <f t="shared" si="264"/>
        <v>15.319999999999997</v>
      </c>
      <c r="BA181" s="147">
        <f t="shared" si="350"/>
        <v>17.910795069528412</v>
      </c>
      <c r="BB181" s="147">
        <f t="shared" si="351"/>
        <v>12.107822068148151</v>
      </c>
      <c r="BC181" s="5">
        <f t="shared" ref="BC181:BC244" si="359">H181/Efficiency/I181*AU181/Vinripple1</f>
        <v>3.9798450731710129</v>
      </c>
      <c r="BD181" s="147">
        <f t="shared" si="352"/>
        <v>102.37285929540005</v>
      </c>
      <c r="BF181" s="153">
        <f t="shared" si="265"/>
        <v>1.1195076748474593</v>
      </c>
      <c r="BG181" s="153">
        <f t="shared" si="261"/>
        <v>0.60674184730272129</v>
      </c>
      <c r="BI181" s="463">
        <f t="shared" si="306"/>
        <v>0.13786271774466011</v>
      </c>
      <c r="BJ181" s="463">
        <f t="shared" si="307"/>
        <v>3.8299999999999994E-2</v>
      </c>
      <c r="BK181" s="463">
        <f t="shared" si="308"/>
        <v>8.0392023573036056E-3</v>
      </c>
      <c r="BL181" s="463">
        <f t="shared" si="309"/>
        <v>1.0040965352112676E-2</v>
      </c>
      <c r="BM181">
        <f t="shared" si="310"/>
        <v>2.6099999999999999E-3</v>
      </c>
      <c r="BN181">
        <f t="shared" si="353"/>
        <v>6.4313618858428855E-6</v>
      </c>
      <c r="BO181" s="463">
        <f t="shared" si="354"/>
        <v>0.22109447000415611</v>
      </c>
      <c r="BP181" s="147">
        <f t="shared" si="311"/>
        <v>196.85288545407639</v>
      </c>
      <c r="BQ181" s="463">
        <f t="shared" si="355"/>
        <v>0.1918611302641991</v>
      </c>
      <c r="BT181" s="147">
        <f t="shared" si="312"/>
        <v>191.86113026419909</v>
      </c>
      <c r="BU181" s="463">
        <f t="shared" si="313"/>
        <v>0.106530281893601</v>
      </c>
      <c r="BV181" s="463">
        <f t="shared" si="314"/>
        <v>6.9945777160980563E-2</v>
      </c>
      <c r="BW181" s="463">
        <f t="shared" si="315"/>
        <v>0</v>
      </c>
      <c r="BX181" s="463"/>
      <c r="BY181" s="463">
        <f t="shared" si="316"/>
        <v>0.65740740740740733</v>
      </c>
      <c r="BZ181" s="147">
        <f t="shared" si="317"/>
        <v>833.88346646198897</v>
      </c>
      <c r="CA181" s="153">
        <f t="shared" si="318"/>
        <v>1.2225974821802645</v>
      </c>
      <c r="CB181" s="5">
        <f t="shared" si="319"/>
        <v>5.3249999999999993</v>
      </c>
      <c r="CC181" s="153">
        <f t="shared" si="320"/>
        <v>0.81327540590153147</v>
      </c>
      <c r="CD181" s="5">
        <f t="shared" si="321"/>
        <v>81.327540590153149</v>
      </c>
      <c r="CG181" s="59">
        <f t="shared" si="356"/>
        <v>-50</v>
      </c>
      <c r="CH181">
        <f t="shared" si="357"/>
        <v>-50</v>
      </c>
    </row>
    <row r="182" spans="5:86" x14ac:dyDescent="0.25">
      <c r="E182" s="150">
        <v>72</v>
      </c>
      <c r="F182" s="191">
        <f t="shared" si="358"/>
        <v>0.36</v>
      </c>
      <c r="G182" s="191"/>
      <c r="H182" s="191">
        <f t="shared" si="322"/>
        <v>5.3999999999999995</v>
      </c>
      <c r="I182" s="472">
        <f t="shared" si="323"/>
        <v>9</v>
      </c>
      <c r="J182" s="386">
        <f t="shared" si="324"/>
        <v>7.66</v>
      </c>
      <c r="K182" s="386">
        <f t="shared" si="325"/>
        <v>16.66</v>
      </c>
      <c r="L182" s="386"/>
      <c r="M182" s="191">
        <f t="shared" si="326"/>
        <v>0.45978391356542619</v>
      </c>
      <c r="N182" s="152">
        <f t="shared" si="327"/>
        <v>7.6905756302521011</v>
      </c>
      <c r="O182" s="152">
        <f t="shared" si="262"/>
        <v>5.3999999999999995</v>
      </c>
      <c r="P182" s="191">
        <f t="shared" si="328"/>
        <v>0.51270504201680678</v>
      </c>
      <c r="Q182" s="191">
        <f t="shared" si="329"/>
        <v>15</v>
      </c>
      <c r="R182" s="191"/>
      <c r="S182" s="152">
        <f t="shared" si="330"/>
        <v>28.326074669616411</v>
      </c>
      <c r="T182" s="152">
        <f t="shared" si="331"/>
        <v>15</v>
      </c>
      <c r="U182" s="191">
        <f t="shared" si="332"/>
        <v>2.8999129677980848</v>
      </c>
      <c r="V182" s="191">
        <f t="shared" si="333"/>
        <v>2.8999129677980848</v>
      </c>
      <c r="W182" s="191">
        <f t="shared" si="334"/>
        <v>3.4072084478045381</v>
      </c>
      <c r="X182" s="175">
        <f t="shared" si="335"/>
        <v>350</v>
      </c>
      <c r="Y182" s="386">
        <f t="shared" si="303"/>
        <v>158.5509353801545</v>
      </c>
      <c r="AA182" s="191">
        <f t="shared" si="336"/>
        <v>1.3136683244726464</v>
      </c>
      <c r="AB182" s="153">
        <f t="shared" si="337"/>
        <v>1.5434745326702111</v>
      </c>
      <c r="AC182" s="153">
        <f t="shared" si="338"/>
        <v>0.17741619027991926</v>
      </c>
      <c r="AD182" s="153"/>
      <c r="AE182" s="153">
        <f t="shared" si="339"/>
        <v>0.96344647519582249</v>
      </c>
      <c r="AF182" s="317">
        <f t="shared" si="340"/>
        <v>1822.7245687091017</v>
      </c>
      <c r="AG182" s="463">
        <f t="shared" si="341"/>
        <v>6.9127284595300251E-2</v>
      </c>
      <c r="AI182" s="153">
        <f t="shared" si="342"/>
        <v>1.8712867994282132</v>
      </c>
      <c r="AJ182" s="153">
        <f t="shared" si="343"/>
        <v>2.8999129677980848</v>
      </c>
      <c r="AK182" s="153">
        <f t="shared" si="344"/>
        <v>2.5866086451987238</v>
      </c>
      <c r="AM182" s="317">
        <f t="shared" si="345"/>
        <v>360</v>
      </c>
      <c r="AN182" s="147">
        <f t="shared" si="346"/>
        <v>158.5509353801545</v>
      </c>
      <c r="AP182">
        <f t="shared" si="347"/>
        <v>360</v>
      </c>
      <c r="AQ182">
        <f t="shared" si="348"/>
        <v>158.5509353801545</v>
      </c>
      <c r="AS182" s="5">
        <f t="shared" si="263"/>
        <v>6.3071214156026221</v>
      </c>
      <c r="AT182" s="5">
        <f t="shared" si="349"/>
        <v>2.8999129677980848</v>
      </c>
      <c r="AU182" s="5">
        <f t="shared" si="304"/>
        <v>3.4072084478045372</v>
      </c>
      <c r="AV182" s="5"/>
      <c r="AW182" s="153">
        <f t="shared" si="305"/>
        <v>0.45978391356542625</v>
      </c>
      <c r="AX182" s="153">
        <f t="shared" si="259"/>
        <v>5.9999999999999991</v>
      </c>
      <c r="AY182" s="153">
        <f t="shared" si="260"/>
        <v>0.39164490861618789</v>
      </c>
      <c r="AZ182" s="153">
        <f t="shared" si="264"/>
        <v>15.320000000000002</v>
      </c>
      <c r="BA182" s="147">
        <f t="shared" si="350"/>
        <v>17.910795069528412</v>
      </c>
      <c r="BB182" s="147">
        <f t="shared" si="351"/>
        <v>12.436078080000005</v>
      </c>
      <c r="BC182" s="5">
        <f t="shared" si="359"/>
        <v>4.0927428802456891</v>
      </c>
      <c r="BD182" s="147">
        <f t="shared" si="352"/>
        <v>105.24874084256173</v>
      </c>
      <c r="BF182" s="153">
        <f t="shared" si="265"/>
        <v>1.1352753885777054</v>
      </c>
      <c r="BG182" s="153">
        <f t="shared" si="261"/>
        <v>0.61528750712388625</v>
      </c>
      <c r="BI182" s="463">
        <f t="shared" si="306"/>
        <v>0.14177352287012859</v>
      </c>
      <c r="BJ182" s="463">
        <f t="shared" si="307"/>
        <v>3.8300000000000001E-2</v>
      </c>
      <c r="BK182" s="463">
        <f t="shared" si="308"/>
        <v>7.9275467690077261E-3</v>
      </c>
      <c r="BL182" s="463">
        <f t="shared" si="309"/>
        <v>9.9015075000000018E-3</v>
      </c>
      <c r="BM182">
        <f t="shared" si="310"/>
        <v>2.6099999999999999E-3</v>
      </c>
      <c r="BN182">
        <f t="shared" si="353"/>
        <v>6.34203741520618E-6</v>
      </c>
      <c r="BO182" s="463">
        <f t="shared" si="354"/>
        <v>0.22555832228828199</v>
      </c>
      <c r="BP182" s="147">
        <f t="shared" si="311"/>
        <v>200.51257713913631</v>
      </c>
      <c r="BQ182" s="463">
        <f t="shared" si="355"/>
        <v>0.19536682786939258</v>
      </c>
      <c r="BT182" s="147">
        <f t="shared" si="312"/>
        <v>195.36682786939258</v>
      </c>
      <c r="BU182" s="463">
        <f t="shared" si="313"/>
        <v>0.1095522676723721</v>
      </c>
      <c r="BV182" s="463">
        <f t="shared" si="314"/>
        <v>7.1929956120318009E-2</v>
      </c>
      <c r="BW182" s="463">
        <f t="shared" si="315"/>
        <v>0</v>
      </c>
      <c r="BX182" s="463"/>
      <c r="BY182" s="463">
        <f t="shared" si="316"/>
        <v>0.66666666666666674</v>
      </c>
      <c r="BZ182" s="147">
        <f t="shared" si="317"/>
        <v>848.14889045935683</v>
      </c>
      <c r="CA182" s="153">
        <f t="shared" si="318"/>
        <v>1.2440282954678858</v>
      </c>
      <c r="CB182" s="5">
        <f t="shared" si="319"/>
        <v>5.3999999999999995</v>
      </c>
      <c r="CC182" s="153">
        <f t="shared" si="320"/>
        <v>0.81275993416276093</v>
      </c>
      <c r="CD182" s="5">
        <f t="shared" si="321"/>
        <v>81.275993416276094</v>
      </c>
      <c r="CG182" s="59">
        <f t="shared" si="356"/>
        <v>-50</v>
      </c>
      <c r="CH182">
        <f t="shared" si="357"/>
        <v>-50</v>
      </c>
    </row>
    <row r="183" spans="5:86" x14ac:dyDescent="0.25">
      <c r="E183" s="150">
        <v>73</v>
      </c>
      <c r="F183" s="191">
        <f t="shared" si="358"/>
        <v>0.36499999999999999</v>
      </c>
      <c r="G183" s="191"/>
      <c r="H183" s="191">
        <f t="shared" si="322"/>
        <v>5.4749999999999996</v>
      </c>
      <c r="I183" s="472">
        <f t="shared" si="323"/>
        <v>9</v>
      </c>
      <c r="J183" s="386">
        <f t="shared" si="324"/>
        <v>7.66</v>
      </c>
      <c r="K183" s="386">
        <f t="shared" si="325"/>
        <v>16.66</v>
      </c>
      <c r="L183" s="386"/>
      <c r="M183" s="191">
        <f t="shared" si="326"/>
        <v>0.45978391356542619</v>
      </c>
      <c r="N183" s="152">
        <f t="shared" si="327"/>
        <v>7.6905756302521011</v>
      </c>
      <c r="O183" s="152">
        <f t="shared" si="262"/>
        <v>5.4749999999999996</v>
      </c>
      <c r="P183" s="191">
        <f t="shared" si="328"/>
        <v>0.51270504201680678</v>
      </c>
      <c r="Q183" s="191">
        <f t="shared" si="329"/>
        <v>15</v>
      </c>
      <c r="R183" s="191"/>
      <c r="S183" s="152">
        <f t="shared" si="330"/>
        <v>27.698727473011843</v>
      </c>
      <c r="T183" s="152">
        <f t="shared" si="331"/>
        <v>15</v>
      </c>
      <c r="U183" s="191">
        <f t="shared" si="332"/>
        <v>2.9401895367952804</v>
      </c>
      <c r="V183" s="191">
        <f t="shared" si="333"/>
        <v>2.9401895367952804</v>
      </c>
      <c r="W183" s="191">
        <f t="shared" si="334"/>
        <v>3.4545307873573794</v>
      </c>
      <c r="X183" s="175">
        <f t="shared" si="335"/>
        <v>350</v>
      </c>
      <c r="Y183" s="386">
        <f t="shared" si="303"/>
        <v>156.37900475850853</v>
      </c>
      <c r="AA183" s="191">
        <f t="shared" si="336"/>
        <v>1.3136683244726464</v>
      </c>
      <c r="AB183" s="153">
        <f t="shared" si="337"/>
        <v>1.5434745326702111</v>
      </c>
      <c r="AC183" s="153">
        <f t="shared" si="338"/>
        <v>0.17741619027991926</v>
      </c>
      <c r="AD183" s="153"/>
      <c r="AE183" s="153">
        <f t="shared" si="339"/>
        <v>0.96344647519582249</v>
      </c>
      <c r="AF183" s="317">
        <f t="shared" si="340"/>
        <v>1848.0401877189504</v>
      </c>
      <c r="AG183" s="463">
        <f t="shared" si="341"/>
        <v>6.9127284595300251E-2</v>
      </c>
      <c r="AI183" s="153">
        <f t="shared" si="342"/>
        <v>1.8842370356059788</v>
      </c>
      <c r="AJ183" s="153">
        <f t="shared" si="343"/>
        <v>2.9401895367952804</v>
      </c>
      <c r="AK183" s="153">
        <f t="shared" si="344"/>
        <v>2.6134596911968542</v>
      </c>
      <c r="AM183" s="317">
        <f t="shared" si="345"/>
        <v>365</v>
      </c>
      <c r="AN183" s="147">
        <f t="shared" si="346"/>
        <v>156.37900475850853</v>
      </c>
      <c r="AP183">
        <f t="shared" si="347"/>
        <v>365</v>
      </c>
      <c r="AQ183">
        <f t="shared" si="348"/>
        <v>156.37900475850853</v>
      </c>
      <c r="AS183" s="5">
        <f t="shared" si="263"/>
        <v>6.3947203241526598</v>
      </c>
      <c r="AT183" s="5">
        <f t="shared" si="349"/>
        <v>2.9401895367952804</v>
      </c>
      <c r="AU183" s="5">
        <f t="shared" si="304"/>
        <v>3.4545307873573794</v>
      </c>
      <c r="AV183" s="5"/>
      <c r="AW183" s="153">
        <f t="shared" si="305"/>
        <v>0.45978391356542614</v>
      </c>
      <c r="AX183" s="153">
        <f t="shared" si="259"/>
        <v>6.0833333333333321</v>
      </c>
      <c r="AY183" s="153">
        <f t="shared" si="260"/>
        <v>0.39708442123585724</v>
      </c>
      <c r="AZ183" s="153">
        <f t="shared" si="264"/>
        <v>15.319999999999999</v>
      </c>
      <c r="BA183" s="147">
        <f t="shared" si="350"/>
        <v>17.910795069528412</v>
      </c>
      <c r="BB183" s="147">
        <f t="shared" si="351"/>
        <v>12.768715294814818</v>
      </c>
      <c r="BC183" s="5">
        <f t="shared" si="359"/>
        <v>4.2072196776291069</v>
      </c>
      <c r="BD183" s="147">
        <f t="shared" si="352"/>
        <v>108.1644560088757</v>
      </c>
      <c r="BF183" s="153">
        <f t="shared" si="265"/>
        <v>1.151043102307951</v>
      </c>
      <c r="BG183" s="153">
        <f t="shared" si="261"/>
        <v>0.62383316694505142</v>
      </c>
      <c r="BI183" s="463">
        <f t="shared" si="306"/>
        <v>0.14573902457077836</v>
      </c>
      <c r="BJ183" s="463">
        <f t="shared" si="307"/>
        <v>3.8300000000000001E-2</v>
      </c>
      <c r="BK183" s="463">
        <f t="shared" si="308"/>
        <v>7.8189502379254257E-3</v>
      </c>
      <c r="BL183" s="463">
        <f t="shared" si="309"/>
        <v>9.7658704109589052E-3</v>
      </c>
      <c r="BM183">
        <f t="shared" si="310"/>
        <v>2.6099999999999999E-3</v>
      </c>
      <c r="BN183">
        <f t="shared" si="353"/>
        <v>6.2551601903403417E-6</v>
      </c>
      <c r="BO183" s="463">
        <f t="shared" si="354"/>
        <v>0.23010204816230143</v>
      </c>
      <c r="BP183" s="147">
        <f t="shared" si="311"/>
        <v>204.2338452196627</v>
      </c>
      <c r="BQ183" s="463">
        <f t="shared" si="355"/>
        <v>0.19889484292360979</v>
      </c>
      <c r="BT183" s="147">
        <f t="shared" si="312"/>
        <v>198.89484292360979</v>
      </c>
      <c r="BU183" s="463">
        <f t="shared" si="313"/>
        <v>0.11261651898651055</v>
      </c>
      <c r="BV183" s="463">
        <f t="shared" si="314"/>
        <v>7.3941885834331561E-2</v>
      </c>
      <c r="BW183" s="463">
        <f t="shared" si="315"/>
        <v>0</v>
      </c>
      <c r="BX183" s="463"/>
      <c r="BY183" s="463">
        <f t="shared" si="316"/>
        <v>0.67592592592592593</v>
      </c>
      <c r="BZ183" s="147">
        <f t="shared" si="317"/>
        <v>862.48433074676802</v>
      </c>
      <c r="CA183" s="153">
        <f t="shared" si="318"/>
        <v>1.2656130188900407</v>
      </c>
      <c r="CB183" s="5">
        <f t="shared" si="319"/>
        <v>5.4749999999999996</v>
      </c>
      <c r="CC183" s="153">
        <f t="shared" si="320"/>
        <v>0.81224066485596202</v>
      </c>
      <c r="CD183" s="5">
        <f t="shared" si="321"/>
        <v>81.224066485596197</v>
      </c>
      <c r="CG183" s="59">
        <f t="shared" si="356"/>
        <v>-50</v>
      </c>
      <c r="CH183">
        <f t="shared" si="357"/>
        <v>-50</v>
      </c>
    </row>
    <row r="184" spans="5:86" x14ac:dyDescent="0.25">
      <c r="E184" s="150">
        <v>74</v>
      </c>
      <c r="F184" s="191">
        <f t="shared" si="358"/>
        <v>0.37</v>
      </c>
      <c r="G184" s="191"/>
      <c r="H184" s="191">
        <f t="shared" si="322"/>
        <v>5.55</v>
      </c>
      <c r="I184" s="472">
        <f t="shared" si="323"/>
        <v>9</v>
      </c>
      <c r="J184" s="386">
        <f t="shared" si="324"/>
        <v>7.66</v>
      </c>
      <c r="K184" s="386">
        <f t="shared" si="325"/>
        <v>16.66</v>
      </c>
      <c r="L184" s="386"/>
      <c r="M184" s="191">
        <f t="shared" si="326"/>
        <v>0.45978391356542619</v>
      </c>
      <c r="N184" s="152">
        <f t="shared" si="327"/>
        <v>7.6905756302521011</v>
      </c>
      <c r="O184" s="152">
        <f t="shared" si="262"/>
        <v>5.55</v>
      </c>
      <c r="P184" s="191">
        <f t="shared" si="328"/>
        <v>0.51270504201680678</v>
      </c>
      <c r="Q184" s="191">
        <f t="shared" si="329"/>
        <v>15</v>
      </c>
      <c r="R184" s="191"/>
      <c r="S184" s="152">
        <f t="shared" si="330"/>
        <v>27.088531918057935</v>
      </c>
      <c r="T184" s="152">
        <f t="shared" si="331"/>
        <v>15</v>
      </c>
      <c r="U184" s="191">
        <f t="shared" si="332"/>
        <v>2.9804661057924764</v>
      </c>
      <c r="V184" s="191">
        <f t="shared" si="333"/>
        <v>2.9804661057924764</v>
      </c>
      <c r="W184" s="191">
        <f t="shared" si="334"/>
        <v>3.5018531269102202</v>
      </c>
      <c r="X184" s="175">
        <f t="shared" si="335"/>
        <v>350</v>
      </c>
      <c r="Y184" s="386">
        <f t="shared" si="303"/>
        <v>154.26577496447464</v>
      </c>
      <c r="AA184" s="191">
        <f t="shared" si="336"/>
        <v>1.3136683244726464</v>
      </c>
      <c r="AB184" s="153">
        <f t="shared" si="337"/>
        <v>1.5434745326702111</v>
      </c>
      <c r="AC184" s="153">
        <f t="shared" si="338"/>
        <v>0.17741619027991926</v>
      </c>
      <c r="AD184" s="153"/>
      <c r="AE184" s="153">
        <f t="shared" si="339"/>
        <v>0.96344647519582249</v>
      </c>
      <c r="AF184" s="317">
        <f t="shared" si="340"/>
        <v>1873.3558067287991</v>
      </c>
      <c r="AG184" s="463">
        <f t="shared" si="341"/>
        <v>6.9127284595300251E-2</v>
      </c>
      <c r="AI184" s="153">
        <f t="shared" si="342"/>
        <v>1.8970988711672692</v>
      </c>
      <c r="AJ184" s="153">
        <f t="shared" si="343"/>
        <v>2.9804661057924764</v>
      </c>
      <c r="AK184" s="153">
        <f t="shared" si="344"/>
        <v>2.6403107371949845</v>
      </c>
      <c r="AM184" s="317">
        <f t="shared" si="345"/>
        <v>370</v>
      </c>
      <c r="AN184" s="147">
        <f t="shared" si="346"/>
        <v>154.26577496447464</v>
      </c>
      <c r="AP184">
        <f t="shared" si="347"/>
        <v>370</v>
      </c>
      <c r="AQ184">
        <f t="shared" si="348"/>
        <v>154.26577496447464</v>
      </c>
      <c r="AS184" s="5">
        <f t="shared" si="263"/>
        <v>6.4823192327026957</v>
      </c>
      <c r="AT184" s="5">
        <f t="shared" si="349"/>
        <v>2.9804661057924764</v>
      </c>
      <c r="AU184" s="5">
        <f t="shared" si="304"/>
        <v>3.5018531269102193</v>
      </c>
      <c r="AV184" s="5"/>
      <c r="AW184" s="153">
        <f t="shared" si="305"/>
        <v>0.45978391356542625</v>
      </c>
      <c r="AX184" s="153">
        <f t="shared" si="259"/>
        <v>6.1666666666666687</v>
      </c>
      <c r="AY184" s="153">
        <f t="shared" si="260"/>
        <v>0.40252393385552648</v>
      </c>
      <c r="AZ184" s="153">
        <f t="shared" si="264"/>
        <v>15.320000000000007</v>
      </c>
      <c r="BA184" s="147">
        <f t="shared" si="350"/>
        <v>17.910795069528412</v>
      </c>
      <c r="BB184" s="147">
        <f t="shared" si="351"/>
        <v>13.105733712592597</v>
      </c>
      <c r="BC184" s="5">
        <f t="shared" si="359"/>
        <v>4.3232754653212577</v>
      </c>
      <c r="BD184" s="147">
        <f t="shared" si="352"/>
        <v>111.12000479434187</v>
      </c>
      <c r="BF184" s="153">
        <f t="shared" si="265"/>
        <v>1.1668108160381974</v>
      </c>
      <c r="BG184" s="153">
        <f t="shared" si="261"/>
        <v>0.63237882676621648</v>
      </c>
      <c r="BI184" s="463">
        <f t="shared" si="306"/>
        <v>0.14975922284660964</v>
      </c>
      <c r="BJ184" s="463">
        <f t="shared" si="307"/>
        <v>3.8300000000000008E-2</v>
      </c>
      <c r="BK184" s="463">
        <f t="shared" si="308"/>
        <v>7.7132887482237317E-3</v>
      </c>
      <c r="BL184" s="463">
        <f t="shared" si="309"/>
        <v>9.6338991891891917E-3</v>
      </c>
      <c r="BM184">
        <f t="shared" si="310"/>
        <v>2.6099999999999999E-3</v>
      </c>
      <c r="BN184">
        <f t="shared" si="353"/>
        <v>6.1706309985789858E-6</v>
      </c>
      <c r="BO184" s="463">
        <f t="shared" si="354"/>
        <v>0.23472568245185441</v>
      </c>
      <c r="BP184" s="147">
        <f t="shared" si="311"/>
        <v>208.01641078402258</v>
      </c>
      <c r="BQ184" s="463">
        <f t="shared" si="355"/>
        <v>0.20244517542685067</v>
      </c>
      <c r="BT184" s="147">
        <f t="shared" si="312"/>
        <v>202.44517542685068</v>
      </c>
      <c r="BU184" s="463">
        <f t="shared" si="313"/>
        <v>0.11572303583601655</v>
      </c>
      <c r="BV184" s="463">
        <f t="shared" si="314"/>
        <v>7.5981566303021122E-2</v>
      </c>
      <c r="BW184" s="463">
        <f t="shared" si="315"/>
        <v>0</v>
      </c>
      <c r="BX184" s="463"/>
      <c r="BY184" s="463">
        <f t="shared" si="316"/>
        <v>0.68518518518518534</v>
      </c>
      <c r="BZ184" s="147">
        <f t="shared" si="317"/>
        <v>876.88978732422299</v>
      </c>
      <c r="CA184" s="153">
        <f t="shared" si="318"/>
        <v>1.2873513735350963</v>
      </c>
      <c r="CB184" s="5">
        <f t="shared" si="319"/>
        <v>5.55</v>
      </c>
      <c r="CC184" s="153">
        <f t="shared" si="320"/>
        <v>0.81171782709340257</v>
      </c>
      <c r="CD184" s="5">
        <f t="shared" si="321"/>
        <v>81.171782709340263</v>
      </c>
      <c r="CG184" s="59">
        <f t="shared" si="356"/>
        <v>-50</v>
      </c>
      <c r="CH184">
        <f t="shared" si="357"/>
        <v>-50</v>
      </c>
    </row>
    <row r="185" spans="5:86" x14ac:dyDescent="0.25">
      <c r="E185" s="150">
        <v>75</v>
      </c>
      <c r="F185" s="191">
        <f t="shared" si="358"/>
        <v>0.375</v>
      </c>
      <c r="G185" s="191"/>
      <c r="H185" s="191">
        <f t="shared" si="322"/>
        <v>5.625</v>
      </c>
      <c r="I185" s="472">
        <f t="shared" si="323"/>
        <v>9</v>
      </c>
      <c r="J185" s="386">
        <f t="shared" si="324"/>
        <v>7.66</v>
      </c>
      <c r="K185" s="386">
        <f t="shared" si="325"/>
        <v>16.66</v>
      </c>
      <c r="L185" s="386"/>
      <c r="M185" s="191">
        <f t="shared" si="326"/>
        <v>0.45978391356542619</v>
      </c>
      <c r="N185" s="152">
        <f t="shared" si="327"/>
        <v>7.6905756302521011</v>
      </c>
      <c r="O185" s="152">
        <f t="shared" si="262"/>
        <v>5.625</v>
      </c>
      <c r="P185" s="191">
        <f t="shared" si="328"/>
        <v>0.51270504201680678</v>
      </c>
      <c r="Q185" s="191">
        <f t="shared" si="329"/>
        <v>15</v>
      </c>
      <c r="R185" s="191"/>
      <c r="S185" s="152">
        <f t="shared" si="330"/>
        <v>26.494806694880992</v>
      </c>
      <c r="T185" s="152">
        <f t="shared" si="331"/>
        <v>15</v>
      </c>
      <c r="U185" s="191">
        <f t="shared" si="332"/>
        <v>3.020742674789672</v>
      </c>
      <c r="V185" s="191">
        <f t="shared" si="333"/>
        <v>3.020742674789672</v>
      </c>
      <c r="W185" s="191">
        <f t="shared" si="334"/>
        <v>3.549175466463061</v>
      </c>
      <c r="X185" s="175">
        <f t="shared" si="335"/>
        <v>350</v>
      </c>
      <c r="Y185" s="386">
        <f t="shared" si="303"/>
        <v>152.20889796494831</v>
      </c>
      <c r="AA185" s="191">
        <f t="shared" si="336"/>
        <v>1.3136683244726464</v>
      </c>
      <c r="AB185" s="153">
        <f t="shared" si="337"/>
        <v>1.5434745326702111</v>
      </c>
      <c r="AC185" s="153">
        <f t="shared" si="338"/>
        <v>0.17741619027991926</v>
      </c>
      <c r="AD185" s="153"/>
      <c r="AE185" s="153">
        <f t="shared" si="339"/>
        <v>0.96344647519582249</v>
      </c>
      <c r="AF185" s="317">
        <f t="shared" si="340"/>
        <v>1898.6714257386477</v>
      </c>
      <c r="AG185" s="463">
        <f t="shared" si="341"/>
        <v>6.9127284595300251E-2</v>
      </c>
      <c r="AI185" s="153">
        <f t="shared" si="342"/>
        <v>1.9098740920854043</v>
      </c>
      <c r="AJ185" s="153">
        <f t="shared" si="343"/>
        <v>3.020742674789672</v>
      </c>
      <c r="AK185" s="153">
        <f t="shared" si="344"/>
        <v>2.6671617831931149</v>
      </c>
      <c r="AM185" s="317">
        <f t="shared" si="345"/>
        <v>375</v>
      </c>
      <c r="AN185" s="147">
        <f t="shared" si="346"/>
        <v>152.20889796494831</v>
      </c>
      <c r="AP185">
        <f t="shared" si="347"/>
        <v>375</v>
      </c>
      <c r="AQ185">
        <f t="shared" si="348"/>
        <v>152.20889796494831</v>
      </c>
      <c r="AS185" s="5">
        <f t="shared" si="263"/>
        <v>6.5699181412527325</v>
      </c>
      <c r="AT185" s="5">
        <f t="shared" si="349"/>
        <v>3.020742674789672</v>
      </c>
      <c r="AU185" s="5">
        <f t="shared" si="304"/>
        <v>3.5491754664630606</v>
      </c>
      <c r="AV185" s="5"/>
      <c r="AW185" s="153">
        <f t="shared" si="305"/>
        <v>0.45978391356542619</v>
      </c>
      <c r="AX185" s="153">
        <f t="shared" si="259"/>
        <v>6.25</v>
      </c>
      <c r="AY185" s="153">
        <f t="shared" si="260"/>
        <v>0.40796344647519572</v>
      </c>
      <c r="AZ185" s="153">
        <f t="shared" si="264"/>
        <v>15.320000000000004</v>
      </c>
      <c r="BA185" s="147">
        <f t="shared" si="350"/>
        <v>17.910795069528412</v>
      </c>
      <c r="BB185" s="147">
        <f t="shared" si="351"/>
        <v>13.447133333333339</v>
      </c>
      <c r="BC185" s="5">
        <f t="shared" si="359"/>
        <v>4.440910243322147</v>
      </c>
      <c r="BD185" s="147">
        <f t="shared" si="352"/>
        <v>114.11538719896024</v>
      </c>
      <c r="BF185" s="153">
        <f t="shared" si="265"/>
        <v>1.182578529768443</v>
      </c>
      <c r="BG185" s="153">
        <f t="shared" si="261"/>
        <v>0.64092448658738155</v>
      </c>
      <c r="BI185" s="463">
        <f t="shared" si="306"/>
        <v>0.15383411769762215</v>
      </c>
      <c r="BJ185" s="463">
        <f t="shared" si="307"/>
        <v>3.8300000000000008E-2</v>
      </c>
      <c r="BK185" s="463">
        <f t="shared" si="308"/>
        <v>7.6104448982474149E-3</v>
      </c>
      <c r="BL185" s="463">
        <f t="shared" si="309"/>
        <v>9.5054472000000029E-3</v>
      </c>
      <c r="BM185">
        <f t="shared" si="310"/>
        <v>2.6099999999999999E-3</v>
      </c>
      <c r="BN185">
        <f t="shared" si="353"/>
        <v>6.088355918597932E-6</v>
      </c>
      <c r="BO185" s="463">
        <f t="shared" si="354"/>
        <v>0.23942928038318162</v>
      </c>
      <c r="BP185" s="147">
        <f t="shared" si="311"/>
        <v>211.86000979586956</v>
      </c>
      <c r="BQ185" s="463">
        <f t="shared" si="355"/>
        <v>0.20601782537911525</v>
      </c>
      <c r="BT185" s="147">
        <f t="shared" si="312"/>
        <v>206.01782537911527</v>
      </c>
      <c r="BU185" s="463">
        <f t="shared" si="313"/>
        <v>0.11887181822088985</v>
      </c>
      <c r="BV185" s="463">
        <f t="shared" si="314"/>
        <v>7.8048997526386735E-2</v>
      </c>
      <c r="BW185" s="463">
        <f t="shared" si="315"/>
        <v>0</v>
      </c>
      <c r="BX185" s="463"/>
      <c r="BY185" s="463">
        <f t="shared" si="316"/>
        <v>0.69444444444444453</v>
      </c>
      <c r="BZ185" s="147">
        <f t="shared" si="317"/>
        <v>891.36526019172118</v>
      </c>
      <c r="CA185" s="153">
        <f t="shared" si="318"/>
        <v>1.309243095366706</v>
      </c>
      <c r="CB185" s="5">
        <f t="shared" si="319"/>
        <v>5.625</v>
      </c>
      <c r="CC185" s="153">
        <f t="shared" si="320"/>
        <v>0.81119163586267828</v>
      </c>
      <c r="CD185" s="5">
        <f t="shared" si="321"/>
        <v>81.119163586267831</v>
      </c>
      <c r="CG185" s="59">
        <f t="shared" si="356"/>
        <v>-50</v>
      </c>
      <c r="CH185">
        <f t="shared" si="357"/>
        <v>-50</v>
      </c>
    </row>
    <row r="186" spans="5:86" x14ac:dyDescent="0.25">
      <c r="E186" s="150">
        <v>76</v>
      </c>
      <c r="F186" s="191">
        <f t="shared" si="358"/>
        <v>0.38</v>
      </c>
      <c r="G186" s="191"/>
      <c r="H186" s="191">
        <f t="shared" si="322"/>
        <v>5.7</v>
      </c>
      <c r="I186" s="472">
        <f t="shared" si="323"/>
        <v>9</v>
      </c>
      <c r="J186" s="386">
        <f t="shared" si="324"/>
        <v>7.66</v>
      </c>
      <c r="K186" s="386">
        <f t="shared" si="325"/>
        <v>16.66</v>
      </c>
      <c r="L186" s="386"/>
      <c r="M186" s="191">
        <f t="shared" si="326"/>
        <v>0.45978391356542619</v>
      </c>
      <c r="N186" s="152">
        <f t="shared" si="327"/>
        <v>7.6905756302521011</v>
      </c>
      <c r="O186" s="152">
        <f t="shared" si="262"/>
        <v>5.7</v>
      </c>
      <c r="P186" s="191">
        <f t="shared" si="328"/>
        <v>0.51270504201680678</v>
      </c>
      <c r="Q186" s="191">
        <f t="shared" si="329"/>
        <v>15</v>
      </c>
      <c r="R186" s="191"/>
      <c r="S186" s="152">
        <f t="shared" si="330"/>
        <v>25.916906498090004</v>
      </c>
      <c r="T186" s="152">
        <f t="shared" si="331"/>
        <v>15</v>
      </c>
      <c r="U186" s="191">
        <f t="shared" si="332"/>
        <v>3.061019243786868</v>
      </c>
      <c r="V186" s="191">
        <f t="shared" si="333"/>
        <v>3.061019243786868</v>
      </c>
      <c r="W186" s="191">
        <f t="shared" si="334"/>
        <v>3.5964978060159023</v>
      </c>
      <c r="X186" s="175">
        <f t="shared" si="335"/>
        <v>350</v>
      </c>
      <c r="Y186" s="386">
        <f t="shared" si="303"/>
        <v>150.20614930751475</v>
      </c>
      <c r="AA186" s="191">
        <f t="shared" si="336"/>
        <v>1.3136683244726464</v>
      </c>
      <c r="AB186" s="153">
        <f t="shared" si="337"/>
        <v>1.5434745326702111</v>
      </c>
      <c r="AC186" s="153">
        <f t="shared" si="338"/>
        <v>0.17741619027991926</v>
      </c>
      <c r="AD186" s="153"/>
      <c r="AE186" s="153">
        <f t="shared" si="339"/>
        <v>0.96344647519582249</v>
      </c>
      <c r="AF186" s="317">
        <f t="shared" si="340"/>
        <v>1923.9870447484966</v>
      </c>
      <c r="AG186" s="463">
        <f t="shared" si="341"/>
        <v>6.9127284595300251E-2</v>
      </c>
      <c r="AI186" s="153">
        <f t="shared" si="342"/>
        <v>1.9225644249943792</v>
      </c>
      <c r="AJ186" s="153">
        <f t="shared" si="343"/>
        <v>3.061019243786868</v>
      </c>
      <c r="AK186" s="153">
        <f t="shared" si="344"/>
        <v>2.6940128291912453</v>
      </c>
      <c r="AM186" s="317">
        <f t="shared" si="345"/>
        <v>380</v>
      </c>
      <c r="AN186" s="147">
        <f t="shared" si="346"/>
        <v>150.20614930751475</v>
      </c>
      <c r="AP186">
        <f t="shared" si="347"/>
        <v>380</v>
      </c>
      <c r="AQ186">
        <f t="shared" si="348"/>
        <v>150.20614930751475</v>
      </c>
      <c r="AS186" s="5">
        <f t="shared" si="263"/>
        <v>6.6575170498027703</v>
      </c>
      <c r="AT186" s="5">
        <f t="shared" si="349"/>
        <v>3.061019243786868</v>
      </c>
      <c r="AU186" s="5">
        <f t="shared" si="304"/>
        <v>3.5964978060159023</v>
      </c>
      <c r="AV186" s="5"/>
      <c r="AW186" s="153">
        <f t="shared" si="305"/>
        <v>0.45978391356542619</v>
      </c>
      <c r="AX186" s="153">
        <f t="shared" si="259"/>
        <v>6.3333333333333339</v>
      </c>
      <c r="AY186" s="153">
        <f t="shared" si="260"/>
        <v>0.41340295909486507</v>
      </c>
      <c r="AZ186" s="153">
        <f t="shared" si="264"/>
        <v>15.320000000000002</v>
      </c>
      <c r="BA186" s="147">
        <f t="shared" si="350"/>
        <v>17.910795069528412</v>
      </c>
      <c r="BB186" s="147">
        <f t="shared" si="351"/>
        <v>13.792914157037044</v>
      </c>
      <c r="BC186" s="5">
        <f t="shared" si="359"/>
        <v>4.5601240116317738</v>
      </c>
      <c r="BD186" s="147">
        <f t="shared" si="352"/>
        <v>117.15060322273085</v>
      </c>
      <c r="BF186" s="153">
        <f t="shared" si="265"/>
        <v>1.1983462434986891</v>
      </c>
      <c r="BG186" s="153">
        <f t="shared" si="261"/>
        <v>0.64947014640854672</v>
      </c>
      <c r="BI186" s="463">
        <f t="shared" si="306"/>
        <v>0.15796370912381616</v>
      </c>
      <c r="BJ186" s="463">
        <f t="shared" si="307"/>
        <v>3.8300000000000001E-2</v>
      </c>
      <c r="BK186" s="463">
        <f t="shared" si="308"/>
        <v>7.510307465375737E-3</v>
      </c>
      <c r="BL186" s="463">
        <f t="shared" si="309"/>
        <v>9.3803755263157894E-3</v>
      </c>
      <c r="BM186">
        <f t="shared" si="310"/>
        <v>2.6099999999999999E-3</v>
      </c>
      <c r="BN186">
        <f t="shared" si="353"/>
        <v>6.0082459723005898E-6</v>
      </c>
      <c r="BO186" s="463">
        <f t="shared" si="354"/>
        <v>0.24421291665842179</v>
      </c>
      <c r="BP186" s="147">
        <f t="shared" si="311"/>
        <v>215.76439211550769</v>
      </c>
      <c r="BQ186" s="463">
        <f t="shared" si="355"/>
        <v>0.20961279278040354</v>
      </c>
      <c r="BT186" s="147">
        <f t="shared" si="312"/>
        <v>209.61279278040354</v>
      </c>
      <c r="BU186" s="463">
        <f t="shared" si="313"/>
        <v>0.12206286614113067</v>
      </c>
      <c r="BV186" s="463">
        <f t="shared" si="314"/>
        <v>8.0144179504428439E-2</v>
      </c>
      <c r="BW186" s="463">
        <f t="shared" si="315"/>
        <v>0</v>
      </c>
      <c r="BX186" s="463"/>
      <c r="BY186" s="463">
        <f t="shared" si="316"/>
        <v>0.70370370370370394</v>
      </c>
      <c r="BZ186" s="147">
        <f t="shared" si="317"/>
        <v>905.91074934926303</v>
      </c>
      <c r="CA186" s="153">
        <f t="shared" si="318"/>
        <v>1.3312879342451742</v>
      </c>
      <c r="CB186" s="5">
        <f t="shared" si="319"/>
        <v>5.7</v>
      </c>
      <c r="CC186" s="153">
        <f t="shared" si="320"/>
        <v>0.81066229306849014</v>
      </c>
      <c r="CD186" s="5">
        <f t="shared" si="321"/>
        <v>81.06622930684901</v>
      </c>
      <c r="CG186" s="59">
        <f t="shared" si="356"/>
        <v>-50</v>
      </c>
      <c r="CH186">
        <f t="shared" si="357"/>
        <v>-50</v>
      </c>
    </row>
    <row r="187" spans="5:86" x14ac:dyDescent="0.25">
      <c r="E187" s="150">
        <v>77</v>
      </c>
      <c r="F187" s="191">
        <f t="shared" si="358"/>
        <v>0.38500000000000001</v>
      </c>
      <c r="G187" s="191"/>
      <c r="H187" s="191">
        <f t="shared" si="322"/>
        <v>5.7750000000000004</v>
      </c>
      <c r="I187" s="472">
        <f t="shared" si="323"/>
        <v>9</v>
      </c>
      <c r="J187" s="386">
        <f t="shared" si="324"/>
        <v>7.66</v>
      </c>
      <c r="K187" s="386">
        <f t="shared" si="325"/>
        <v>16.66</v>
      </c>
      <c r="L187" s="386"/>
      <c r="M187" s="191">
        <f t="shared" si="326"/>
        <v>0.45978391356542619</v>
      </c>
      <c r="N187" s="152">
        <f t="shared" si="327"/>
        <v>7.6905756302521011</v>
      </c>
      <c r="O187" s="152">
        <f t="shared" si="262"/>
        <v>5.7750000000000004</v>
      </c>
      <c r="P187" s="191">
        <f t="shared" si="328"/>
        <v>0.51270504201680678</v>
      </c>
      <c r="Q187" s="191">
        <f t="shared" si="329"/>
        <v>15</v>
      </c>
      <c r="R187" s="191"/>
      <c r="S187" s="152">
        <f t="shared" si="330"/>
        <v>25.354219694087906</v>
      </c>
      <c r="T187" s="152">
        <f t="shared" si="331"/>
        <v>15</v>
      </c>
      <c r="U187" s="191">
        <f t="shared" si="332"/>
        <v>3.1012958127840635</v>
      </c>
      <c r="V187" s="191">
        <f t="shared" si="333"/>
        <v>3.1012958127840635</v>
      </c>
      <c r="W187" s="191">
        <f t="shared" si="334"/>
        <v>3.6438201455687431</v>
      </c>
      <c r="X187" s="175">
        <f t="shared" si="335"/>
        <v>350</v>
      </c>
      <c r="Y187" s="386">
        <f t="shared" si="303"/>
        <v>148.25542009572885</v>
      </c>
      <c r="AA187" s="191">
        <f t="shared" si="336"/>
        <v>1.3136683244726464</v>
      </c>
      <c r="AB187" s="153">
        <f t="shared" si="337"/>
        <v>1.5434745326702111</v>
      </c>
      <c r="AC187" s="153">
        <f t="shared" si="338"/>
        <v>0.17741619027991926</v>
      </c>
      <c r="AD187" s="153"/>
      <c r="AE187" s="153">
        <f t="shared" si="339"/>
        <v>0.96344647519582249</v>
      </c>
      <c r="AF187" s="317">
        <f t="shared" si="340"/>
        <v>1949.3026637583453</v>
      </c>
      <c r="AG187" s="463">
        <f t="shared" si="341"/>
        <v>6.9127284595300251E-2</v>
      </c>
      <c r="AI187" s="153">
        <f t="shared" si="342"/>
        <v>1.9351715399129064</v>
      </c>
      <c r="AJ187" s="153">
        <f t="shared" si="343"/>
        <v>3.1012958127840635</v>
      </c>
      <c r="AK187" s="153">
        <f t="shared" si="344"/>
        <v>2.7208638751893757</v>
      </c>
      <c r="AM187" s="317">
        <f t="shared" si="345"/>
        <v>385</v>
      </c>
      <c r="AN187" s="147">
        <f t="shared" si="346"/>
        <v>148.25542009572885</v>
      </c>
      <c r="AP187">
        <f t="shared" si="347"/>
        <v>385</v>
      </c>
      <c r="AQ187">
        <f t="shared" si="348"/>
        <v>148.25542009572885</v>
      </c>
      <c r="AS187" s="5">
        <f t="shared" si="263"/>
        <v>6.7451159583528062</v>
      </c>
      <c r="AT187" s="5">
        <f t="shared" si="349"/>
        <v>3.1012958127840635</v>
      </c>
      <c r="AU187" s="5">
        <f t="shared" si="304"/>
        <v>3.6438201455687427</v>
      </c>
      <c r="AV187" s="5"/>
      <c r="AW187" s="153">
        <f t="shared" si="305"/>
        <v>0.45978391356542619</v>
      </c>
      <c r="AX187" s="153">
        <f t="shared" si="259"/>
        <v>6.4166666666666679</v>
      </c>
      <c r="AY187" s="153">
        <f t="shared" si="260"/>
        <v>0.41884247171453431</v>
      </c>
      <c r="AZ187" s="153">
        <f t="shared" si="264"/>
        <v>15.320000000000006</v>
      </c>
      <c r="BA187" s="147">
        <f t="shared" si="350"/>
        <v>17.910795069528412</v>
      </c>
      <c r="BB187" s="147">
        <f t="shared" si="351"/>
        <v>14.143076183703709</v>
      </c>
      <c r="BC187" s="5">
        <f t="shared" si="359"/>
        <v>4.6809167702501364</v>
      </c>
      <c r="BD187" s="147">
        <f t="shared" si="352"/>
        <v>120.2256528656537</v>
      </c>
      <c r="BF187" s="153">
        <f t="shared" si="265"/>
        <v>1.214113957228935</v>
      </c>
      <c r="BG187" s="153">
        <f t="shared" si="261"/>
        <v>0.65801580622971179</v>
      </c>
      <c r="BI187" s="463">
        <f t="shared" si="306"/>
        <v>0.16214799712519148</v>
      </c>
      <c r="BJ187" s="463">
        <f t="shared" si="307"/>
        <v>3.8300000000000001E-2</v>
      </c>
      <c r="BK187" s="463">
        <f t="shared" si="308"/>
        <v>7.4127710047864424E-3</v>
      </c>
      <c r="BL187" s="463">
        <f t="shared" si="309"/>
        <v>9.2585524675324674E-3</v>
      </c>
      <c r="BM187">
        <f t="shared" si="310"/>
        <v>2.6099999999999999E-3</v>
      </c>
      <c r="BN187">
        <f t="shared" si="353"/>
        <v>5.9302168038291543E-6</v>
      </c>
      <c r="BO187" s="463">
        <f t="shared" si="354"/>
        <v>0.24907668460831198</v>
      </c>
      <c r="BP187" s="147">
        <f t="shared" si="311"/>
        <v>219.72932059751037</v>
      </c>
      <c r="BQ187" s="463">
        <f t="shared" si="355"/>
        <v>0.21323007763071547</v>
      </c>
      <c r="BT187" s="147">
        <f t="shared" si="312"/>
        <v>213.23007763071547</v>
      </c>
      <c r="BU187" s="463">
        <f t="shared" si="313"/>
        <v>0.12529617959673886</v>
      </c>
      <c r="BV187" s="463">
        <f t="shared" si="314"/>
        <v>8.2267112237146139E-2</v>
      </c>
      <c r="BW187" s="463">
        <f t="shared" si="315"/>
        <v>0</v>
      </c>
      <c r="BX187" s="463"/>
      <c r="BY187" s="463">
        <f t="shared" si="316"/>
        <v>0.71296296296296324</v>
      </c>
      <c r="BZ187" s="147">
        <f t="shared" si="317"/>
        <v>920.52625479684821</v>
      </c>
      <c r="CA187" s="153">
        <f t="shared" si="318"/>
        <v>1.3534856530250741</v>
      </c>
      <c r="CB187" s="5">
        <f t="shared" si="319"/>
        <v>5.7750000000000004</v>
      </c>
      <c r="CC187" s="153">
        <f t="shared" si="320"/>
        <v>0.81012998848490303</v>
      </c>
      <c r="CD187" s="5">
        <f t="shared" si="321"/>
        <v>81.012998848490298</v>
      </c>
      <c r="CG187" s="59">
        <f t="shared" si="356"/>
        <v>-50</v>
      </c>
      <c r="CH187">
        <f t="shared" si="357"/>
        <v>-50</v>
      </c>
    </row>
    <row r="188" spans="5:86" x14ac:dyDescent="0.25">
      <c r="E188" s="150">
        <v>78</v>
      </c>
      <c r="F188" s="191">
        <f t="shared" si="358"/>
        <v>0.39</v>
      </c>
      <c r="G188" s="191"/>
      <c r="H188" s="191">
        <f t="shared" si="322"/>
        <v>5.8500000000000005</v>
      </c>
      <c r="I188" s="472">
        <f t="shared" si="323"/>
        <v>9</v>
      </c>
      <c r="J188" s="386">
        <f t="shared" si="324"/>
        <v>7.66</v>
      </c>
      <c r="K188" s="386">
        <f t="shared" si="325"/>
        <v>16.66</v>
      </c>
      <c r="L188" s="386"/>
      <c r="M188" s="191">
        <f t="shared" si="326"/>
        <v>0.45978391356542619</v>
      </c>
      <c r="N188" s="152">
        <f t="shared" si="327"/>
        <v>7.6905756302521011</v>
      </c>
      <c r="O188" s="152">
        <f t="shared" si="262"/>
        <v>5.8500000000000005</v>
      </c>
      <c r="P188" s="191">
        <f t="shared" si="328"/>
        <v>0.51270504201680678</v>
      </c>
      <c r="Q188" s="191">
        <f t="shared" si="329"/>
        <v>15</v>
      </c>
      <c r="R188" s="191"/>
      <c r="S188" s="152">
        <f t="shared" si="330"/>
        <v>24.806166168028994</v>
      </c>
      <c r="T188" s="152">
        <f t="shared" si="331"/>
        <v>15</v>
      </c>
      <c r="U188" s="191">
        <f t="shared" si="332"/>
        <v>3.1415723817812591</v>
      </c>
      <c r="V188" s="191">
        <f t="shared" si="333"/>
        <v>3.1415723817812591</v>
      </c>
      <c r="W188" s="191">
        <f t="shared" si="334"/>
        <v>3.6911424851215835</v>
      </c>
      <c r="X188" s="175">
        <f t="shared" si="335"/>
        <v>350</v>
      </c>
      <c r="Y188" s="386">
        <f t="shared" si="303"/>
        <v>146.35470958168105</v>
      </c>
      <c r="AA188" s="191">
        <f t="shared" si="336"/>
        <v>1.3136683244726464</v>
      </c>
      <c r="AB188" s="153">
        <f t="shared" si="337"/>
        <v>1.5434745326702111</v>
      </c>
      <c r="AC188" s="153">
        <f t="shared" si="338"/>
        <v>0.17741619027991926</v>
      </c>
      <c r="AD188" s="153"/>
      <c r="AE188" s="153">
        <f t="shared" si="339"/>
        <v>0.96344647519582249</v>
      </c>
      <c r="AF188" s="317">
        <f t="shared" si="340"/>
        <v>1974.6182827681939</v>
      </c>
      <c r="AG188" s="463">
        <f t="shared" si="341"/>
        <v>6.9127284595300251E-2</v>
      </c>
      <c r="AI188" s="153">
        <f t="shared" si="342"/>
        <v>1.9476970528097561</v>
      </c>
      <c r="AJ188" s="153">
        <f t="shared" si="343"/>
        <v>3.1415723817812591</v>
      </c>
      <c r="AK188" s="153">
        <f t="shared" si="344"/>
        <v>2.747714921187506</v>
      </c>
      <c r="AM188" s="317">
        <f t="shared" si="345"/>
        <v>390</v>
      </c>
      <c r="AN188" s="147">
        <f t="shared" si="346"/>
        <v>146.35470958168105</v>
      </c>
      <c r="AP188">
        <f t="shared" si="347"/>
        <v>390</v>
      </c>
      <c r="AQ188">
        <f t="shared" si="348"/>
        <v>146.35470958168105</v>
      </c>
      <c r="AS188" s="5">
        <f t="shared" si="263"/>
        <v>6.8327148669028421</v>
      </c>
      <c r="AT188" s="5">
        <f t="shared" si="349"/>
        <v>3.1415723817812591</v>
      </c>
      <c r="AU188" s="5">
        <f t="shared" si="304"/>
        <v>3.6911424851215831</v>
      </c>
      <c r="AV188" s="5"/>
      <c r="AW188" s="153">
        <f t="shared" si="305"/>
        <v>0.45978391356542619</v>
      </c>
      <c r="AX188" s="153">
        <f t="shared" si="259"/>
        <v>6.5</v>
      </c>
      <c r="AY188" s="153">
        <f t="shared" si="260"/>
        <v>0.42428198433420361</v>
      </c>
      <c r="AZ188" s="153">
        <f t="shared" si="264"/>
        <v>15.320000000000002</v>
      </c>
      <c r="BA188" s="147">
        <f t="shared" si="350"/>
        <v>17.910795069528412</v>
      </c>
      <c r="BB188" s="147">
        <f t="shared" si="351"/>
        <v>14.497619413333341</v>
      </c>
      <c r="BC188" s="5">
        <f t="shared" si="359"/>
        <v>4.8032885191772348</v>
      </c>
      <c r="BD188" s="147">
        <f t="shared" si="352"/>
        <v>123.34053612772873</v>
      </c>
      <c r="BF188" s="153">
        <f t="shared" si="265"/>
        <v>1.2298816709591809</v>
      </c>
      <c r="BG188" s="153">
        <f t="shared" si="261"/>
        <v>0.66656146605087685</v>
      </c>
      <c r="BI188" s="463">
        <f t="shared" si="306"/>
        <v>0.16638698170174815</v>
      </c>
      <c r="BJ188" s="463">
        <f t="shared" si="307"/>
        <v>3.8300000000000008E-2</v>
      </c>
      <c r="BK188" s="463">
        <f t="shared" si="308"/>
        <v>7.3177354790840516E-3</v>
      </c>
      <c r="BL188" s="463">
        <f t="shared" si="309"/>
        <v>9.1398530769230771E-3</v>
      </c>
      <c r="BM188">
        <f t="shared" si="310"/>
        <v>2.6099999999999999E-3</v>
      </c>
      <c r="BN188">
        <f t="shared" si="353"/>
        <v>5.854188383267242E-6</v>
      </c>
      <c r="BO188" s="463">
        <f t="shared" si="354"/>
        <v>0.25402069541546696</v>
      </c>
      <c r="BP188" s="147">
        <f t="shared" si="311"/>
        <v>223.75457025775526</v>
      </c>
      <c r="BQ188" s="463">
        <f t="shared" si="355"/>
        <v>0.21686967993005105</v>
      </c>
      <c r="BT188" s="147">
        <f t="shared" si="312"/>
        <v>216.86967993005103</v>
      </c>
      <c r="BU188" s="463">
        <f t="shared" si="313"/>
        <v>0.1285717585877145</v>
      </c>
      <c r="BV188" s="463">
        <f t="shared" si="314"/>
        <v>8.4417795724539918E-2</v>
      </c>
      <c r="BW188" s="463">
        <f t="shared" si="315"/>
        <v>0</v>
      </c>
      <c r="BX188" s="463"/>
      <c r="BY188" s="463">
        <f t="shared" si="316"/>
        <v>0.72222222222222243</v>
      </c>
      <c r="BZ188" s="147">
        <f t="shared" si="317"/>
        <v>935.21177653447683</v>
      </c>
      <c r="CA188" s="153">
        <f t="shared" si="318"/>
        <v>1.3758360267222831</v>
      </c>
      <c r="CB188" s="5">
        <f t="shared" si="319"/>
        <v>5.8500000000000005</v>
      </c>
      <c r="CC188" s="153">
        <f t="shared" si="320"/>
        <v>0.8095949006268307</v>
      </c>
      <c r="CD188" s="5">
        <f t="shared" si="321"/>
        <v>80.959490062683074</v>
      </c>
      <c r="CG188" s="59">
        <f t="shared" si="356"/>
        <v>-50</v>
      </c>
      <c r="CH188">
        <f t="shared" si="357"/>
        <v>-50</v>
      </c>
    </row>
    <row r="189" spans="5:86" x14ac:dyDescent="0.25">
      <c r="E189" s="150">
        <v>79</v>
      </c>
      <c r="F189" s="191">
        <f t="shared" si="358"/>
        <v>0.39500000000000002</v>
      </c>
      <c r="G189" s="191"/>
      <c r="H189" s="191">
        <f t="shared" si="322"/>
        <v>5.9250000000000007</v>
      </c>
      <c r="I189" s="472">
        <f t="shared" si="323"/>
        <v>9</v>
      </c>
      <c r="J189" s="386">
        <f t="shared" si="324"/>
        <v>7.66</v>
      </c>
      <c r="K189" s="386">
        <f t="shared" si="325"/>
        <v>16.66</v>
      </c>
      <c r="L189" s="386"/>
      <c r="M189" s="191">
        <f t="shared" si="326"/>
        <v>0.45978391356542619</v>
      </c>
      <c r="N189" s="152">
        <f t="shared" si="327"/>
        <v>7.6905756302521011</v>
      </c>
      <c r="O189" s="152">
        <f t="shared" si="262"/>
        <v>5.9250000000000007</v>
      </c>
      <c r="P189" s="191">
        <f t="shared" si="328"/>
        <v>0.51270504201680678</v>
      </c>
      <c r="Q189" s="191">
        <f t="shared" si="329"/>
        <v>15</v>
      </c>
      <c r="R189" s="191"/>
      <c r="S189" s="152">
        <f t="shared" si="330"/>
        <v>24.272195334513036</v>
      </c>
      <c r="T189" s="152">
        <f t="shared" si="331"/>
        <v>15</v>
      </c>
      <c r="U189" s="191">
        <f t="shared" si="332"/>
        <v>3.1818489507784551</v>
      </c>
      <c r="V189" s="191">
        <f t="shared" si="333"/>
        <v>3.1818489507784551</v>
      </c>
      <c r="W189" s="191">
        <f t="shared" si="334"/>
        <v>3.7384648246744252</v>
      </c>
      <c r="X189" s="175">
        <f t="shared" si="335"/>
        <v>350</v>
      </c>
      <c r="Y189" s="386">
        <f t="shared" si="303"/>
        <v>144.5021183211534</v>
      </c>
      <c r="AA189" s="191">
        <f t="shared" si="336"/>
        <v>1.3136683244726464</v>
      </c>
      <c r="AB189" s="153">
        <f t="shared" si="337"/>
        <v>1.5434745326702111</v>
      </c>
      <c r="AC189" s="153">
        <f t="shared" si="338"/>
        <v>0.17741619027991926</v>
      </c>
      <c r="AD189" s="153"/>
      <c r="AE189" s="153">
        <f t="shared" si="339"/>
        <v>0.96344647519582249</v>
      </c>
      <c r="AF189" s="317">
        <f t="shared" si="340"/>
        <v>1999.9339017780426</v>
      </c>
      <c r="AG189" s="463">
        <f t="shared" si="341"/>
        <v>6.9127284595300251E-2</v>
      </c>
      <c r="AI189" s="153">
        <f t="shared" si="342"/>
        <v>1.9601425280215545</v>
      </c>
      <c r="AJ189" s="153">
        <f t="shared" si="343"/>
        <v>3.1818489507784551</v>
      </c>
      <c r="AK189" s="153">
        <f t="shared" si="344"/>
        <v>2.7745659671856373</v>
      </c>
      <c r="AM189" s="317">
        <f t="shared" si="345"/>
        <v>395</v>
      </c>
      <c r="AN189" s="147">
        <f t="shared" si="346"/>
        <v>144.5021183211534</v>
      </c>
      <c r="AP189">
        <f t="shared" si="347"/>
        <v>395</v>
      </c>
      <c r="AQ189">
        <f t="shared" si="348"/>
        <v>144.5021183211534</v>
      </c>
      <c r="AS189" s="5">
        <f t="shared" si="263"/>
        <v>6.9203137754528807</v>
      </c>
      <c r="AT189" s="5">
        <f t="shared" si="349"/>
        <v>3.1818489507784551</v>
      </c>
      <c r="AU189" s="5">
        <f t="shared" si="304"/>
        <v>3.7384648246744256</v>
      </c>
      <c r="AV189" s="5"/>
      <c r="AW189" s="153">
        <f t="shared" si="305"/>
        <v>0.45978391356542614</v>
      </c>
      <c r="AX189" s="153">
        <f t="shared" si="259"/>
        <v>6.5833333333333339</v>
      </c>
      <c r="AY189" s="153">
        <f t="shared" si="260"/>
        <v>0.42972149695387302</v>
      </c>
      <c r="AZ189" s="153">
        <f t="shared" si="264"/>
        <v>15.319999999999999</v>
      </c>
      <c r="BA189" s="147">
        <f t="shared" si="350"/>
        <v>17.910795069528412</v>
      </c>
      <c r="BB189" s="147">
        <f t="shared" si="351"/>
        <v>14.856543845925934</v>
      </c>
      <c r="BC189" s="5">
        <f t="shared" si="359"/>
        <v>4.9272392584130733</v>
      </c>
      <c r="BD189" s="147">
        <f t="shared" si="352"/>
        <v>126.49525300895608</v>
      </c>
      <c r="BF189" s="153">
        <f t="shared" si="265"/>
        <v>1.245649384689427</v>
      </c>
      <c r="BG189" s="153">
        <f t="shared" si="261"/>
        <v>0.67510712587204214</v>
      </c>
      <c r="BI189" s="463">
        <f t="shared" si="306"/>
        <v>0.17068066285348629</v>
      </c>
      <c r="BJ189" s="463">
        <f t="shared" si="307"/>
        <v>3.8299999999999994E-2</v>
      </c>
      <c r="BK189" s="463">
        <f t="shared" si="308"/>
        <v>7.2251059160576697E-3</v>
      </c>
      <c r="BL189" s="463">
        <f t="shared" si="309"/>
        <v>9.0241587341772147E-3</v>
      </c>
      <c r="BM189">
        <f t="shared" si="310"/>
        <v>2.6099999999999999E-3</v>
      </c>
      <c r="BN189">
        <f t="shared" si="353"/>
        <v>5.780084732846136E-6</v>
      </c>
      <c r="BO189" s="463">
        <f t="shared" si="354"/>
        <v>0.25904507740210053</v>
      </c>
      <c r="BP189" s="147">
        <f t="shared" si="311"/>
        <v>227.83992750372119</v>
      </c>
      <c r="BQ189" s="463">
        <f t="shared" si="355"/>
        <v>0.22053159967841043</v>
      </c>
      <c r="BT189" s="147">
        <f t="shared" si="312"/>
        <v>220.53159967841043</v>
      </c>
      <c r="BU189" s="463">
        <f t="shared" si="313"/>
        <v>0.13188960311405759</v>
      </c>
      <c r="BV189" s="463">
        <f t="shared" si="314"/>
        <v>8.6596229966609775E-2</v>
      </c>
      <c r="BW189" s="463">
        <f t="shared" si="315"/>
        <v>0</v>
      </c>
      <c r="BX189" s="463"/>
      <c r="BY189" s="463">
        <f t="shared" si="316"/>
        <v>0.73148148148148173</v>
      </c>
      <c r="BZ189" s="147">
        <f t="shared" si="317"/>
        <v>949.96731456214911</v>
      </c>
      <c r="CA189" s="153">
        <f t="shared" si="318"/>
        <v>1.3983388417442808</v>
      </c>
      <c r="CB189" s="5">
        <f t="shared" si="319"/>
        <v>5.9250000000000007</v>
      </c>
      <c r="CC189" s="153">
        <f t="shared" si="320"/>
        <v>0.80905719754854022</v>
      </c>
      <c r="CD189" s="5">
        <f t="shared" si="321"/>
        <v>80.905719754854019</v>
      </c>
      <c r="CG189" s="59">
        <f t="shared" si="356"/>
        <v>-50</v>
      </c>
      <c r="CH189">
        <f t="shared" si="357"/>
        <v>-50</v>
      </c>
    </row>
    <row r="190" spans="5:86" x14ac:dyDescent="0.25">
      <c r="E190" s="150">
        <v>80</v>
      </c>
      <c r="F190" s="191">
        <f t="shared" si="358"/>
        <v>0.4</v>
      </c>
      <c r="G190" s="191"/>
      <c r="H190" s="191">
        <f t="shared" si="322"/>
        <v>6</v>
      </c>
      <c r="I190" s="472">
        <f t="shared" si="323"/>
        <v>9</v>
      </c>
      <c r="J190" s="386">
        <f t="shared" si="324"/>
        <v>7.66</v>
      </c>
      <c r="K190" s="386">
        <f t="shared" si="325"/>
        <v>16.66</v>
      </c>
      <c r="L190" s="386"/>
      <c r="M190" s="191">
        <f t="shared" si="326"/>
        <v>0.45978391356542619</v>
      </c>
      <c r="N190" s="152">
        <f t="shared" si="327"/>
        <v>7.6905756302521011</v>
      </c>
      <c r="O190" s="152">
        <f t="shared" si="262"/>
        <v>6</v>
      </c>
      <c r="P190" s="191">
        <f t="shared" si="328"/>
        <v>0.51270504201680678</v>
      </c>
      <c r="Q190" s="191">
        <f t="shared" si="329"/>
        <v>15</v>
      </c>
      <c r="R190" s="191"/>
      <c r="S190" s="152">
        <f t="shared" si="330"/>
        <v>23.751784297697487</v>
      </c>
      <c r="T190" s="152">
        <f t="shared" si="331"/>
        <v>15</v>
      </c>
      <c r="U190" s="191">
        <f t="shared" si="332"/>
        <v>3.2221255197756502</v>
      </c>
      <c r="V190" s="191">
        <f t="shared" si="333"/>
        <v>3.2221255197756502</v>
      </c>
      <c r="W190" s="191">
        <f t="shared" si="334"/>
        <v>3.7857871642272651</v>
      </c>
      <c r="X190" s="175">
        <f t="shared" si="335"/>
        <v>350</v>
      </c>
      <c r="Y190" s="386">
        <f t="shared" si="303"/>
        <v>142.695841842139</v>
      </c>
      <c r="AA190" s="191">
        <f t="shared" si="336"/>
        <v>1.3136683244726464</v>
      </c>
      <c r="AB190" s="153">
        <f t="shared" si="337"/>
        <v>1.5434745326702111</v>
      </c>
      <c r="AC190" s="153">
        <f t="shared" si="338"/>
        <v>0.17741619027991926</v>
      </c>
      <c r="AD190" s="153"/>
      <c r="AE190" s="153">
        <f t="shared" si="339"/>
        <v>0.96344647519582249</v>
      </c>
      <c r="AF190" s="317">
        <f t="shared" si="340"/>
        <v>2025.2495207878912</v>
      </c>
      <c r="AG190" s="463">
        <f t="shared" si="341"/>
        <v>6.9127284595300251E-2</v>
      </c>
      <c r="AI190" s="153">
        <f t="shared" si="342"/>
        <v>1.9725094805332752</v>
      </c>
      <c r="AJ190" s="153">
        <f t="shared" si="343"/>
        <v>3.2221255197756502</v>
      </c>
      <c r="AK190" s="153">
        <f t="shared" si="344"/>
        <v>2.8014170131837668</v>
      </c>
      <c r="AM190" s="317">
        <f t="shared" si="345"/>
        <v>400</v>
      </c>
      <c r="AN190" s="147">
        <f t="shared" si="346"/>
        <v>142.695841842139</v>
      </c>
      <c r="AP190">
        <f t="shared" si="347"/>
        <v>400</v>
      </c>
      <c r="AQ190">
        <f t="shared" si="348"/>
        <v>142.695841842139</v>
      </c>
      <c r="AS190" s="5">
        <f t="shared" si="263"/>
        <v>7.0079126840029167</v>
      </c>
      <c r="AT190" s="5">
        <f t="shared" si="349"/>
        <v>3.2221255197756502</v>
      </c>
      <c r="AU190" s="5">
        <f t="shared" si="304"/>
        <v>3.7857871642272665</v>
      </c>
      <c r="AV190" s="5"/>
      <c r="AW190" s="153">
        <f t="shared" si="305"/>
        <v>0.45978391356542608</v>
      </c>
      <c r="AX190" s="153">
        <f t="shared" si="259"/>
        <v>6.6666666666666661</v>
      </c>
      <c r="AY190" s="153">
        <f t="shared" si="260"/>
        <v>0.43516100957354231</v>
      </c>
      <c r="AZ190" s="153">
        <f t="shared" si="264"/>
        <v>15.319999999999995</v>
      </c>
      <c r="BA190" s="147">
        <f t="shared" si="350"/>
        <v>17.910795069528412</v>
      </c>
      <c r="BB190" s="147">
        <f t="shared" si="351"/>
        <v>15.219849481481489</v>
      </c>
      <c r="BC190" s="5">
        <f t="shared" si="359"/>
        <v>5.0527689879576458</v>
      </c>
      <c r="BD190" s="147">
        <f t="shared" si="352"/>
        <v>129.68980350933558</v>
      </c>
      <c r="BF190" s="153">
        <f t="shared" si="265"/>
        <v>1.2614170984196726</v>
      </c>
      <c r="BG190" s="153">
        <f t="shared" si="261"/>
        <v>0.68365278569320709</v>
      </c>
      <c r="BI190" s="463">
        <f t="shared" si="306"/>
        <v>0.17502904058040569</v>
      </c>
      <c r="BJ190" s="463">
        <f t="shared" si="307"/>
        <v>3.8299999999999994E-2</v>
      </c>
      <c r="BK190" s="463">
        <f t="shared" si="308"/>
        <v>7.1347920921069506E-3</v>
      </c>
      <c r="BL190" s="463">
        <f t="shared" si="309"/>
        <v>8.9113567499999984E-3</v>
      </c>
      <c r="BM190">
        <f t="shared" si="310"/>
        <v>2.6099999999999999E-3</v>
      </c>
      <c r="BN190">
        <f t="shared" si="353"/>
        <v>5.70783367368556E-6</v>
      </c>
      <c r="BO190" s="463">
        <f t="shared" si="354"/>
        <v>0.2641499753766719</v>
      </c>
      <c r="BP190" s="147">
        <f t="shared" si="311"/>
        <v>231.98518942251263</v>
      </c>
      <c r="BQ190" s="463">
        <f t="shared" si="355"/>
        <v>0.22421583687579338</v>
      </c>
      <c r="BT190" s="147">
        <f t="shared" si="312"/>
        <v>224.21583687579337</v>
      </c>
      <c r="BU190" s="463">
        <f t="shared" si="313"/>
        <v>0.13524971317576803</v>
      </c>
      <c r="BV190" s="463">
        <f t="shared" si="314"/>
        <v>8.88024149633556E-2</v>
      </c>
      <c r="BW190" s="463">
        <f t="shared" si="315"/>
        <v>0</v>
      </c>
      <c r="BX190" s="463"/>
      <c r="BY190" s="463">
        <f t="shared" si="316"/>
        <v>0.74074074074074081</v>
      </c>
      <c r="BZ190" s="147">
        <f t="shared" si="317"/>
        <v>964.79286887986439</v>
      </c>
      <c r="CA190" s="153">
        <f t="shared" si="318"/>
        <v>1.4209938951781704</v>
      </c>
      <c r="CB190" s="5">
        <f t="shared" si="319"/>
        <v>6</v>
      </c>
      <c r="CC190" s="153">
        <f t="shared" si="320"/>
        <v>0.80851703757612992</v>
      </c>
      <c r="CD190" s="5">
        <f t="shared" si="321"/>
        <v>80.851703757612995</v>
      </c>
      <c r="CG190" s="59">
        <f t="shared" si="356"/>
        <v>-50</v>
      </c>
      <c r="CH190">
        <f t="shared" si="357"/>
        <v>-50</v>
      </c>
    </row>
    <row r="191" spans="5:86" x14ac:dyDescent="0.25">
      <c r="E191" s="150">
        <v>81</v>
      </c>
      <c r="F191" s="191">
        <f t="shared" si="358"/>
        <v>0.40500000000000003</v>
      </c>
      <c r="G191" s="191"/>
      <c r="H191" s="191">
        <f t="shared" si="322"/>
        <v>6.0750000000000002</v>
      </c>
      <c r="I191" s="472">
        <f t="shared" si="323"/>
        <v>9</v>
      </c>
      <c r="J191" s="386">
        <f t="shared" si="324"/>
        <v>7.66</v>
      </c>
      <c r="K191" s="386">
        <f t="shared" si="325"/>
        <v>16.66</v>
      </c>
      <c r="L191" s="386"/>
      <c r="M191" s="191">
        <f t="shared" si="326"/>
        <v>0.45978391356542619</v>
      </c>
      <c r="N191" s="152">
        <f t="shared" si="327"/>
        <v>7.6905756302521011</v>
      </c>
      <c r="O191" s="152">
        <f t="shared" si="262"/>
        <v>6.0750000000000002</v>
      </c>
      <c r="P191" s="191">
        <f t="shared" si="328"/>
        <v>0.51270504201680678</v>
      </c>
      <c r="Q191" s="191">
        <f t="shared" si="329"/>
        <v>15</v>
      </c>
      <c r="R191" s="191"/>
      <c r="S191" s="152">
        <f t="shared" si="330"/>
        <v>23.244436147924013</v>
      </c>
      <c r="T191" s="152">
        <f t="shared" si="331"/>
        <v>15</v>
      </c>
      <c r="U191" s="191">
        <f t="shared" si="332"/>
        <v>3.2624020887728458</v>
      </c>
      <c r="V191" s="191">
        <f t="shared" si="333"/>
        <v>3.2624020887728458</v>
      </c>
      <c r="W191" s="191">
        <f t="shared" si="334"/>
        <v>3.8331095037801064</v>
      </c>
      <c r="X191" s="175">
        <f t="shared" si="335"/>
        <v>350</v>
      </c>
      <c r="Y191" s="386">
        <f t="shared" si="303"/>
        <v>140.93416478235952</v>
      </c>
      <c r="AA191" s="191">
        <f t="shared" si="336"/>
        <v>1.3136683244726464</v>
      </c>
      <c r="AB191" s="153">
        <f t="shared" si="337"/>
        <v>1.5434745326702111</v>
      </c>
      <c r="AC191" s="153">
        <f t="shared" si="338"/>
        <v>0.17741619027991926</v>
      </c>
      <c r="AD191" s="153"/>
      <c r="AE191" s="153">
        <f t="shared" si="339"/>
        <v>0.96344647519582249</v>
      </c>
      <c r="AF191" s="317">
        <f t="shared" si="340"/>
        <v>2050.5651397977399</v>
      </c>
      <c r="AG191" s="463">
        <f t="shared" si="341"/>
        <v>6.9127284595300251E-2</v>
      </c>
      <c r="AI191" s="153">
        <f t="shared" si="342"/>
        <v>1.9847993781308406</v>
      </c>
      <c r="AJ191" s="153">
        <f t="shared" si="343"/>
        <v>3.2624020887728458</v>
      </c>
      <c r="AK191" s="153">
        <f t="shared" si="344"/>
        <v>2.8282680591818972</v>
      </c>
      <c r="AM191" s="317">
        <f t="shared" si="345"/>
        <v>405</v>
      </c>
      <c r="AN191" s="147">
        <f t="shared" si="346"/>
        <v>140.93416478235952</v>
      </c>
      <c r="AP191">
        <f t="shared" si="347"/>
        <v>405</v>
      </c>
      <c r="AQ191">
        <f t="shared" si="348"/>
        <v>140.93416478235952</v>
      </c>
      <c r="AS191" s="5">
        <f t="shared" si="263"/>
        <v>7.0955115925529526</v>
      </c>
      <c r="AT191" s="5">
        <f t="shared" si="349"/>
        <v>3.2624020887728458</v>
      </c>
      <c r="AU191" s="5">
        <f t="shared" si="304"/>
        <v>3.8331095037801068</v>
      </c>
      <c r="AV191" s="5"/>
      <c r="AW191" s="153">
        <f t="shared" si="305"/>
        <v>0.45978391356542614</v>
      </c>
      <c r="AX191" s="153">
        <f t="shared" si="259"/>
        <v>6.7499999999999991</v>
      </c>
      <c r="AY191" s="153">
        <f t="shared" si="260"/>
        <v>0.4406005221932115</v>
      </c>
      <c r="AZ191" s="153">
        <f t="shared" si="264"/>
        <v>15.319999999999999</v>
      </c>
      <c r="BA191" s="147">
        <f t="shared" si="350"/>
        <v>17.910795069528412</v>
      </c>
      <c r="BB191" s="147">
        <f t="shared" si="351"/>
        <v>15.587536320000012</v>
      </c>
      <c r="BC191" s="5">
        <f t="shared" si="359"/>
        <v>5.1798777078109541</v>
      </c>
      <c r="BD191" s="147">
        <f t="shared" si="352"/>
        <v>132.92418762886726</v>
      </c>
      <c r="BF191" s="153">
        <f t="shared" si="265"/>
        <v>1.2771848121499185</v>
      </c>
      <c r="BG191" s="153">
        <f t="shared" si="261"/>
        <v>0.69219844551437215</v>
      </c>
      <c r="BI191" s="463">
        <f t="shared" si="306"/>
        <v>0.17943211488250649</v>
      </c>
      <c r="BJ191" s="463">
        <f t="shared" si="307"/>
        <v>3.8300000000000001E-2</v>
      </c>
      <c r="BK191" s="463">
        <f t="shared" si="308"/>
        <v>7.046708239117975E-3</v>
      </c>
      <c r="BL191" s="463">
        <f t="shared" si="309"/>
        <v>8.8013399999999995E-3</v>
      </c>
      <c r="BM191">
        <f t="shared" si="310"/>
        <v>2.6099999999999999E-3</v>
      </c>
      <c r="BN191">
        <f t="shared" si="353"/>
        <v>5.6373665912943804E-6</v>
      </c>
      <c r="BO191" s="463">
        <f t="shared" si="354"/>
        <v>0.2693355500344865</v>
      </c>
      <c r="BP191" s="147">
        <f t="shared" si="311"/>
        <v>236.19016312162447</v>
      </c>
      <c r="BQ191" s="463">
        <f t="shared" si="355"/>
        <v>0.22792239152220009</v>
      </c>
      <c r="BT191" s="147">
        <f t="shared" si="312"/>
        <v>227.92239152220009</v>
      </c>
      <c r="BU191" s="463">
        <f t="shared" si="313"/>
        <v>0.13865208877284593</v>
      </c>
      <c r="BV191" s="463">
        <f t="shared" si="314"/>
        <v>9.1036350714777517E-2</v>
      </c>
      <c r="BW191" s="463">
        <f t="shared" si="315"/>
        <v>0</v>
      </c>
      <c r="BX191" s="463"/>
      <c r="BY191" s="463">
        <f t="shared" si="316"/>
        <v>0.75</v>
      </c>
      <c r="BZ191" s="147">
        <f t="shared" si="317"/>
        <v>979.68843948762355</v>
      </c>
      <c r="CA191" s="153">
        <f t="shared" si="318"/>
        <v>1.443800994131448</v>
      </c>
      <c r="CB191" s="5">
        <f t="shared" si="319"/>
        <v>6.0750000000000002</v>
      </c>
      <c r="CC191" s="153">
        <f t="shared" si="320"/>
        <v>0.80797456998019246</v>
      </c>
      <c r="CD191" s="5">
        <f t="shared" si="321"/>
        <v>80.797456998019243</v>
      </c>
      <c r="CG191" s="59">
        <f t="shared" si="356"/>
        <v>-50</v>
      </c>
      <c r="CH191">
        <f t="shared" si="357"/>
        <v>-50</v>
      </c>
    </row>
    <row r="192" spans="5:86" x14ac:dyDescent="0.25">
      <c r="E192" s="150">
        <v>82</v>
      </c>
      <c r="F192" s="191">
        <f t="shared" si="358"/>
        <v>0.41</v>
      </c>
      <c r="G192" s="191"/>
      <c r="H192" s="191">
        <f t="shared" si="322"/>
        <v>6.1499999999999995</v>
      </c>
      <c r="I192" s="472">
        <f t="shared" si="323"/>
        <v>9</v>
      </c>
      <c r="J192" s="386">
        <f t="shared" si="324"/>
        <v>7.66</v>
      </c>
      <c r="K192" s="386">
        <f t="shared" si="325"/>
        <v>16.66</v>
      </c>
      <c r="L192" s="386"/>
      <c r="M192" s="191">
        <f t="shared" si="326"/>
        <v>0.45978391356542619</v>
      </c>
      <c r="N192" s="152">
        <f t="shared" si="327"/>
        <v>7.6905756302521011</v>
      </c>
      <c r="O192" s="152">
        <f t="shared" si="262"/>
        <v>6.1499999999999995</v>
      </c>
      <c r="P192" s="191">
        <f t="shared" si="328"/>
        <v>0.51270504201680678</v>
      </c>
      <c r="Q192" s="191">
        <f t="shared" si="329"/>
        <v>15</v>
      </c>
      <c r="R192" s="191"/>
      <c r="S192" s="152">
        <f t="shared" si="330"/>
        <v>22.749678383214523</v>
      </c>
      <c r="T192" s="152">
        <f t="shared" si="331"/>
        <v>15</v>
      </c>
      <c r="U192" s="191">
        <f t="shared" si="332"/>
        <v>3.3026786577700413</v>
      </c>
      <c r="V192" s="191">
        <f t="shared" si="333"/>
        <v>3.3026786577700418</v>
      </c>
      <c r="W192" s="191">
        <f t="shared" si="334"/>
        <v>3.8804318433329463</v>
      </c>
      <c r="X192" s="175">
        <f t="shared" si="335"/>
        <v>350</v>
      </c>
      <c r="Y192" s="386">
        <f t="shared" si="303"/>
        <v>139.2154554557454</v>
      </c>
      <c r="AA192" s="191">
        <f t="shared" si="336"/>
        <v>1.3136683244726464</v>
      </c>
      <c r="AB192" s="153">
        <f t="shared" si="337"/>
        <v>1.5434745326702111</v>
      </c>
      <c r="AC192" s="153">
        <f t="shared" si="338"/>
        <v>0.17741619027991926</v>
      </c>
      <c r="AD192" s="153"/>
      <c r="AE192" s="153">
        <f t="shared" si="339"/>
        <v>0.96344647519582249</v>
      </c>
      <c r="AF192" s="317">
        <f t="shared" si="340"/>
        <v>2075.8807588075883</v>
      </c>
      <c r="AG192" s="463">
        <f t="shared" si="341"/>
        <v>6.9127284595300251E-2</v>
      </c>
      <c r="AI192" s="153">
        <f t="shared" si="342"/>
        <v>1.9970136434344887</v>
      </c>
      <c r="AJ192" s="153">
        <f t="shared" si="343"/>
        <v>3.3026786577700413</v>
      </c>
      <c r="AK192" s="153">
        <f t="shared" si="344"/>
        <v>2.8551191051800275</v>
      </c>
      <c r="AM192" s="317">
        <f t="shared" si="345"/>
        <v>410</v>
      </c>
      <c r="AN192" s="147">
        <f t="shared" si="346"/>
        <v>139.2154554557454</v>
      </c>
      <c r="AP192">
        <f t="shared" si="347"/>
        <v>410</v>
      </c>
      <c r="AQ192">
        <f t="shared" si="348"/>
        <v>139.2154554557454</v>
      </c>
      <c r="AS192" s="5">
        <f t="shared" si="263"/>
        <v>7.1831105011029877</v>
      </c>
      <c r="AT192" s="5">
        <f t="shared" si="349"/>
        <v>3.3026786577700418</v>
      </c>
      <c r="AU192" s="5">
        <f t="shared" si="304"/>
        <v>3.8804318433329459</v>
      </c>
      <c r="AV192" s="5"/>
      <c r="AW192" s="153">
        <f t="shared" si="305"/>
        <v>0.45978391356542625</v>
      </c>
      <c r="AX192" s="153">
        <f t="shared" si="259"/>
        <v>6.8333333333333339</v>
      </c>
      <c r="AY192" s="153">
        <f t="shared" si="260"/>
        <v>0.44604003481288068</v>
      </c>
      <c r="AZ192" s="153">
        <f t="shared" si="264"/>
        <v>15.320000000000004</v>
      </c>
      <c r="BA192" s="147">
        <f t="shared" si="350"/>
        <v>17.910795069528412</v>
      </c>
      <c r="BB192" s="147">
        <f t="shared" si="351"/>
        <v>15.959604361481484</v>
      </c>
      <c r="BC192" s="5">
        <f t="shared" si="359"/>
        <v>5.3085654179729973</v>
      </c>
      <c r="BD192" s="147">
        <f t="shared" si="352"/>
        <v>136.19840536755112</v>
      </c>
      <c r="BF192" s="153">
        <f t="shared" si="265"/>
        <v>1.2929525258801646</v>
      </c>
      <c r="BG192" s="153">
        <f t="shared" si="261"/>
        <v>0.70074410533553722</v>
      </c>
      <c r="BI192" s="463">
        <f t="shared" si="306"/>
        <v>0.18388988575978876</v>
      </c>
      <c r="BJ192" s="463">
        <f t="shared" si="307"/>
        <v>3.8300000000000001E-2</v>
      </c>
      <c r="BK192" s="463">
        <f t="shared" si="308"/>
        <v>6.9607727727872696E-3</v>
      </c>
      <c r="BL192" s="463">
        <f t="shared" si="309"/>
        <v>8.6940065853658554E-3</v>
      </c>
      <c r="BM192">
        <f t="shared" si="310"/>
        <v>2.6099999999999999E-3</v>
      </c>
      <c r="BN192">
        <f t="shared" si="353"/>
        <v>5.5686182182298163E-6</v>
      </c>
      <c r="BO192" s="463">
        <f t="shared" si="354"/>
        <v>0.27460197740776549</v>
      </c>
      <c r="BP192" s="147">
        <f t="shared" si="311"/>
        <v>240.45466511794189</v>
      </c>
      <c r="BQ192" s="463">
        <f t="shared" si="355"/>
        <v>0.23165126361763039</v>
      </c>
      <c r="BT192" s="147">
        <f t="shared" si="312"/>
        <v>231.65126361763038</v>
      </c>
      <c r="BU192" s="463">
        <f t="shared" si="313"/>
        <v>0.14209672990529132</v>
      </c>
      <c r="BV192" s="463">
        <f t="shared" si="314"/>
        <v>9.3298037220875471E-2</v>
      </c>
      <c r="BW192" s="463">
        <f t="shared" si="315"/>
        <v>0</v>
      </c>
      <c r="BX192" s="463"/>
      <c r="BY192" s="463">
        <f t="shared" si="316"/>
        <v>0.7592592592592593</v>
      </c>
      <c r="BZ192" s="147">
        <f t="shared" si="317"/>
        <v>994.65402638542605</v>
      </c>
      <c r="CA192" s="153">
        <f t="shared" si="318"/>
        <v>1.4667599551209984</v>
      </c>
      <c r="CB192" s="5">
        <f t="shared" si="319"/>
        <v>6.1499999999999995</v>
      </c>
      <c r="CC192" s="153">
        <f t="shared" si="320"/>
        <v>0.80742993559422238</v>
      </c>
      <c r="CD192" s="5">
        <f t="shared" si="321"/>
        <v>80.742993559422231</v>
      </c>
      <c r="CG192" s="59">
        <f t="shared" si="356"/>
        <v>-50</v>
      </c>
      <c r="CH192">
        <f t="shared" si="357"/>
        <v>-50</v>
      </c>
    </row>
    <row r="193" spans="5:86" x14ac:dyDescent="0.25">
      <c r="E193" s="150">
        <v>83</v>
      </c>
      <c r="F193" s="191">
        <f t="shared" si="358"/>
        <v>0.41499999999999998</v>
      </c>
      <c r="G193" s="191"/>
      <c r="H193" s="191">
        <f t="shared" si="322"/>
        <v>6.2249999999999996</v>
      </c>
      <c r="I193" s="472">
        <f t="shared" si="323"/>
        <v>9</v>
      </c>
      <c r="J193" s="386">
        <f t="shared" si="324"/>
        <v>7.66</v>
      </c>
      <c r="K193" s="386">
        <f t="shared" si="325"/>
        <v>16.66</v>
      </c>
      <c r="L193" s="386"/>
      <c r="M193" s="191">
        <f t="shared" si="326"/>
        <v>0.45978391356542619</v>
      </c>
      <c r="N193" s="152">
        <f t="shared" si="327"/>
        <v>7.6905756302521011</v>
      </c>
      <c r="O193" s="152">
        <f t="shared" si="262"/>
        <v>6.2249999999999996</v>
      </c>
      <c r="P193" s="191">
        <f t="shared" si="328"/>
        <v>0.51270504201680678</v>
      </c>
      <c r="Q193" s="191">
        <f t="shared" si="329"/>
        <v>15</v>
      </c>
      <c r="R193" s="191"/>
      <c r="S193" s="152">
        <f t="shared" si="330"/>
        <v>22.267061445114535</v>
      </c>
      <c r="T193" s="152">
        <f t="shared" si="331"/>
        <v>15</v>
      </c>
      <c r="U193" s="191">
        <f t="shared" si="332"/>
        <v>3.3429552267672369</v>
      </c>
      <c r="V193" s="191">
        <f t="shared" si="333"/>
        <v>3.3429552267672369</v>
      </c>
      <c r="W193" s="191">
        <f t="shared" si="334"/>
        <v>3.9277541828857871</v>
      </c>
      <c r="X193" s="175">
        <f t="shared" si="335"/>
        <v>350</v>
      </c>
      <c r="Y193" s="386">
        <f t="shared" si="303"/>
        <v>137.53816081170027</v>
      </c>
      <c r="AA193" s="191">
        <f t="shared" si="336"/>
        <v>1.3136683244726464</v>
      </c>
      <c r="AB193" s="153">
        <f t="shared" si="337"/>
        <v>1.5434745326702111</v>
      </c>
      <c r="AC193" s="153">
        <f t="shared" si="338"/>
        <v>0.17741619027991926</v>
      </c>
      <c r="AD193" s="153"/>
      <c r="AE193" s="153">
        <f t="shared" si="339"/>
        <v>0.96344647519582249</v>
      </c>
      <c r="AF193" s="317">
        <f t="shared" si="340"/>
        <v>2101.1963778174372</v>
      </c>
      <c r="AG193" s="463">
        <f t="shared" si="341"/>
        <v>6.9127284595300251E-2</v>
      </c>
      <c r="AI193" s="153">
        <f t="shared" si="342"/>
        <v>2.0091536558208816</v>
      </c>
      <c r="AJ193" s="153">
        <f t="shared" si="343"/>
        <v>3.3429552267672369</v>
      </c>
      <c r="AK193" s="153">
        <f t="shared" si="344"/>
        <v>2.8819701511781579</v>
      </c>
      <c r="AM193" s="317">
        <f t="shared" si="345"/>
        <v>415</v>
      </c>
      <c r="AN193" s="147">
        <f t="shared" si="346"/>
        <v>137.53816081170027</v>
      </c>
      <c r="AP193">
        <f t="shared" si="347"/>
        <v>415</v>
      </c>
      <c r="AQ193">
        <f t="shared" si="348"/>
        <v>137.53816081170027</v>
      </c>
      <c r="AS193" s="5">
        <f t="shared" si="263"/>
        <v>7.2707094096530245</v>
      </c>
      <c r="AT193" s="5">
        <f t="shared" si="349"/>
        <v>3.3429552267672369</v>
      </c>
      <c r="AU193" s="5">
        <f t="shared" si="304"/>
        <v>3.9277541828857876</v>
      </c>
      <c r="AV193" s="5"/>
      <c r="AW193" s="153">
        <f t="shared" si="305"/>
        <v>0.45978391356542614</v>
      </c>
      <c r="AX193" s="153">
        <f t="shared" si="259"/>
        <v>6.9166666666666652</v>
      </c>
      <c r="AY193" s="153">
        <f t="shared" si="260"/>
        <v>0.45147954743255003</v>
      </c>
      <c r="AZ193" s="153">
        <f t="shared" si="264"/>
        <v>15.319999999999997</v>
      </c>
      <c r="BA193" s="147">
        <f t="shared" si="350"/>
        <v>17.910795069528412</v>
      </c>
      <c r="BB193" s="147">
        <f t="shared" si="351"/>
        <v>16.336053605925933</v>
      </c>
      <c r="BC193" s="5">
        <f t="shared" si="359"/>
        <v>5.4388321184437824</v>
      </c>
      <c r="BD193" s="147">
        <f t="shared" si="352"/>
        <v>139.51245672538738</v>
      </c>
      <c r="BF193" s="153">
        <f t="shared" si="265"/>
        <v>1.3087202396104103</v>
      </c>
      <c r="BG193" s="153">
        <f t="shared" si="261"/>
        <v>0.70928976515670239</v>
      </c>
      <c r="BI193" s="463">
        <f t="shared" si="306"/>
        <v>0.18840235321225227</v>
      </c>
      <c r="BJ193" s="463">
        <f t="shared" si="307"/>
        <v>3.8299999999999994E-2</v>
      </c>
      <c r="BK193" s="463">
        <f t="shared" si="308"/>
        <v>6.8769080405850129E-3</v>
      </c>
      <c r="BL193" s="463">
        <f t="shared" si="309"/>
        <v>8.5892595180722901E-3</v>
      </c>
      <c r="BM193">
        <f t="shared" si="310"/>
        <v>2.6099999999999999E-3</v>
      </c>
      <c r="BN193">
        <f t="shared" si="353"/>
        <v>5.501526432468011E-6</v>
      </c>
      <c r="BO193" s="463">
        <f t="shared" si="354"/>
        <v>0.27994944836113655</v>
      </c>
      <c r="BP193" s="147">
        <f t="shared" si="311"/>
        <v>244.77852077090958</v>
      </c>
      <c r="BQ193" s="463">
        <f t="shared" si="355"/>
        <v>0.23540245316208444</v>
      </c>
      <c r="BT193" s="147">
        <f t="shared" si="312"/>
        <v>235.40245316208444</v>
      </c>
      <c r="BU193" s="463">
        <f t="shared" si="313"/>
        <v>0.14558363657310402</v>
      </c>
      <c r="BV193" s="463">
        <f t="shared" si="314"/>
        <v>9.5587474481649518E-2</v>
      </c>
      <c r="BW193" s="463">
        <f t="shared" si="315"/>
        <v>0</v>
      </c>
      <c r="BX193" s="463"/>
      <c r="BY193" s="463">
        <f t="shared" si="316"/>
        <v>0.76851851851851849</v>
      </c>
      <c r="BZ193" s="147">
        <f t="shared" si="317"/>
        <v>1009.689629573272</v>
      </c>
      <c r="CA193" s="153">
        <f t="shared" si="318"/>
        <v>1.4898706035062661</v>
      </c>
      <c r="CB193" s="5">
        <f t="shared" si="319"/>
        <v>6.2249999999999996</v>
      </c>
      <c r="CC193" s="153">
        <f t="shared" si="320"/>
        <v>0.80688326738375271</v>
      </c>
      <c r="CD193" s="5">
        <f t="shared" si="321"/>
        <v>80.688326738375267</v>
      </c>
      <c r="CG193" s="59">
        <f t="shared" si="356"/>
        <v>-50</v>
      </c>
      <c r="CH193">
        <f t="shared" si="357"/>
        <v>-50</v>
      </c>
    </row>
    <row r="194" spans="5:86" x14ac:dyDescent="0.25">
      <c r="E194" s="150">
        <v>84</v>
      </c>
      <c r="F194" s="191">
        <f t="shared" si="358"/>
        <v>0.42</v>
      </c>
      <c r="G194" s="191"/>
      <c r="H194" s="191">
        <f t="shared" si="322"/>
        <v>6.3</v>
      </c>
      <c r="I194" s="472">
        <f t="shared" si="323"/>
        <v>9</v>
      </c>
      <c r="J194" s="386">
        <f t="shared" si="324"/>
        <v>7.66</v>
      </c>
      <c r="K194" s="386">
        <f t="shared" si="325"/>
        <v>16.66</v>
      </c>
      <c r="L194" s="386"/>
      <c r="M194" s="191">
        <f t="shared" si="326"/>
        <v>0.45978391356542619</v>
      </c>
      <c r="N194" s="152">
        <f t="shared" si="327"/>
        <v>7.6905756302521011</v>
      </c>
      <c r="O194" s="152">
        <f t="shared" si="262"/>
        <v>6.3</v>
      </c>
      <c r="P194" s="191">
        <f t="shared" si="328"/>
        <v>0.51270504201680678</v>
      </c>
      <c r="Q194" s="191">
        <f t="shared" si="329"/>
        <v>15</v>
      </c>
      <c r="R194" s="191"/>
      <c r="S194" s="152">
        <f t="shared" si="330"/>
        <v>21.796157359364294</v>
      </c>
      <c r="T194" s="152">
        <f t="shared" si="331"/>
        <v>15</v>
      </c>
      <c r="U194" s="191">
        <f t="shared" si="332"/>
        <v>3.3832317957644324</v>
      </c>
      <c r="V194" s="191">
        <f t="shared" si="333"/>
        <v>3.3832317957644329</v>
      </c>
      <c r="W194" s="191">
        <f t="shared" si="334"/>
        <v>3.975076522438628</v>
      </c>
      <c r="X194" s="175">
        <f t="shared" si="335"/>
        <v>350</v>
      </c>
      <c r="Y194" s="386">
        <f t="shared" si="303"/>
        <v>135.90080175441813</v>
      </c>
      <c r="AA194" s="191">
        <f t="shared" si="336"/>
        <v>1.3136683244726464</v>
      </c>
      <c r="AB194" s="153">
        <f t="shared" si="337"/>
        <v>1.5434745326702111</v>
      </c>
      <c r="AC194" s="153">
        <f t="shared" si="338"/>
        <v>0.17741619027991926</v>
      </c>
      <c r="AD194" s="153"/>
      <c r="AE194" s="153">
        <f t="shared" si="339"/>
        <v>0.96344647519582249</v>
      </c>
      <c r="AF194" s="317">
        <f t="shared" si="340"/>
        <v>2126.5119968272857</v>
      </c>
      <c r="AG194" s="463">
        <f t="shared" si="341"/>
        <v>6.9127284595300251E-2</v>
      </c>
      <c r="AI194" s="153">
        <f t="shared" si="342"/>
        <v>2.0212207532413013</v>
      </c>
      <c r="AJ194" s="153">
        <f t="shared" si="343"/>
        <v>3.3832317957644324</v>
      </c>
      <c r="AK194" s="153">
        <f t="shared" si="344"/>
        <v>2.9088211971762883</v>
      </c>
      <c r="AM194" s="317">
        <f t="shared" si="345"/>
        <v>420</v>
      </c>
      <c r="AN194" s="147">
        <f t="shared" si="346"/>
        <v>135.90080175441813</v>
      </c>
      <c r="AP194">
        <f t="shared" si="347"/>
        <v>420</v>
      </c>
      <c r="AQ194">
        <f t="shared" si="348"/>
        <v>135.90080175441813</v>
      </c>
      <c r="AS194" s="5">
        <f t="shared" si="263"/>
        <v>7.3583083182030604</v>
      </c>
      <c r="AT194" s="5">
        <f t="shared" si="349"/>
        <v>3.3832317957644329</v>
      </c>
      <c r="AU194" s="5">
        <f t="shared" si="304"/>
        <v>3.9750765224386275</v>
      </c>
      <c r="AV194" s="5"/>
      <c r="AW194" s="153">
        <f t="shared" si="305"/>
        <v>0.45978391356542625</v>
      </c>
      <c r="AX194" s="153">
        <f t="shared" si="259"/>
        <v>6.9999999999999991</v>
      </c>
      <c r="AY194" s="153">
        <f t="shared" si="260"/>
        <v>0.45691906005221922</v>
      </c>
      <c r="AZ194" s="153">
        <f t="shared" si="264"/>
        <v>15.320000000000002</v>
      </c>
      <c r="BA194" s="147">
        <f t="shared" si="350"/>
        <v>17.910795069528412</v>
      </c>
      <c r="BB194" s="147">
        <f t="shared" si="351"/>
        <v>16.716884053333342</v>
      </c>
      <c r="BC194" s="5">
        <f t="shared" si="359"/>
        <v>5.5706778092233016</v>
      </c>
      <c r="BD194" s="147">
        <f t="shared" si="352"/>
        <v>142.86634170237571</v>
      </c>
      <c r="BF194" s="153">
        <f t="shared" si="265"/>
        <v>1.3244879533406564</v>
      </c>
      <c r="BG194" s="153">
        <f t="shared" si="261"/>
        <v>0.71783542497786734</v>
      </c>
      <c r="BI194" s="463">
        <f t="shared" si="306"/>
        <v>0.19296951723989728</v>
      </c>
      <c r="BJ194" s="463">
        <f t="shared" si="307"/>
        <v>3.8300000000000001E-2</v>
      </c>
      <c r="BK194" s="463">
        <f t="shared" si="308"/>
        <v>6.7950400877209056E-3</v>
      </c>
      <c r="BL194" s="463">
        <f t="shared" si="309"/>
        <v>8.4870064285714301E-3</v>
      </c>
      <c r="BM194">
        <f t="shared" si="310"/>
        <v>2.6099999999999999E-3</v>
      </c>
      <c r="BN194">
        <f t="shared" si="353"/>
        <v>5.4360320701767247E-6</v>
      </c>
      <c r="BO194" s="463">
        <f t="shared" si="354"/>
        <v>0.2853781681288865</v>
      </c>
      <c r="BP194" s="147">
        <f t="shared" si="311"/>
        <v>249.16156375618962</v>
      </c>
      <c r="BQ194" s="463">
        <f t="shared" si="355"/>
        <v>0.2391759601555622</v>
      </c>
      <c r="BT194" s="147">
        <f t="shared" si="312"/>
        <v>239.17596015556219</v>
      </c>
      <c r="BU194" s="463">
        <f t="shared" si="313"/>
        <v>0.14911280877628427</v>
      </c>
      <c r="BV194" s="463">
        <f t="shared" si="314"/>
        <v>9.7904662497099518E-2</v>
      </c>
      <c r="BW194" s="463">
        <f t="shared" si="315"/>
        <v>0</v>
      </c>
      <c r="BX194" s="463"/>
      <c r="BY194" s="463">
        <f t="shared" si="316"/>
        <v>0.77777777777777779</v>
      </c>
      <c r="BZ194" s="147">
        <f t="shared" si="317"/>
        <v>1024.7952490511616</v>
      </c>
      <c r="CA194" s="153">
        <f t="shared" si="318"/>
        <v>1.5131327729629134</v>
      </c>
      <c r="CB194" s="5">
        <f t="shared" si="319"/>
        <v>6.3</v>
      </c>
      <c r="CC194" s="153">
        <f t="shared" si="320"/>
        <v>0.80633469097068733</v>
      </c>
      <c r="CD194" s="5">
        <f t="shared" si="321"/>
        <v>80.633469097068726</v>
      </c>
      <c r="CG194" s="59">
        <f t="shared" si="356"/>
        <v>-50</v>
      </c>
      <c r="CH194">
        <f t="shared" si="357"/>
        <v>-50</v>
      </c>
    </row>
    <row r="195" spans="5:86" x14ac:dyDescent="0.25">
      <c r="E195" s="150">
        <v>85</v>
      </c>
      <c r="F195" s="191">
        <f t="shared" si="358"/>
        <v>0.42499999999999999</v>
      </c>
      <c r="G195" s="191"/>
      <c r="H195" s="191">
        <f t="shared" si="322"/>
        <v>6.375</v>
      </c>
      <c r="I195" s="472">
        <f t="shared" si="323"/>
        <v>9</v>
      </c>
      <c r="J195" s="386">
        <f t="shared" si="324"/>
        <v>7.66</v>
      </c>
      <c r="K195" s="386">
        <f t="shared" si="325"/>
        <v>16.66</v>
      </c>
      <c r="L195" s="386"/>
      <c r="M195" s="191">
        <f t="shared" si="326"/>
        <v>0.45978391356542619</v>
      </c>
      <c r="N195" s="152">
        <f t="shared" si="327"/>
        <v>7.6905756302521011</v>
      </c>
      <c r="O195" s="152">
        <f t="shared" si="262"/>
        <v>6.375</v>
      </c>
      <c r="P195" s="191">
        <f t="shared" si="328"/>
        <v>0.51270504201680678</v>
      </c>
      <c r="Q195" s="191">
        <f t="shared" si="329"/>
        <v>15</v>
      </c>
      <c r="R195" s="191"/>
      <c r="S195" s="152">
        <f t="shared" si="330"/>
        <v>21.336558472773973</v>
      </c>
      <c r="T195" s="152">
        <f t="shared" si="331"/>
        <v>15</v>
      </c>
      <c r="U195" s="191">
        <f t="shared" si="332"/>
        <v>3.4235083647616285</v>
      </c>
      <c r="V195" s="191">
        <f t="shared" si="333"/>
        <v>3.4235083647616289</v>
      </c>
      <c r="W195" s="191">
        <f t="shared" si="334"/>
        <v>4.0223988619914692</v>
      </c>
      <c r="X195" s="175">
        <f t="shared" si="335"/>
        <v>350</v>
      </c>
      <c r="Y195" s="386">
        <f t="shared" si="303"/>
        <v>134.30196879260143</v>
      </c>
      <c r="AA195" s="191">
        <f t="shared" si="336"/>
        <v>1.3136683244726464</v>
      </c>
      <c r="AB195" s="153">
        <f t="shared" si="337"/>
        <v>1.5434745326702111</v>
      </c>
      <c r="AC195" s="153">
        <f t="shared" si="338"/>
        <v>0.17741619027991926</v>
      </c>
      <c r="AD195" s="153"/>
      <c r="AE195" s="153">
        <f t="shared" si="339"/>
        <v>0.96344647519582249</v>
      </c>
      <c r="AF195" s="317">
        <f t="shared" si="340"/>
        <v>2151.8276158371341</v>
      </c>
      <c r="AG195" s="463">
        <f t="shared" si="341"/>
        <v>6.9127284595300251E-2</v>
      </c>
      <c r="AI195" s="153">
        <f t="shared" si="342"/>
        <v>2.0332162339427291</v>
      </c>
      <c r="AJ195" s="153">
        <f t="shared" si="343"/>
        <v>3.4235083647616285</v>
      </c>
      <c r="AK195" s="153">
        <f t="shared" si="344"/>
        <v>2.9356722431744195</v>
      </c>
      <c r="AM195" s="317">
        <f t="shared" si="345"/>
        <v>425</v>
      </c>
      <c r="AN195" s="147">
        <f t="shared" si="346"/>
        <v>134.30196879260143</v>
      </c>
      <c r="AP195">
        <f t="shared" si="347"/>
        <v>425</v>
      </c>
      <c r="AQ195">
        <f t="shared" si="348"/>
        <v>134.30196879260143</v>
      </c>
      <c r="AS195" s="5">
        <f t="shared" si="263"/>
        <v>7.4459072267530981</v>
      </c>
      <c r="AT195" s="5">
        <f t="shared" si="349"/>
        <v>3.4235083647616289</v>
      </c>
      <c r="AU195" s="5">
        <f t="shared" si="304"/>
        <v>4.0223988619914692</v>
      </c>
      <c r="AV195" s="5"/>
      <c r="AW195" s="153">
        <f t="shared" si="305"/>
        <v>0.45978391356542619</v>
      </c>
      <c r="AX195" s="153">
        <f t="shared" si="259"/>
        <v>7.083333333333333</v>
      </c>
      <c r="AY195" s="153">
        <f t="shared" si="260"/>
        <v>0.46235857267188851</v>
      </c>
      <c r="AZ195" s="153">
        <f t="shared" si="264"/>
        <v>15.320000000000002</v>
      </c>
      <c r="BA195" s="147">
        <f t="shared" si="350"/>
        <v>17.910795069528412</v>
      </c>
      <c r="BB195" s="147">
        <f t="shared" si="351"/>
        <v>17.102095703703711</v>
      </c>
      <c r="BC195" s="5">
        <f t="shared" si="359"/>
        <v>5.7041024903115582</v>
      </c>
      <c r="BD195" s="147">
        <f t="shared" si="352"/>
        <v>146.26006029851638</v>
      </c>
      <c r="BF195" s="153">
        <f t="shared" si="265"/>
        <v>1.3402556670709023</v>
      </c>
      <c r="BG195" s="153">
        <f t="shared" si="261"/>
        <v>0.72638108479903252</v>
      </c>
      <c r="BI195" s="463">
        <f t="shared" si="306"/>
        <v>0.19759137784272363</v>
      </c>
      <c r="BJ195" s="463">
        <f t="shared" si="307"/>
        <v>3.8300000000000001E-2</v>
      </c>
      <c r="BK195" s="463">
        <f t="shared" si="308"/>
        <v>6.7150984396300711E-3</v>
      </c>
      <c r="BL195" s="463">
        <f t="shared" si="309"/>
        <v>8.3871592941176468E-3</v>
      </c>
      <c r="BM195">
        <f t="shared" si="310"/>
        <v>2.6099999999999999E-3</v>
      </c>
      <c r="BN195">
        <f t="shared" si="353"/>
        <v>5.3720787517040575E-6</v>
      </c>
      <c r="BO195" s="463">
        <f t="shared" si="354"/>
        <v>0.29088835589065659</v>
      </c>
      <c r="BP195" s="147">
        <f t="shared" si="311"/>
        <v>253.60363557647136</v>
      </c>
      <c r="BQ195" s="463">
        <f t="shared" si="355"/>
        <v>0.24297178459806359</v>
      </c>
      <c r="BT195" s="147">
        <f t="shared" si="312"/>
        <v>242.97178459806361</v>
      </c>
      <c r="BU195" s="463">
        <f t="shared" si="313"/>
        <v>0.1526842465148319</v>
      </c>
      <c r="BV195" s="463">
        <f t="shared" si="314"/>
        <v>0.10024960126722567</v>
      </c>
      <c r="BW195" s="463">
        <f t="shared" si="315"/>
        <v>0</v>
      </c>
      <c r="BX195" s="463"/>
      <c r="BY195" s="463">
        <f t="shared" si="316"/>
        <v>0.7870370370370372</v>
      </c>
      <c r="BZ195" s="147">
        <f t="shared" si="317"/>
        <v>1039.9708848190946</v>
      </c>
      <c r="CA195" s="153">
        <f t="shared" si="318"/>
        <v>1.5365463049936299</v>
      </c>
      <c r="CB195" s="5">
        <f t="shared" si="319"/>
        <v>6.375</v>
      </c>
      <c r="CC195" s="153">
        <f t="shared" si="320"/>
        <v>0.80578432511684994</v>
      </c>
      <c r="CD195" s="5">
        <f t="shared" si="321"/>
        <v>80.578432511684994</v>
      </c>
      <c r="CG195" s="59">
        <f t="shared" si="356"/>
        <v>-50</v>
      </c>
      <c r="CH195">
        <f t="shared" si="357"/>
        <v>-50</v>
      </c>
    </row>
    <row r="196" spans="5:86" x14ac:dyDescent="0.25">
      <c r="E196" s="150">
        <v>86</v>
      </c>
      <c r="F196" s="191">
        <f t="shared" si="358"/>
        <v>0.43</v>
      </c>
      <c r="G196" s="191"/>
      <c r="H196" s="191">
        <f t="shared" si="322"/>
        <v>6.45</v>
      </c>
      <c r="I196" s="472">
        <f t="shared" si="323"/>
        <v>9</v>
      </c>
      <c r="J196" s="386">
        <f t="shared" si="324"/>
        <v>7.66</v>
      </c>
      <c r="K196" s="386">
        <f t="shared" si="325"/>
        <v>16.66</v>
      </c>
      <c r="L196" s="386"/>
      <c r="M196" s="191">
        <f t="shared" si="326"/>
        <v>0.45978391356542619</v>
      </c>
      <c r="N196" s="152">
        <f t="shared" si="327"/>
        <v>7.6905756302521011</v>
      </c>
      <c r="O196" s="152">
        <f t="shared" si="262"/>
        <v>6.45</v>
      </c>
      <c r="P196" s="191">
        <f t="shared" si="328"/>
        <v>0.51270504201680678</v>
      </c>
      <c r="Q196" s="191">
        <f t="shared" si="329"/>
        <v>15</v>
      </c>
      <c r="R196" s="191"/>
      <c r="S196" s="152">
        <f t="shared" si="330"/>
        <v>20.887876278482025</v>
      </c>
      <c r="T196" s="152">
        <f t="shared" si="331"/>
        <v>15</v>
      </c>
      <c r="U196" s="191">
        <f t="shared" si="332"/>
        <v>3.463784933758824</v>
      </c>
      <c r="V196" s="191">
        <f t="shared" si="333"/>
        <v>3.463784933758824</v>
      </c>
      <c r="W196" s="191">
        <f t="shared" si="334"/>
        <v>4.0697212015443096</v>
      </c>
      <c r="X196" s="175">
        <f t="shared" si="335"/>
        <v>350</v>
      </c>
      <c r="Y196" s="386">
        <f t="shared" si="303"/>
        <v>132.74031799268749</v>
      </c>
      <c r="AA196" s="191">
        <f t="shared" si="336"/>
        <v>1.3136683244726464</v>
      </c>
      <c r="AB196" s="153">
        <f t="shared" si="337"/>
        <v>1.5434745326702111</v>
      </c>
      <c r="AC196" s="153">
        <f t="shared" si="338"/>
        <v>0.17741619027991926</v>
      </c>
      <c r="AD196" s="153"/>
      <c r="AE196" s="153">
        <f t="shared" si="339"/>
        <v>0.96344647519582249</v>
      </c>
      <c r="AF196" s="317">
        <f t="shared" si="340"/>
        <v>2177.1432348469825</v>
      </c>
      <c r="AG196" s="463">
        <f t="shared" si="341"/>
        <v>6.9127284595300251E-2</v>
      </c>
      <c r="AI196" s="153">
        <f t="shared" si="342"/>
        <v>2.0451413580980593</v>
      </c>
      <c r="AJ196" s="153">
        <f t="shared" si="343"/>
        <v>3.463784933758824</v>
      </c>
      <c r="AK196" s="153">
        <f t="shared" si="344"/>
        <v>2.9625232891725499</v>
      </c>
      <c r="AM196" s="317">
        <f t="shared" si="345"/>
        <v>430</v>
      </c>
      <c r="AN196" s="147">
        <f t="shared" si="346"/>
        <v>132.74031799268749</v>
      </c>
      <c r="AP196">
        <f t="shared" si="347"/>
        <v>430</v>
      </c>
      <c r="AQ196">
        <f t="shared" si="348"/>
        <v>132.74031799268749</v>
      </c>
      <c r="AS196" s="5">
        <f t="shared" si="263"/>
        <v>7.5335061353031323</v>
      </c>
      <c r="AT196" s="5">
        <f t="shared" si="349"/>
        <v>3.463784933758824</v>
      </c>
      <c r="AU196" s="5">
        <f t="shared" si="304"/>
        <v>4.0697212015443078</v>
      </c>
      <c r="AV196" s="5"/>
      <c r="AW196" s="153">
        <f t="shared" si="305"/>
        <v>0.45978391356542631</v>
      </c>
      <c r="AX196" s="153">
        <f t="shared" si="259"/>
        <v>7.1666666666666687</v>
      </c>
      <c r="AY196" s="153">
        <f t="shared" si="260"/>
        <v>0.46779808529155781</v>
      </c>
      <c r="AZ196" s="153">
        <f t="shared" si="264"/>
        <v>15.320000000000007</v>
      </c>
      <c r="BA196" s="147">
        <f t="shared" si="350"/>
        <v>17.910795069528412</v>
      </c>
      <c r="BB196" s="147">
        <f t="shared" si="351"/>
        <v>17.491688557037044</v>
      </c>
      <c r="BC196" s="5">
        <f t="shared" si="359"/>
        <v>5.8391061617085489</v>
      </c>
      <c r="BD196" s="147">
        <f t="shared" si="352"/>
        <v>149.69361251380911</v>
      </c>
      <c r="BF196" s="153">
        <f t="shared" si="265"/>
        <v>1.3560233808011484</v>
      </c>
      <c r="BG196" s="153">
        <f t="shared" si="261"/>
        <v>0.73492674462019758</v>
      </c>
      <c r="BI196" s="463">
        <f t="shared" si="306"/>
        <v>0.2022679350207314</v>
      </c>
      <c r="BJ196" s="463">
        <f t="shared" si="307"/>
        <v>3.8300000000000008E-2</v>
      </c>
      <c r="BK196" s="463">
        <f t="shared" si="308"/>
        <v>6.6370158996343744E-3</v>
      </c>
      <c r="BL196" s="463">
        <f t="shared" si="309"/>
        <v>8.2896341860465156E-3</v>
      </c>
      <c r="BM196">
        <f t="shared" si="310"/>
        <v>2.6099999999999999E-3</v>
      </c>
      <c r="BN196">
        <f t="shared" si="353"/>
        <v>5.3096127197074995E-6</v>
      </c>
      <c r="BO196" s="463">
        <f t="shared" si="354"/>
        <v>0.29648024438258369</v>
      </c>
      <c r="BP196" s="147">
        <f t="shared" si="311"/>
        <v>258.10458510641229</v>
      </c>
      <c r="BQ196" s="463">
        <f t="shared" si="355"/>
        <v>0.2467899264895887</v>
      </c>
      <c r="BT196" s="147">
        <f t="shared" si="312"/>
        <v>246.78992648958871</v>
      </c>
      <c r="BU196" s="463">
        <f t="shared" si="313"/>
        <v>0.156297949788747</v>
      </c>
      <c r="BV196" s="463">
        <f t="shared" si="314"/>
        <v>0.10262229079202781</v>
      </c>
      <c r="BW196" s="463">
        <f t="shared" si="315"/>
        <v>0</v>
      </c>
      <c r="BX196" s="463"/>
      <c r="BY196" s="463">
        <f t="shared" si="316"/>
        <v>0.79629629629629661</v>
      </c>
      <c r="BZ196" s="147">
        <f t="shared" si="317"/>
        <v>1055.2165368770713</v>
      </c>
      <c r="CA196" s="153">
        <f t="shared" si="318"/>
        <v>1.5601110484730722</v>
      </c>
      <c r="CB196" s="5">
        <f t="shared" si="319"/>
        <v>6.45</v>
      </c>
      <c r="CC196" s="153">
        <f t="shared" si="320"/>
        <v>0.80523228217036158</v>
      </c>
      <c r="CD196" s="5">
        <f t="shared" si="321"/>
        <v>80.523228217036163</v>
      </c>
      <c r="CG196" s="59">
        <f t="shared" si="356"/>
        <v>-50</v>
      </c>
      <c r="CH196">
        <f t="shared" si="357"/>
        <v>-50</v>
      </c>
    </row>
    <row r="197" spans="5:86" x14ac:dyDescent="0.25">
      <c r="E197" s="150">
        <v>87</v>
      </c>
      <c r="F197" s="191">
        <f t="shared" si="358"/>
        <v>0.435</v>
      </c>
      <c r="G197" s="191"/>
      <c r="H197" s="191">
        <f t="shared" si="322"/>
        <v>6.5250000000000004</v>
      </c>
      <c r="I197" s="472">
        <f t="shared" si="323"/>
        <v>9</v>
      </c>
      <c r="J197" s="386">
        <f t="shared" si="324"/>
        <v>7.66</v>
      </c>
      <c r="K197" s="386">
        <f t="shared" si="325"/>
        <v>16.66</v>
      </c>
      <c r="L197" s="386"/>
      <c r="M197" s="191">
        <f t="shared" si="326"/>
        <v>0.45978391356542619</v>
      </c>
      <c r="N197" s="152">
        <f t="shared" si="327"/>
        <v>7.6905756302521011</v>
      </c>
      <c r="O197" s="152">
        <f t="shared" si="262"/>
        <v>6.5250000000000004</v>
      </c>
      <c r="P197" s="191">
        <f t="shared" si="328"/>
        <v>0.51270504201680678</v>
      </c>
      <c r="Q197" s="191">
        <f t="shared" si="329"/>
        <v>15</v>
      </c>
      <c r="R197" s="191"/>
      <c r="S197" s="152">
        <f t="shared" si="330"/>
        <v>20.449740322494939</v>
      </c>
      <c r="T197" s="152">
        <f t="shared" si="331"/>
        <v>15</v>
      </c>
      <c r="U197" s="191">
        <f t="shared" si="332"/>
        <v>3.5040615027560196</v>
      </c>
      <c r="V197" s="191">
        <f t="shared" si="333"/>
        <v>3.5040615027560196</v>
      </c>
      <c r="W197" s="191">
        <f t="shared" si="334"/>
        <v>4.1170435410971509</v>
      </c>
      <c r="X197" s="175">
        <f t="shared" si="335"/>
        <v>350</v>
      </c>
      <c r="Y197" s="386">
        <f t="shared" si="303"/>
        <v>131.21456721116235</v>
      </c>
      <c r="AA197" s="191">
        <f t="shared" si="336"/>
        <v>1.3136683244726464</v>
      </c>
      <c r="AB197" s="153">
        <f t="shared" si="337"/>
        <v>1.5434745326702111</v>
      </c>
      <c r="AC197" s="153">
        <f t="shared" si="338"/>
        <v>0.17741619027991926</v>
      </c>
      <c r="AD197" s="153"/>
      <c r="AE197" s="153">
        <f t="shared" si="339"/>
        <v>0.96344647519582249</v>
      </c>
      <c r="AF197" s="317">
        <f t="shared" si="340"/>
        <v>2202.4588538568314</v>
      </c>
      <c r="AG197" s="463">
        <f t="shared" si="341"/>
        <v>6.9127284595300251E-2</v>
      </c>
      <c r="AI197" s="153">
        <f t="shared" si="342"/>
        <v>2.0569973493512563</v>
      </c>
      <c r="AJ197" s="153">
        <f t="shared" si="343"/>
        <v>3.5040615027560196</v>
      </c>
      <c r="AK197" s="153">
        <f t="shared" si="344"/>
        <v>2.9893743351706803</v>
      </c>
      <c r="AM197" s="317">
        <f t="shared" si="345"/>
        <v>435</v>
      </c>
      <c r="AN197" s="147">
        <f t="shared" si="346"/>
        <v>131.21456721116235</v>
      </c>
      <c r="AP197">
        <f t="shared" si="347"/>
        <v>435</v>
      </c>
      <c r="AQ197">
        <f t="shared" si="348"/>
        <v>131.21456721116235</v>
      </c>
      <c r="AS197" s="5">
        <f t="shared" si="263"/>
        <v>7.6211050438531691</v>
      </c>
      <c r="AT197" s="5">
        <f t="shared" si="349"/>
        <v>3.5040615027560196</v>
      </c>
      <c r="AU197" s="5">
        <f t="shared" si="304"/>
        <v>4.11704354109715</v>
      </c>
      <c r="AV197" s="5"/>
      <c r="AW197" s="153">
        <f t="shared" si="305"/>
        <v>0.45978391356542625</v>
      </c>
      <c r="AX197" s="153">
        <f t="shared" ref="AX197:AX210" si="360">0.5*L*AJ197^2*AN197*1000</f>
        <v>7.25</v>
      </c>
      <c r="AY197" s="153">
        <f t="shared" ref="AY197:AY210" si="361">AJ197*Nps/2*(1-AW197)</f>
        <v>0.47323759791122705</v>
      </c>
      <c r="AZ197" s="153">
        <f t="shared" si="264"/>
        <v>15.320000000000004</v>
      </c>
      <c r="BA197" s="147">
        <f t="shared" si="350"/>
        <v>17.910795069528412</v>
      </c>
      <c r="BB197" s="147">
        <f t="shared" si="351"/>
        <v>17.885662613333341</v>
      </c>
      <c r="BC197" s="5">
        <f t="shared" si="359"/>
        <v>5.9756888234142815</v>
      </c>
      <c r="BD197" s="147">
        <f t="shared" si="352"/>
        <v>153.16699834825425</v>
      </c>
      <c r="BF197" s="153">
        <f t="shared" si="265"/>
        <v>1.3717910945313943</v>
      </c>
      <c r="BG197" s="153">
        <f t="shared" ref="BG197:BG210" si="362">AJ197*Nps*SQRT((1-AW197)/3)</f>
        <v>0.74347240444136264</v>
      </c>
      <c r="BI197" s="463">
        <f t="shared" si="306"/>
        <v>0.20699918877392048</v>
      </c>
      <c r="BJ197" s="463">
        <f t="shared" si="307"/>
        <v>3.8300000000000008E-2</v>
      </c>
      <c r="BK197" s="463">
        <f t="shared" si="308"/>
        <v>6.5607283605581173E-3</v>
      </c>
      <c r="BL197" s="463">
        <f t="shared" si="309"/>
        <v>8.1943510344827612E-3</v>
      </c>
      <c r="BM197">
        <f t="shared" si="310"/>
        <v>2.6099999999999999E-3</v>
      </c>
      <c r="BN197">
        <f t="shared" si="353"/>
        <v>5.2485826884464938E-6</v>
      </c>
      <c r="BO197" s="463">
        <f t="shared" si="354"/>
        <v>0.30215407954115803</v>
      </c>
      <c r="BP197" s="147">
        <f t="shared" si="311"/>
        <v>262.66426816896131</v>
      </c>
      <c r="BQ197" s="463">
        <f t="shared" si="355"/>
        <v>0.25063038583013747</v>
      </c>
      <c r="BT197" s="147">
        <f t="shared" si="312"/>
        <v>250.63038583013747</v>
      </c>
      <c r="BU197" s="463">
        <f t="shared" si="313"/>
        <v>0.15995391859802949</v>
      </c>
      <c r="BV197" s="463">
        <f t="shared" si="314"/>
        <v>0.10502273107150602</v>
      </c>
      <c r="BW197" s="463">
        <f t="shared" si="315"/>
        <v>0</v>
      </c>
      <c r="BX197" s="463"/>
      <c r="BY197" s="463">
        <f t="shared" si="316"/>
        <v>0.8055555555555558</v>
      </c>
      <c r="BZ197" s="147">
        <f t="shared" si="317"/>
        <v>1070.5322052250913</v>
      </c>
      <c r="CA197" s="153">
        <f t="shared" si="318"/>
        <v>1.5838268592241902</v>
      </c>
      <c r="CB197" s="5">
        <f t="shared" si="319"/>
        <v>6.5250000000000004</v>
      </c>
      <c r="CC197" s="153">
        <f t="shared" si="320"/>
        <v>0.8046786684781031</v>
      </c>
      <c r="CD197" s="5">
        <f t="shared" si="321"/>
        <v>80.467866847810313</v>
      </c>
      <c r="CG197" s="59">
        <f t="shared" si="356"/>
        <v>-50</v>
      </c>
      <c r="CH197">
        <f t="shared" si="357"/>
        <v>-50</v>
      </c>
    </row>
    <row r="198" spans="5:86" x14ac:dyDescent="0.25">
      <c r="E198" s="150">
        <v>88</v>
      </c>
      <c r="F198" s="191">
        <f t="shared" si="358"/>
        <v>0.44</v>
      </c>
      <c r="G198" s="191"/>
      <c r="H198" s="191">
        <f t="shared" si="322"/>
        <v>6.6</v>
      </c>
      <c r="I198" s="472">
        <f t="shared" si="323"/>
        <v>9</v>
      </c>
      <c r="J198" s="386">
        <f t="shared" si="324"/>
        <v>7.66</v>
      </c>
      <c r="K198" s="386">
        <f t="shared" si="325"/>
        <v>16.66</v>
      </c>
      <c r="L198" s="386"/>
      <c r="M198" s="191">
        <f t="shared" si="326"/>
        <v>0.45978391356542619</v>
      </c>
      <c r="N198" s="152">
        <f t="shared" si="327"/>
        <v>7.6905756302521011</v>
      </c>
      <c r="O198" s="152">
        <f t="shared" ref="O198:O261" si="363">T198*F198</f>
        <v>6.6</v>
      </c>
      <c r="P198" s="191">
        <f t="shared" si="328"/>
        <v>0.51270504201680678</v>
      </c>
      <c r="Q198" s="191">
        <f t="shared" si="329"/>
        <v>15</v>
      </c>
      <c r="R198" s="191"/>
      <c r="S198" s="152">
        <f t="shared" si="330"/>
        <v>20.021797185052506</v>
      </c>
      <c r="T198" s="152">
        <f t="shared" si="331"/>
        <v>15</v>
      </c>
      <c r="U198" s="191">
        <f t="shared" si="332"/>
        <v>3.5443380717532151</v>
      </c>
      <c r="V198" s="191">
        <f t="shared" si="333"/>
        <v>3.5443380717532156</v>
      </c>
      <c r="W198" s="191">
        <f t="shared" si="334"/>
        <v>4.1643658806499921</v>
      </c>
      <c r="X198" s="175">
        <f t="shared" si="335"/>
        <v>350</v>
      </c>
      <c r="Y198" s="386">
        <f t="shared" si="303"/>
        <v>129.72349258376272</v>
      </c>
      <c r="AA198" s="191">
        <f t="shared" si="336"/>
        <v>1.3136683244726464</v>
      </c>
      <c r="AB198" s="153">
        <f t="shared" si="337"/>
        <v>1.5434745326702111</v>
      </c>
      <c r="AC198" s="153">
        <f t="shared" si="338"/>
        <v>0.17741619027991926</v>
      </c>
      <c r="AD198" s="153"/>
      <c r="AE198" s="153">
        <f t="shared" si="339"/>
        <v>0.96344647519582249</v>
      </c>
      <c r="AF198" s="317">
        <f t="shared" si="340"/>
        <v>2227.7744728666798</v>
      </c>
      <c r="AG198" s="463">
        <f t="shared" si="341"/>
        <v>6.9127284595300251E-2</v>
      </c>
      <c r="AI198" s="153">
        <f t="shared" si="342"/>
        <v>2.0687853962828084</v>
      </c>
      <c r="AJ198" s="153">
        <f t="shared" si="343"/>
        <v>3.5443380717532151</v>
      </c>
      <c r="AK198" s="153">
        <f t="shared" si="344"/>
        <v>3.0162253811688107</v>
      </c>
      <c r="AM198" s="317">
        <f t="shared" si="345"/>
        <v>440</v>
      </c>
      <c r="AN198" s="147">
        <f t="shared" si="346"/>
        <v>129.72349258376272</v>
      </c>
      <c r="AP198">
        <f t="shared" si="347"/>
        <v>440</v>
      </c>
      <c r="AQ198">
        <f t="shared" si="348"/>
        <v>129.72349258376272</v>
      </c>
      <c r="AS198" s="5">
        <f t="shared" ref="AS198:AS262" si="364">1/AN198*1000</f>
        <v>7.7087039524032086</v>
      </c>
      <c r="AT198" s="5">
        <f t="shared" si="349"/>
        <v>3.5443380717532156</v>
      </c>
      <c r="AU198" s="5">
        <f t="shared" si="304"/>
        <v>4.164365880649993</v>
      </c>
      <c r="AV198" s="5"/>
      <c r="AW198" s="153">
        <f t="shared" si="305"/>
        <v>0.45978391356542614</v>
      </c>
      <c r="AX198" s="153">
        <f t="shared" si="360"/>
        <v>7.3333333333333313</v>
      </c>
      <c r="AY198" s="153">
        <f t="shared" si="361"/>
        <v>0.47867711053089645</v>
      </c>
      <c r="AZ198" s="153">
        <f t="shared" ref="AZ198:AZ210" si="365">AX198/AY198</f>
        <v>15.319999999999995</v>
      </c>
      <c r="BA198" s="147">
        <f t="shared" si="350"/>
        <v>17.910795069528412</v>
      </c>
      <c r="BB198" s="147">
        <f t="shared" si="351"/>
        <v>18.284017872592599</v>
      </c>
      <c r="BC198" s="5">
        <f t="shared" si="359"/>
        <v>6.1138504754287508</v>
      </c>
      <c r="BD198" s="147">
        <f t="shared" si="352"/>
        <v>156.6802178018516</v>
      </c>
      <c r="BF198" s="153">
        <f t="shared" ref="BF198:BF210" si="366">AJ198*SQRT(AW198/3)</f>
        <v>1.3875588082616399</v>
      </c>
      <c r="BG198" s="153">
        <f t="shared" si="362"/>
        <v>0.75201806426252782</v>
      </c>
      <c r="BI198" s="463">
        <f t="shared" si="306"/>
        <v>0.21178513910229085</v>
      </c>
      <c r="BJ198" s="463">
        <f t="shared" si="307"/>
        <v>3.8299999999999994E-2</v>
      </c>
      <c r="BK198" s="463">
        <f t="shared" si="308"/>
        <v>6.4861746291881356E-3</v>
      </c>
      <c r="BL198" s="463">
        <f t="shared" si="309"/>
        <v>8.1012334090909081E-3</v>
      </c>
      <c r="BM198">
        <f t="shared" si="310"/>
        <v>2.6099999999999999E-3</v>
      </c>
      <c r="BN198">
        <f t="shared" si="353"/>
        <v>5.1889397033505091E-6</v>
      </c>
      <c r="BO198" s="463">
        <f t="shared" si="354"/>
        <v>0.30791012017732644</v>
      </c>
      <c r="BP198" s="147">
        <f t="shared" si="311"/>
        <v>267.28254714056993</v>
      </c>
      <c r="BQ198" s="463">
        <f t="shared" si="355"/>
        <v>0.25449316261971</v>
      </c>
      <c r="BT198" s="147">
        <f t="shared" si="312"/>
        <v>254.49316261971001</v>
      </c>
      <c r="BU198" s="463">
        <f t="shared" si="313"/>
        <v>0.16365215294267932</v>
      </c>
      <c r="BV198" s="463">
        <f t="shared" si="314"/>
        <v>0.10745092210566029</v>
      </c>
      <c r="BW198" s="463">
        <f t="shared" si="315"/>
        <v>0</v>
      </c>
      <c r="BX198" s="463"/>
      <c r="BY198" s="463">
        <f t="shared" si="316"/>
        <v>0.81481481481481477</v>
      </c>
      <c r="BZ198" s="147">
        <f t="shared" si="317"/>
        <v>1085.9178898631544</v>
      </c>
      <c r="CA198" s="153">
        <f t="shared" si="318"/>
        <v>1.6076935996234343</v>
      </c>
      <c r="CB198" s="5">
        <f t="shared" si="319"/>
        <v>6.6</v>
      </c>
      <c r="CC198" s="153">
        <f t="shared" si="320"/>
        <v>0.80412358476720003</v>
      </c>
      <c r="CD198" s="5">
        <f t="shared" si="321"/>
        <v>80.412358476720001</v>
      </c>
      <c r="CG198" s="59">
        <f t="shared" si="356"/>
        <v>-50</v>
      </c>
      <c r="CH198">
        <f t="shared" si="357"/>
        <v>-50</v>
      </c>
    </row>
    <row r="199" spans="5:86" x14ac:dyDescent="0.25">
      <c r="E199" s="150">
        <v>89</v>
      </c>
      <c r="F199" s="191">
        <f t="shared" si="358"/>
        <v>0.44500000000000001</v>
      </c>
      <c r="G199" s="191"/>
      <c r="H199" s="191">
        <f t="shared" si="322"/>
        <v>6.6749999999999998</v>
      </c>
      <c r="I199" s="472">
        <f t="shared" si="323"/>
        <v>9</v>
      </c>
      <c r="J199" s="386">
        <f t="shared" si="324"/>
        <v>7.66</v>
      </c>
      <c r="K199" s="386">
        <f t="shared" si="325"/>
        <v>16.66</v>
      </c>
      <c r="L199" s="386"/>
      <c r="M199" s="191">
        <f t="shared" si="326"/>
        <v>0.45978391356542619</v>
      </c>
      <c r="N199" s="152">
        <f t="shared" si="327"/>
        <v>7.6905756302521011</v>
      </c>
      <c r="O199" s="152">
        <f t="shared" si="363"/>
        <v>6.6749999999999998</v>
      </c>
      <c r="P199" s="191">
        <f t="shared" si="328"/>
        <v>0.51270504201680678</v>
      </c>
      <c r="Q199" s="191">
        <f t="shared" si="329"/>
        <v>15</v>
      </c>
      <c r="R199" s="191"/>
      <c r="S199" s="152">
        <f t="shared" si="330"/>
        <v>19.603709530943366</v>
      </c>
      <c r="T199" s="152">
        <f t="shared" si="331"/>
        <v>15</v>
      </c>
      <c r="U199" s="191">
        <f t="shared" si="332"/>
        <v>3.5846146407504107</v>
      </c>
      <c r="V199" s="191">
        <f t="shared" si="333"/>
        <v>3.5846146407504111</v>
      </c>
      <c r="W199" s="191">
        <f t="shared" si="334"/>
        <v>4.2116882202028325</v>
      </c>
      <c r="X199" s="175">
        <f t="shared" si="335"/>
        <v>350</v>
      </c>
      <c r="Y199" s="386">
        <f t="shared" si="303"/>
        <v>128.2659252513609</v>
      </c>
      <c r="AA199" s="191">
        <f t="shared" si="336"/>
        <v>1.3136683244726464</v>
      </c>
      <c r="AB199" s="153">
        <f t="shared" si="337"/>
        <v>1.5434745326702111</v>
      </c>
      <c r="AC199" s="153">
        <f t="shared" si="338"/>
        <v>0.17741619027991926</v>
      </c>
      <c r="AD199" s="153"/>
      <c r="AE199" s="153">
        <f t="shared" si="339"/>
        <v>0.96344647519582249</v>
      </c>
      <c r="AF199" s="317">
        <f t="shared" si="340"/>
        <v>2253.0900918765287</v>
      </c>
      <c r="AG199" s="463">
        <f t="shared" si="341"/>
        <v>6.9127284595300251E-2</v>
      </c>
      <c r="AI199" s="153">
        <f t="shared" si="342"/>
        <v>2.0805066538004477</v>
      </c>
      <c r="AJ199" s="153">
        <f t="shared" si="343"/>
        <v>3.5846146407504107</v>
      </c>
      <c r="AK199" s="153">
        <f t="shared" si="344"/>
        <v>3.043076427166941</v>
      </c>
      <c r="AM199" s="317">
        <f t="shared" si="345"/>
        <v>445</v>
      </c>
      <c r="AN199" s="147">
        <f t="shared" si="346"/>
        <v>128.2659252513609</v>
      </c>
      <c r="AP199">
        <f t="shared" si="347"/>
        <v>445</v>
      </c>
      <c r="AQ199">
        <f t="shared" si="348"/>
        <v>128.2659252513609</v>
      </c>
      <c r="AS199" s="5">
        <f t="shared" si="364"/>
        <v>7.7963028609532454</v>
      </c>
      <c r="AT199" s="5">
        <f t="shared" si="349"/>
        <v>3.5846146407504111</v>
      </c>
      <c r="AU199" s="5">
        <f t="shared" si="304"/>
        <v>4.2116882202028343</v>
      </c>
      <c r="AV199" s="5"/>
      <c r="AW199" s="153">
        <f t="shared" si="305"/>
        <v>0.45978391356542608</v>
      </c>
      <c r="AX199" s="153">
        <f t="shared" si="360"/>
        <v>7.4166666666666652</v>
      </c>
      <c r="AY199" s="153">
        <f t="shared" si="361"/>
        <v>0.48411662315056581</v>
      </c>
      <c r="AZ199" s="153">
        <f t="shared" si="365"/>
        <v>15.319999999999993</v>
      </c>
      <c r="BA199" s="147">
        <f t="shared" si="350"/>
        <v>17.910795069528412</v>
      </c>
      <c r="BB199" s="147">
        <f t="shared" si="351"/>
        <v>18.686754334814825</v>
      </c>
      <c r="BC199" s="5">
        <f t="shared" si="359"/>
        <v>6.253591117751955</v>
      </c>
      <c r="BD199" s="147">
        <f t="shared" si="352"/>
        <v>160.23327087460109</v>
      </c>
      <c r="BF199" s="153">
        <f t="shared" si="366"/>
        <v>1.4033265219918858</v>
      </c>
      <c r="BG199" s="153">
        <f t="shared" si="362"/>
        <v>0.76056372408369288</v>
      </c>
      <c r="BI199" s="463">
        <f t="shared" si="306"/>
        <v>0.2166257860058427</v>
      </c>
      <c r="BJ199" s="463">
        <f t="shared" si="307"/>
        <v>3.8299999999999994E-2</v>
      </c>
      <c r="BK199" s="463">
        <f t="shared" si="308"/>
        <v>6.4132962625680443E-3</v>
      </c>
      <c r="BL199" s="463">
        <f t="shared" si="309"/>
        <v>8.0102083146067413E-3</v>
      </c>
      <c r="BM199">
        <f t="shared" si="310"/>
        <v>2.6099999999999999E-3</v>
      </c>
      <c r="BN199">
        <f t="shared" si="353"/>
        <v>5.1306370100544361E-6</v>
      </c>
      <c r="BO199" s="463">
        <f t="shared" si="354"/>
        <v>0.31374863767859018</v>
      </c>
      <c r="BP199" s="147">
        <f t="shared" si="311"/>
        <v>271.95929058301749</v>
      </c>
      <c r="BQ199" s="463">
        <f t="shared" si="355"/>
        <v>0.25837825685830612</v>
      </c>
      <c r="BT199" s="147">
        <f t="shared" si="312"/>
        <v>258.37825685830614</v>
      </c>
      <c r="BU199" s="463">
        <f t="shared" si="313"/>
        <v>0.16739265282269664</v>
      </c>
      <c r="BV199" s="463">
        <f t="shared" si="314"/>
        <v>0.10990686389449059</v>
      </c>
      <c r="BW199" s="463">
        <f t="shared" si="315"/>
        <v>0</v>
      </c>
      <c r="BX199" s="463"/>
      <c r="BY199" s="463">
        <f t="shared" si="316"/>
        <v>0.82407407407407396</v>
      </c>
      <c r="BZ199" s="147">
        <f t="shared" si="317"/>
        <v>1101.3735907912612</v>
      </c>
      <c r="CA199" s="153">
        <f t="shared" si="318"/>
        <v>1.6317111382325848</v>
      </c>
      <c r="CB199" s="5">
        <f t="shared" si="319"/>
        <v>6.6749999999999998</v>
      </c>
      <c r="CC199" s="153">
        <f t="shared" si="320"/>
        <v>0.80356712649818196</v>
      </c>
      <c r="CD199" s="5">
        <f t="shared" si="321"/>
        <v>80.356712649818192</v>
      </c>
      <c r="CG199" s="59">
        <f t="shared" si="356"/>
        <v>-50</v>
      </c>
      <c r="CH199">
        <f t="shared" si="357"/>
        <v>-50</v>
      </c>
    </row>
    <row r="200" spans="5:86" x14ac:dyDescent="0.25">
      <c r="E200" s="150">
        <v>90</v>
      </c>
      <c r="F200" s="191">
        <f t="shared" si="358"/>
        <v>0.45</v>
      </c>
      <c r="G200" s="191"/>
      <c r="H200" s="191">
        <f t="shared" si="322"/>
        <v>6.75</v>
      </c>
      <c r="I200" s="472">
        <f t="shared" si="323"/>
        <v>9</v>
      </c>
      <c r="J200" s="386">
        <f t="shared" si="324"/>
        <v>7.66</v>
      </c>
      <c r="K200" s="386">
        <f t="shared" si="325"/>
        <v>16.66</v>
      </c>
      <c r="L200" s="386"/>
      <c r="M200" s="191">
        <f t="shared" si="326"/>
        <v>0.45978391356542619</v>
      </c>
      <c r="N200" s="152">
        <f t="shared" si="327"/>
        <v>7.6905756302521011</v>
      </c>
      <c r="O200" s="152">
        <f t="shared" si="363"/>
        <v>6.75</v>
      </c>
      <c r="P200" s="191">
        <f t="shared" si="328"/>
        <v>0.51270504201680678</v>
      </c>
      <c r="Q200" s="191">
        <f t="shared" si="329"/>
        <v>15</v>
      </c>
      <c r="R200" s="191"/>
      <c r="S200" s="152">
        <f t="shared" si="330"/>
        <v>19.195155223417753</v>
      </c>
      <c r="T200" s="152">
        <f t="shared" si="331"/>
        <v>15</v>
      </c>
      <c r="U200" s="191">
        <f t="shared" si="332"/>
        <v>3.6248912097476063</v>
      </c>
      <c r="V200" s="191">
        <f t="shared" si="333"/>
        <v>3.6248912097476063</v>
      </c>
      <c r="W200" s="191">
        <f t="shared" si="334"/>
        <v>4.2590105597556729</v>
      </c>
      <c r="X200" s="175">
        <f t="shared" si="335"/>
        <v>350</v>
      </c>
      <c r="Y200" s="386">
        <f t="shared" si="303"/>
        <v>126.84074830412359</v>
      </c>
      <c r="AA200" s="191">
        <f t="shared" si="336"/>
        <v>1.3136683244726464</v>
      </c>
      <c r="AB200" s="153">
        <f t="shared" si="337"/>
        <v>1.5434745326702111</v>
      </c>
      <c r="AC200" s="153">
        <f t="shared" si="338"/>
        <v>0.17741619027991926</v>
      </c>
      <c r="AD200" s="153"/>
      <c r="AE200" s="153">
        <f t="shared" si="339"/>
        <v>0.96344647519582249</v>
      </c>
      <c r="AF200" s="317">
        <f t="shared" si="340"/>
        <v>2278.4057108863772</v>
      </c>
      <c r="AG200" s="463">
        <f t="shared" si="341"/>
        <v>6.9127284595300251E-2</v>
      </c>
      <c r="AI200" s="153">
        <f t="shared" si="342"/>
        <v>2.0921622444597499</v>
      </c>
      <c r="AJ200" s="153">
        <f t="shared" si="343"/>
        <v>3.6248912097476063</v>
      </c>
      <c r="AK200" s="153">
        <f t="shared" si="344"/>
        <v>3.0699274731650714</v>
      </c>
      <c r="AM200" s="317">
        <f t="shared" si="345"/>
        <v>450</v>
      </c>
      <c r="AN200" s="147">
        <f t="shared" si="346"/>
        <v>126.84074830412359</v>
      </c>
      <c r="AP200">
        <f t="shared" si="347"/>
        <v>450</v>
      </c>
      <c r="AQ200">
        <f t="shared" si="348"/>
        <v>126.84074830412359</v>
      </c>
      <c r="AS200" s="5">
        <f t="shared" si="364"/>
        <v>7.8839017695032796</v>
      </c>
      <c r="AT200" s="5">
        <f t="shared" si="349"/>
        <v>3.6248912097476063</v>
      </c>
      <c r="AU200" s="5">
        <f t="shared" si="304"/>
        <v>4.2590105597556729</v>
      </c>
      <c r="AV200" s="5"/>
      <c r="AW200" s="153">
        <f t="shared" si="305"/>
        <v>0.45978391356542614</v>
      </c>
      <c r="AX200" s="153">
        <f t="shared" si="360"/>
        <v>7.5000000000000009</v>
      </c>
      <c r="AY200" s="153">
        <f t="shared" si="361"/>
        <v>0.48955613577023499</v>
      </c>
      <c r="AZ200" s="153">
        <f t="shared" si="365"/>
        <v>15.320000000000002</v>
      </c>
      <c r="BA200" s="147">
        <f t="shared" si="350"/>
        <v>17.910795069528412</v>
      </c>
      <c r="BB200" s="147">
        <f t="shared" si="351"/>
        <v>19.093872000000012</v>
      </c>
      <c r="BC200" s="5">
        <f t="shared" si="359"/>
        <v>6.3949107503838931</v>
      </c>
      <c r="BD200" s="147">
        <f t="shared" si="352"/>
        <v>163.82615756650276</v>
      </c>
      <c r="BF200" s="153">
        <f t="shared" si="366"/>
        <v>1.4190942357221317</v>
      </c>
      <c r="BG200" s="153">
        <f t="shared" si="362"/>
        <v>0.76910938390485795</v>
      </c>
      <c r="BI200" s="463">
        <f t="shared" si="306"/>
        <v>0.22152112948457592</v>
      </c>
      <c r="BJ200" s="463">
        <f t="shared" si="307"/>
        <v>3.8300000000000008E-2</v>
      </c>
      <c r="BK200" s="463">
        <f t="shared" si="308"/>
        <v>6.3420374152061794E-3</v>
      </c>
      <c r="BL200" s="463">
        <f t="shared" si="309"/>
        <v>7.9212060000000018E-3</v>
      </c>
      <c r="BM200">
        <f t="shared" si="310"/>
        <v>2.6099999999999999E-3</v>
      </c>
      <c r="BN200">
        <f t="shared" si="353"/>
        <v>5.0736299321649442E-6</v>
      </c>
      <c r="BO200" s="463">
        <f t="shared" si="354"/>
        <v>0.31966991573705139</v>
      </c>
      <c r="BP200" s="147">
        <f t="shared" si="311"/>
        <v>276.69437289978208</v>
      </c>
      <c r="BQ200" s="463">
        <f t="shared" si="355"/>
        <v>0.262285668545926</v>
      </c>
      <c r="BT200" s="147">
        <f t="shared" si="312"/>
        <v>262.285668545926</v>
      </c>
      <c r="BU200" s="463">
        <f t="shared" si="313"/>
        <v>0.17117541823808141</v>
      </c>
      <c r="BV200" s="463">
        <f t="shared" si="314"/>
        <v>0.11239055643799693</v>
      </c>
      <c r="BW200" s="463">
        <f t="shared" si="315"/>
        <v>0</v>
      </c>
      <c r="BX200" s="463"/>
      <c r="BY200" s="463">
        <f t="shared" si="316"/>
        <v>0.83333333333333348</v>
      </c>
      <c r="BZ200" s="147">
        <f t="shared" si="317"/>
        <v>1116.8993080094119</v>
      </c>
      <c r="CA200" s="153">
        <f t="shared" si="318"/>
        <v>1.6558793494551201</v>
      </c>
      <c r="CB200" s="5">
        <f t="shared" si="319"/>
        <v>6.75</v>
      </c>
      <c r="CC200" s="153">
        <f t="shared" si="320"/>
        <v>0.80300938419221357</v>
      </c>
      <c r="CD200" s="5">
        <f t="shared" si="321"/>
        <v>80.300938419221353</v>
      </c>
      <c r="CG200" s="59">
        <f t="shared" si="356"/>
        <v>-50</v>
      </c>
      <c r="CH200">
        <f t="shared" si="357"/>
        <v>-50</v>
      </c>
    </row>
    <row r="201" spans="5:86" x14ac:dyDescent="0.25">
      <c r="E201" s="150">
        <v>91</v>
      </c>
      <c r="F201" s="191">
        <f t="shared" si="358"/>
        <v>0.45500000000000002</v>
      </c>
      <c r="G201" s="191"/>
      <c r="H201" s="191">
        <f t="shared" si="322"/>
        <v>6.8250000000000002</v>
      </c>
      <c r="I201" s="472">
        <f t="shared" si="323"/>
        <v>9</v>
      </c>
      <c r="J201" s="386">
        <f t="shared" si="324"/>
        <v>7.66</v>
      </c>
      <c r="K201" s="386">
        <f t="shared" si="325"/>
        <v>16.66</v>
      </c>
      <c r="L201" s="386"/>
      <c r="M201" s="191">
        <f t="shared" si="326"/>
        <v>0.45978391356542619</v>
      </c>
      <c r="N201" s="152">
        <f t="shared" si="327"/>
        <v>7.6905756302521011</v>
      </c>
      <c r="O201" s="152">
        <f t="shared" si="363"/>
        <v>6.8250000000000002</v>
      </c>
      <c r="P201" s="191">
        <f t="shared" si="328"/>
        <v>0.51270504201680678</v>
      </c>
      <c r="Q201" s="191">
        <f t="shared" si="329"/>
        <v>15</v>
      </c>
      <c r="R201" s="191"/>
      <c r="S201" s="152">
        <f t="shared" si="330"/>
        <v>18.795826496815263</v>
      </c>
      <c r="T201" s="152">
        <f t="shared" si="331"/>
        <v>15</v>
      </c>
      <c r="U201" s="191">
        <f t="shared" si="332"/>
        <v>3.6651677787448023</v>
      </c>
      <c r="V201" s="191">
        <f t="shared" si="333"/>
        <v>3.6651677787448027</v>
      </c>
      <c r="W201" s="191">
        <f t="shared" si="334"/>
        <v>4.3063328993085142</v>
      </c>
      <c r="X201" s="175">
        <f t="shared" si="335"/>
        <v>350</v>
      </c>
      <c r="Y201" s="386">
        <f t="shared" si="303"/>
        <v>125.44689392715516</v>
      </c>
      <c r="AA201" s="191">
        <f t="shared" si="336"/>
        <v>1.3136683244726464</v>
      </c>
      <c r="AB201" s="153">
        <f t="shared" si="337"/>
        <v>1.5434745326702111</v>
      </c>
      <c r="AC201" s="153">
        <f t="shared" si="338"/>
        <v>0.17741619027991926</v>
      </c>
      <c r="AD201" s="153"/>
      <c r="AE201" s="153">
        <f t="shared" si="339"/>
        <v>0.96344647519582249</v>
      </c>
      <c r="AF201" s="317">
        <f t="shared" si="340"/>
        <v>2303.7213298962261</v>
      </c>
      <c r="AG201" s="463">
        <f t="shared" si="341"/>
        <v>6.9127284595300251E-2</v>
      </c>
      <c r="AI201" s="153">
        <f t="shared" si="342"/>
        <v>2.1037532597188715</v>
      </c>
      <c r="AJ201" s="153">
        <f t="shared" si="343"/>
        <v>3.6651677787448023</v>
      </c>
      <c r="AK201" s="153">
        <f t="shared" si="344"/>
        <v>3.0967785191632018</v>
      </c>
      <c r="AM201" s="317">
        <f t="shared" si="345"/>
        <v>455</v>
      </c>
      <c r="AN201" s="147">
        <f t="shared" si="346"/>
        <v>125.44689392715516</v>
      </c>
      <c r="AP201">
        <f t="shared" si="347"/>
        <v>455</v>
      </c>
      <c r="AQ201">
        <f t="shared" si="348"/>
        <v>125.44689392715516</v>
      </c>
      <c r="AS201" s="5">
        <f t="shared" si="364"/>
        <v>7.9715006780533182</v>
      </c>
      <c r="AT201" s="5">
        <f t="shared" si="349"/>
        <v>3.6651677787448027</v>
      </c>
      <c r="AU201" s="5">
        <f t="shared" si="304"/>
        <v>4.306332899308515</v>
      </c>
      <c r="AV201" s="5"/>
      <c r="AW201" s="153">
        <f t="shared" si="305"/>
        <v>0.45978391356542614</v>
      </c>
      <c r="AX201" s="153">
        <f t="shared" si="360"/>
        <v>7.5833333333333313</v>
      </c>
      <c r="AY201" s="153">
        <f t="shared" si="361"/>
        <v>0.49499564838990429</v>
      </c>
      <c r="AZ201" s="153">
        <f t="shared" si="365"/>
        <v>15.319999999999995</v>
      </c>
      <c r="BA201" s="147">
        <f t="shared" si="350"/>
        <v>17.910795069528412</v>
      </c>
      <c r="BB201" s="147">
        <f t="shared" si="351"/>
        <v>19.505370868148155</v>
      </c>
      <c r="BC201" s="5">
        <f t="shared" si="359"/>
        <v>6.5378093733245715</v>
      </c>
      <c r="BD201" s="147">
        <f t="shared" si="352"/>
        <v>167.45887787755672</v>
      </c>
      <c r="BF201" s="153">
        <f t="shared" si="366"/>
        <v>1.4348619494523775</v>
      </c>
      <c r="BG201" s="153">
        <f t="shared" si="362"/>
        <v>0.77765504372602312</v>
      </c>
      <c r="BI201" s="463">
        <f t="shared" si="306"/>
        <v>0.22647116953849047</v>
      </c>
      <c r="BJ201" s="463">
        <f t="shared" si="307"/>
        <v>3.8299999999999994E-2</v>
      </c>
      <c r="BK201" s="463">
        <f t="shared" si="308"/>
        <v>6.2723446963577571E-3</v>
      </c>
      <c r="BL201" s="463">
        <f t="shared" si="309"/>
        <v>7.8341597802197797E-3</v>
      </c>
      <c r="BM201">
        <f t="shared" si="310"/>
        <v>2.6099999999999999E-3</v>
      </c>
      <c r="BN201">
        <f t="shared" si="353"/>
        <v>5.0178757570862067E-6</v>
      </c>
      <c r="BO201" s="463">
        <f t="shared" si="354"/>
        <v>0.32567425010154427</v>
      </c>
      <c r="BP201" s="147">
        <f t="shared" si="311"/>
        <v>281.48767401506797</v>
      </c>
      <c r="BQ201" s="463">
        <f t="shared" si="355"/>
        <v>0.26621539768256958</v>
      </c>
      <c r="BT201" s="147">
        <f t="shared" si="312"/>
        <v>266.21539768256957</v>
      </c>
      <c r="BU201" s="463">
        <f t="shared" si="313"/>
        <v>0.17500044918883356</v>
      </c>
      <c r="BV201" s="463">
        <f t="shared" si="314"/>
        <v>0.11490199973617936</v>
      </c>
      <c r="BW201" s="463">
        <f t="shared" si="315"/>
        <v>0</v>
      </c>
      <c r="BX201" s="463"/>
      <c r="BY201" s="463">
        <f t="shared" si="316"/>
        <v>0.84259259259259256</v>
      </c>
      <c r="BZ201" s="147">
        <f t="shared" si="317"/>
        <v>1132.4950415176054</v>
      </c>
      <c r="CA201" s="153">
        <f t="shared" si="318"/>
        <v>1.680198113215243</v>
      </c>
      <c r="CB201" s="5">
        <f t="shared" si="319"/>
        <v>6.8250000000000002</v>
      </c>
      <c r="CC201" s="153">
        <f t="shared" si="320"/>
        <v>0.80245044373457008</v>
      </c>
      <c r="CD201" s="5">
        <f t="shared" si="321"/>
        <v>80.245044373457006</v>
      </c>
      <c r="CG201" s="59">
        <f t="shared" si="356"/>
        <v>-50</v>
      </c>
      <c r="CH201">
        <f t="shared" si="357"/>
        <v>-50</v>
      </c>
    </row>
    <row r="202" spans="5:86" x14ac:dyDescent="0.25">
      <c r="E202" s="150">
        <v>92</v>
      </c>
      <c r="F202" s="191">
        <f t="shared" si="358"/>
        <v>0.46</v>
      </c>
      <c r="G202" s="191"/>
      <c r="H202" s="191">
        <f t="shared" si="322"/>
        <v>6.9</v>
      </c>
      <c r="I202" s="472">
        <f t="shared" si="323"/>
        <v>9</v>
      </c>
      <c r="J202" s="386">
        <f t="shared" si="324"/>
        <v>7.66</v>
      </c>
      <c r="K202" s="386">
        <f t="shared" si="325"/>
        <v>16.66</v>
      </c>
      <c r="L202" s="386"/>
      <c r="M202" s="191">
        <f t="shared" si="326"/>
        <v>0.45978391356542619</v>
      </c>
      <c r="N202" s="152">
        <f t="shared" si="327"/>
        <v>7.6905756302521011</v>
      </c>
      <c r="O202" s="152">
        <f t="shared" si="363"/>
        <v>6.9</v>
      </c>
      <c r="P202" s="191">
        <f t="shared" si="328"/>
        <v>0.51270504201680678</v>
      </c>
      <c r="Q202" s="191">
        <f t="shared" si="329"/>
        <v>15</v>
      </c>
      <c r="R202" s="191"/>
      <c r="S202" s="152">
        <f t="shared" si="330"/>
        <v>18.405429183450078</v>
      </c>
      <c r="T202" s="152">
        <f t="shared" si="331"/>
        <v>15</v>
      </c>
      <c r="U202" s="191">
        <f t="shared" si="332"/>
        <v>3.7054443477419978</v>
      </c>
      <c r="V202" s="191">
        <f t="shared" si="333"/>
        <v>3.7054443477419978</v>
      </c>
      <c r="W202" s="191">
        <f t="shared" si="334"/>
        <v>4.3536552388613545</v>
      </c>
      <c r="X202" s="175">
        <f t="shared" si="335"/>
        <v>350</v>
      </c>
      <c r="Y202" s="386">
        <f t="shared" si="303"/>
        <v>124.08334073229481</v>
      </c>
      <c r="AA202" s="191">
        <f t="shared" si="336"/>
        <v>1.3136683244726464</v>
      </c>
      <c r="AB202" s="153">
        <f t="shared" si="337"/>
        <v>1.5434745326702111</v>
      </c>
      <c r="AC202" s="153">
        <f t="shared" si="338"/>
        <v>0.17741619027991926</v>
      </c>
      <c r="AD202" s="153"/>
      <c r="AE202" s="153">
        <f t="shared" si="339"/>
        <v>0.96344647519582249</v>
      </c>
      <c r="AF202" s="317">
        <f t="shared" si="340"/>
        <v>2329.0369489060749</v>
      </c>
      <c r="AG202" s="463">
        <f t="shared" si="341"/>
        <v>6.9127284595300251E-2</v>
      </c>
      <c r="AI202" s="153">
        <f t="shared" si="342"/>
        <v>2.1152807611314151</v>
      </c>
      <c r="AJ202" s="153">
        <f t="shared" si="343"/>
        <v>3.7054443477419978</v>
      </c>
      <c r="AK202" s="153">
        <f t="shared" si="344"/>
        <v>3.1236295651613322</v>
      </c>
      <c r="AM202" s="317">
        <f t="shared" si="345"/>
        <v>460</v>
      </c>
      <c r="AN202" s="147">
        <f t="shared" si="346"/>
        <v>124.08334073229481</v>
      </c>
      <c r="AP202">
        <f t="shared" si="347"/>
        <v>460</v>
      </c>
      <c r="AQ202">
        <f t="shared" si="348"/>
        <v>124.08334073229481</v>
      </c>
      <c r="AS202" s="5">
        <f t="shared" si="364"/>
        <v>8.0590995866033506</v>
      </c>
      <c r="AT202" s="5">
        <f t="shared" si="349"/>
        <v>3.7054443477419978</v>
      </c>
      <c r="AU202" s="5">
        <f t="shared" si="304"/>
        <v>4.3536552388613527</v>
      </c>
      <c r="AV202" s="5"/>
      <c r="AW202" s="153">
        <f t="shared" si="305"/>
        <v>0.45978391356542631</v>
      </c>
      <c r="AX202" s="153">
        <f t="shared" si="360"/>
        <v>7.6666666666666679</v>
      </c>
      <c r="AY202" s="153">
        <f t="shared" si="361"/>
        <v>0.50043516100957341</v>
      </c>
      <c r="AZ202" s="153">
        <f t="shared" si="365"/>
        <v>15.320000000000006</v>
      </c>
      <c r="BA202" s="147">
        <f t="shared" si="350"/>
        <v>17.910795069528412</v>
      </c>
      <c r="BB202" s="147">
        <f t="shared" si="351"/>
        <v>19.921250939259266</v>
      </c>
      <c r="BC202" s="5">
        <f t="shared" si="359"/>
        <v>6.6822869865739811</v>
      </c>
      <c r="BD202" s="147">
        <f t="shared" si="352"/>
        <v>171.13143180776282</v>
      </c>
      <c r="BF202" s="153">
        <f t="shared" si="366"/>
        <v>1.4506296631826239</v>
      </c>
      <c r="BG202" s="153">
        <f t="shared" si="362"/>
        <v>0.78620070354718807</v>
      </c>
      <c r="BI202" s="463">
        <f t="shared" si="306"/>
        <v>0.23147590616758659</v>
      </c>
      <c r="BJ202" s="463">
        <f t="shared" si="307"/>
        <v>3.8300000000000008E-2</v>
      </c>
      <c r="BK202" s="463">
        <f t="shared" si="308"/>
        <v>6.2041670366147399E-3</v>
      </c>
      <c r="BL202" s="463">
        <f t="shared" si="309"/>
        <v>7.7490058695652182E-3</v>
      </c>
      <c r="BM202">
        <f t="shared" si="310"/>
        <v>2.6099999999999999E-3</v>
      </c>
      <c r="BN202">
        <f t="shared" si="353"/>
        <v>4.963333629291793E-6</v>
      </c>
      <c r="BO202" s="463">
        <f t="shared" si="354"/>
        <v>0.33176194835215334</v>
      </c>
      <c r="BP202" s="147">
        <f t="shared" si="311"/>
        <v>286.33907907376658</v>
      </c>
      <c r="BQ202" s="463">
        <f t="shared" si="355"/>
        <v>0.27016744426823669</v>
      </c>
      <c r="BT202" s="147">
        <f t="shared" si="312"/>
        <v>270.16744426823669</v>
      </c>
      <c r="BU202" s="463">
        <f t="shared" si="313"/>
        <v>0.17886774567495328</v>
      </c>
      <c r="BV202" s="463">
        <f t="shared" si="314"/>
        <v>0.11744119378903776</v>
      </c>
      <c r="BW202" s="463">
        <f t="shared" si="315"/>
        <v>0</v>
      </c>
      <c r="BX202" s="463"/>
      <c r="BY202" s="463">
        <f t="shared" si="316"/>
        <v>0.85185185185185208</v>
      </c>
      <c r="BZ202" s="147">
        <f t="shared" si="317"/>
        <v>1148.1607913158432</v>
      </c>
      <c r="CA202" s="153">
        <f t="shared" si="318"/>
        <v>1.7046673146578462</v>
      </c>
      <c r="CB202" s="5">
        <f t="shared" si="319"/>
        <v>6.9</v>
      </c>
      <c r="CC202" s="153">
        <f t="shared" si="320"/>
        <v>0.80189038665632251</v>
      </c>
      <c r="CD202" s="5">
        <f t="shared" si="321"/>
        <v>80.189038665632253</v>
      </c>
      <c r="CG202" s="59">
        <f t="shared" si="356"/>
        <v>-50</v>
      </c>
      <c r="CH202">
        <f t="shared" si="357"/>
        <v>-50</v>
      </c>
    </row>
    <row r="203" spans="5:86" x14ac:dyDescent="0.25">
      <c r="E203" s="150">
        <v>93</v>
      </c>
      <c r="F203" s="191">
        <f t="shared" si="358"/>
        <v>0.46500000000000002</v>
      </c>
      <c r="G203" s="191"/>
      <c r="H203" s="191">
        <f t="shared" si="322"/>
        <v>6.9750000000000005</v>
      </c>
      <c r="I203" s="472">
        <f t="shared" si="323"/>
        <v>9</v>
      </c>
      <c r="J203" s="386">
        <f t="shared" si="324"/>
        <v>7.66</v>
      </c>
      <c r="K203" s="386">
        <f t="shared" si="325"/>
        <v>16.66</v>
      </c>
      <c r="L203" s="386"/>
      <c r="M203" s="191">
        <f t="shared" si="326"/>
        <v>0.45978391356542619</v>
      </c>
      <c r="N203" s="152">
        <f t="shared" si="327"/>
        <v>7.6905756302521011</v>
      </c>
      <c r="O203" s="152">
        <f t="shared" si="363"/>
        <v>6.9750000000000005</v>
      </c>
      <c r="P203" s="191">
        <f t="shared" si="328"/>
        <v>0.51270504201680678</v>
      </c>
      <c r="Q203" s="191">
        <f t="shared" si="329"/>
        <v>15</v>
      </c>
      <c r="R203" s="191"/>
      <c r="S203" s="152">
        <f t="shared" si="330"/>
        <v>18.023681990679538</v>
      </c>
      <c r="T203" s="152">
        <f t="shared" si="331"/>
        <v>15</v>
      </c>
      <c r="U203" s="191">
        <f t="shared" si="332"/>
        <v>3.7457209167391938</v>
      </c>
      <c r="V203" s="191">
        <f t="shared" si="333"/>
        <v>3.7457209167391943</v>
      </c>
      <c r="W203" s="191">
        <f t="shared" si="334"/>
        <v>4.4009775784141967</v>
      </c>
      <c r="X203" s="175">
        <f t="shared" si="335"/>
        <v>350</v>
      </c>
      <c r="Y203" s="386">
        <f t="shared" si="303"/>
        <v>122.74911126205505</v>
      </c>
      <c r="AA203" s="191">
        <f t="shared" si="336"/>
        <v>1.3136683244726464</v>
      </c>
      <c r="AB203" s="153">
        <f t="shared" si="337"/>
        <v>1.5434745326702111</v>
      </c>
      <c r="AC203" s="153">
        <f t="shared" si="338"/>
        <v>0.17741619027991926</v>
      </c>
      <c r="AD203" s="153"/>
      <c r="AE203" s="153">
        <f t="shared" si="339"/>
        <v>0.96344647519582249</v>
      </c>
      <c r="AF203" s="317">
        <f t="shared" si="340"/>
        <v>2354.3525679159234</v>
      </c>
      <c r="AG203" s="463">
        <f t="shared" si="341"/>
        <v>6.9127284595300251E-2</v>
      </c>
      <c r="AI203" s="153">
        <f t="shared" si="342"/>
        <v>2.1267457814810915</v>
      </c>
      <c r="AJ203" s="153">
        <f t="shared" si="343"/>
        <v>3.7457209167391938</v>
      </c>
      <c r="AK203" s="153">
        <f t="shared" si="344"/>
        <v>3.150480611159463</v>
      </c>
      <c r="AM203" s="317">
        <f t="shared" si="345"/>
        <v>465</v>
      </c>
      <c r="AN203" s="147">
        <f t="shared" si="346"/>
        <v>122.74911126205505</v>
      </c>
      <c r="AP203">
        <f t="shared" si="347"/>
        <v>465</v>
      </c>
      <c r="AQ203">
        <f t="shared" si="348"/>
        <v>122.74911126205505</v>
      </c>
      <c r="AS203" s="5">
        <f t="shared" si="364"/>
        <v>8.146698495153391</v>
      </c>
      <c r="AT203" s="5">
        <f t="shared" si="349"/>
        <v>3.7457209167391943</v>
      </c>
      <c r="AU203" s="5">
        <f t="shared" si="304"/>
        <v>4.4009775784141967</v>
      </c>
      <c r="AV203" s="5"/>
      <c r="AW203" s="153">
        <f t="shared" si="305"/>
        <v>0.45978391356542619</v>
      </c>
      <c r="AX203" s="153">
        <f t="shared" si="360"/>
        <v>7.75</v>
      </c>
      <c r="AY203" s="153">
        <f t="shared" si="361"/>
        <v>0.50587467362924277</v>
      </c>
      <c r="AZ203" s="153">
        <f t="shared" si="365"/>
        <v>15.320000000000002</v>
      </c>
      <c r="BA203" s="147">
        <f t="shared" si="350"/>
        <v>17.910795069528412</v>
      </c>
      <c r="BB203" s="147">
        <f t="shared" si="351"/>
        <v>20.341512213333342</v>
      </c>
      <c r="BC203" s="5">
        <f t="shared" si="359"/>
        <v>6.8283435901321363</v>
      </c>
      <c r="BD203" s="147">
        <f t="shared" si="352"/>
        <v>174.8438193571213</v>
      </c>
      <c r="BF203" s="153">
        <f t="shared" si="366"/>
        <v>1.4663973769128695</v>
      </c>
      <c r="BG203" s="153">
        <f t="shared" si="362"/>
        <v>0.79474636336835325</v>
      </c>
      <c r="BI203" s="463">
        <f t="shared" si="306"/>
        <v>0.23653533937186388</v>
      </c>
      <c r="BJ203" s="463">
        <f t="shared" si="307"/>
        <v>3.8300000000000001E-2</v>
      </c>
      <c r="BK203" s="463">
        <f t="shared" si="308"/>
        <v>6.1374555631027528E-3</v>
      </c>
      <c r="BL203" s="463">
        <f t="shared" si="309"/>
        <v>7.6656832258064512E-3</v>
      </c>
      <c r="BM203">
        <f t="shared" si="310"/>
        <v>2.6099999999999999E-3</v>
      </c>
      <c r="BN203">
        <f t="shared" si="353"/>
        <v>4.9099644504822023E-6</v>
      </c>
      <c r="BO203" s="463">
        <f t="shared" si="354"/>
        <v>0.33793332969556467</v>
      </c>
      <c r="BP203" s="147">
        <f t="shared" si="311"/>
        <v>291.24847816077312</v>
      </c>
      <c r="BQ203" s="463">
        <f t="shared" si="355"/>
        <v>0.27414180830292761</v>
      </c>
      <c r="BT203" s="147">
        <f t="shared" si="312"/>
        <v>274.14180830292759</v>
      </c>
      <c r="BU203" s="463">
        <f t="shared" si="313"/>
        <v>0.18277730769644029</v>
      </c>
      <c r="BV203" s="463">
        <f t="shared" si="314"/>
        <v>0.12000813859657228</v>
      </c>
      <c r="BW203" s="463">
        <f t="shared" si="315"/>
        <v>0</v>
      </c>
      <c r="BX203" s="463"/>
      <c r="BY203" s="463">
        <f t="shared" si="316"/>
        <v>0.86111111111111116</v>
      </c>
      <c r="BZ203" s="147">
        <f t="shared" si="317"/>
        <v>1163.8965574041238</v>
      </c>
      <c r="CA203" s="153">
        <f t="shared" si="318"/>
        <v>1.7292868438678244</v>
      </c>
      <c r="CB203" s="5">
        <f t="shared" si="319"/>
        <v>6.9750000000000005</v>
      </c>
      <c r="CC203" s="153">
        <f t="shared" si="320"/>
        <v>0.80132929039601808</v>
      </c>
      <c r="CD203" s="5">
        <f t="shared" si="321"/>
        <v>80.132929039601805</v>
      </c>
      <c r="CG203" s="59">
        <f t="shared" si="356"/>
        <v>-50</v>
      </c>
      <c r="CH203">
        <f t="shared" si="357"/>
        <v>-50</v>
      </c>
    </row>
    <row r="204" spans="5:86" x14ac:dyDescent="0.25">
      <c r="E204" s="150">
        <v>94</v>
      </c>
      <c r="F204" s="191">
        <f t="shared" si="358"/>
        <v>0.47</v>
      </c>
      <c r="G204" s="191"/>
      <c r="H204" s="191">
        <f t="shared" si="322"/>
        <v>7.05</v>
      </c>
      <c r="I204" s="472">
        <f t="shared" si="323"/>
        <v>9</v>
      </c>
      <c r="J204" s="386">
        <f t="shared" si="324"/>
        <v>7.66</v>
      </c>
      <c r="K204" s="386">
        <f t="shared" si="325"/>
        <v>16.66</v>
      </c>
      <c r="L204" s="386"/>
      <c r="M204" s="191">
        <f t="shared" si="326"/>
        <v>0.45978391356542619</v>
      </c>
      <c r="N204" s="152">
        <f t="shared" si="327"/>
        <v>7.6905756302521011</v>
      </c>
      <c r="O204" s="152">
        <f t="shared" si="363"/>
        <v>7.05</v>
      </c>
      <c r="P204" s="191">
        <f t="shared" si="328"/>
        <v>0.51270504201680678</v>
      </c>
      <c r="Q204" s="191">
        <f t="shared" si="329"/>
        <v>15</v>
      </c>
      <c r="R204" s="191"/>
      <c r="S204" s="152">
        <f t="shared" si="330"/>
        <v>17.650315824428812</v>
      </c>
      <c r="T204" s="152">
        <f t="shared" si="331"/>
        <v>15</v>
      </c>
      <c r="U204" s="191">
        <f t="shared" si="332"/>
        <v>3.7859974857363889</v>
      </c>
      <c r="V204" s="191">
        <f t="shared" si="333"/>
        <v>3.7859974857363894</v>
      </c>
      <c r="W204" s="191">
        <f t="shared" si="334"/>
        <v>4.4482999179670371</v>
      </c>
      <c r="X204" s="175">
        <f t="shared" si="335"/>
        <v>350</v>
      </c>
      <c r="Y204" s="386">
        <f t="shared" si="303"/>
        <v>121.44326965288427</v>
      </c>
      <c r="AA204" s="191">
        <f t="shared" si="336"/>
        <v>1.3136683244726464</v>
      </c>
      <c r="AB204" s="153">
        <f t="shared" si="337"/>
        <v>1.5434745326702111</v>
      </c>
      <c r="AC204" s="153">
        <f t="shared" si="338"/>
        <v>0.17741619027991926</v>
      </c>
      <c r="AD204" s="153"/>
      <c r="AE204" s="153">
        <f t="shared" si="339"/>
        <v>0.96344647519582249</v>
      </c>
      <c r="AF204" s="317">
        <f t="shared" si="340"/>
        <v>2379.6681869257718</v>
      </c>
      <c r="AG204" s="463">
        <f t="shared" si="341"/>
        <v>6.9127284595300251E-2</v>
      </c>
      <c r="AI204" s="153">
        <f t="shared" si="342"/>
        <v>2.1381493258616291</v>
      </c>
      <c r="AJ204" s="153">
        <f t="shared" si="343"/>
        <v>3.7859974857363889</v>
      </c>
      <c r="AK204" s="153">
        <f t="shared" si="344"/>
        <v>3.1773316571575929</v>
      </c>
      <c r="AM204" s="317">
        <f t="shared" si="345"/>
        <v>470</v>
      </c>
      <c r="AN204" s="147">
        <f t="shared" si="346"/>
        <v>121.44326965288427</v>
      </c>
      <c r="AP204">
        <f t="shared" si="347"/>
        <v>470</v>
      </c>
      <c r="AQ204">
        <f t="shared" si="348"/>
        <v>121.44326965288427</v>
      </c>
      <c r="AS204" s="5">
        <f t="shared" si="364"/>
        <v>8.234297403703426</v>
      </c>
      <c r="AT204" s="5">
        <f t="shared" si="349"/>
        <v>3.7859974857363894</v>
      </c>
      <c r="AU204" s="5">
        <f t="shared" si="304"/>
        <v>4.4482999179670362</v>
      </c>
      <c r="AV204" s="5"/>
      <c r="AW204" s="153">
        <f t="shared" si="305"/>
        <v>0.45978391356542619</v>
      </c>
      <c r="AX204" s="153">
        <f t="shared" si="360"/>
        <v>7.833333333333333</v>
      </c>
      <c r="AY204" s="153">
        <f t="shared" si="361"/>
        <v>0.51131418624891201</v>
      </c>
      <c r="AZ204" s="153">
        <f t="shared" si="365"/>
        <v>15.320000000000002</v>
      </c>
      <c r="BA204" s="147">
        <f t="shared" si="350"/>
        <v>17.910795069528412</v>
      </c>
      <c r="BB204" s="147">
        <f t="shared" si="351"/>
        <v>20.766154690370378</v>
      </c>
      <c r="BC204" s="5">
        <f t="shared" si="359"/>
        <v>6.9759791839990211</v>
      </c>
      <c r="BD204" s="147">
        <f t="shared" si="352"/>
        <v>178.59604052563191</v>
      </c>
      <c r="BF204" s="153">
        <f t="shared" si="366"/>
        <v>1.4821650906431152</v>
      </c>
      <c r="BG204" s="153">
        <f t="shared" si="362"/>
        <v>0.8032920231895182</v>
      </c>
      <c r="BI204" s="463">
        <f t="shared" si="306"/>
        <v>0.24164946915132254</v>
      </c>
      <c r="BJ204" s="463">
        <f t="shared" si="307"/>
        <v>3.8299999999999994E-2</v>
      </c>
      <c r="BK204" s="463">
        <f t="shared" si="308"/>
        <v>6.072163482644213E-3</v>
      </c>
      <c r="BL204" s="463">
        <f t="shared" si="309"/>
        <v>7.58413340425532E-3</v>
      </c>
      <c r="BM204">
        <f t="shared" si="310"/>
        <v>2.6099999999999999E-3</v>
      </c>
      <c r="BN204">
        <f t="shared" si="353"/>
        <v>4.8577307861153707E-6</v>
      </c>
      <c r="BO204" s="463">
        <f t="shared" si="354"/>
        <v>0.34418872477984136</v>
      </c>
      <c r="BP204" s="147">
        <f t="shared" si="311"/>
        <v>296.21576603822206</v>
      </c>
      <c r="BQ204" s="463">
        <f t="shared" si="355"/>
        <v>0.27813848978664218</v>
      </c>
      <c r="BT204" s="147">
        <f t="shared" si="312"/>
        <v>278.1384897866422</v>
      </c>
      <c r="BU204" s="463">
        <f t="shared" si="313"/>
        <v>0.18672913525329471</v>
      </c>
      <c r="BV204" s="463">
        <f t="shared" si="314"/>
        <v>0.1226028341587828</v>
      </c>
      <c r="BW204" s="463">
        <f t="shared" si="315"/>
        <v>0</v>
      </c>
      <c r="BX204" s="463"/>
      <c r="BY204" s="463">
        <f t="shared" si="316"/>
        <v>0.87037037037037046</v>
      </c>
      <c r="BZ204" s="147">
        <f t="shared" si="317"/>
        <v>1179.702339782448</v>
      </c>
      <c r="CA204" s="153">
        <f t="shared" si="318"/>
        <v>1.7540565956073122</v>
      </c>
      <c r="CB204" s="5">
        <f t="shared" si="319"/>
        <v>7.05</v>
      </c>
      <c r="CC204" s="153">
        <f t="shared" si="320"/>
        <v>0.80076722854297877</v>
      </c>
      <c r="CD204" s="5">
        <f t="shared" si="321"/>
        <v>80.076722854297884</v>
      </c>
      <c r="CG204" s="59">
        <f t="shared" si="356"/>
        <v>-50</v>
      </c>
      <c r="CH204">
        <f t="shared" si="357"/>
        <v>-50</v>
      </c>
    </row>
    <row r="205" spans="5:86" x14ac:dyDescent="0.25">
      <c r="E205" s="150">
        <v>95</v>
      </c>
      <c r="F205" s="191">
        <f t="shared" si="358"/>
        <v>0.47499999999999998</v>
      </c>
      <c r="G205" s="191"/>
      <c r="H205" s="191">
        <f t="shared" si="322"/>
        <v>7.125</v>
      </c>
      <c r="I205" s="472">
        <f t="shared" si="323"/>
        <v>9</v>
      </c>
      <c r="J205" s="386">
        <f t="shared" si="324"/>
        <v>7.66</v>
      </c>
      <c r="K205" s="386">
        <f t="shared" si="325"/>
        <v>16.66</v>
      </c>
      <c r="L205" s="386"/>
      <c r="M205" s="191">
        <f t="shared" si="326"/>
        <v>0.45978391356542619</v>
      </c>
      <c r="N205" s="152">
        <f t="shared" si="327"/>
        <v>7.6905756302521011</v>
      </c>
      <c r="O205" s="152">
        <f t="shared" si="363"/>
        <v>7.125</v>
      </c>
      <c r="P205" s="191">
        <f t="shared" si="328"/>
        <v>0.51270504201680678</v>
      </c>
      <c r="Q205" s="191">
        <f t="shared" si="329"/>
        <v>15</v>
      </c>
      <c r="R205" s="191"/>
      <c r="S205" s="152">
        <f t="shared" si="330"/>
        <v>17.285073155758024</v>
      </c>
      <c r="T205" s="152">
        <f t="shared" si="331"/>
        <v>15</v>
      </c>
      <c r="U205" s="191">
        <f t="shared" si="332"/>
        <v>3.8262740547335845</v>
      </c>
      <c r="V205" s="191">
        <f t="shared" si="333"/>
        <v>3.826274054733585</v>
      </c>
      <c r="W205" s="191">
        <f t="shared" si="334"/>
        <v>4.4956222575198774</v>
      </c>
      <c r="X205" s="175">
        <f t="shared" si="335"/>
        <v>350</v>
      </c>
      <c r="Y205" s="386">
        <f t="shared" si="303"/>
        <v>120.16491944601179</v>
      </c>
      <c r="AA205" s="191">
        <f t="shared" si="336"/>
        <v>1.3136683244726464</v>
      </c>
      <c r="AB205" s="153">
        <f t="shared" si="337"/>
        <v>1.5434745326702111</v>
      </c>
      <c r="AC205" s="153">
        <f t="shared" si="338"/>
        <v>0.17741619027991926</v>
      </c>
      <c r="AD205" s="153"/>
      <c r="AE205" s="153">
        <f t="shared" si="339"/>
        <v>0.96344647519582249</v>
      </c>
      <c r="AF205" s="317">
        <f t="shared" si="340"/>
        <v>2404.9838059356202</v>
      </c>
      <c r="AG205" s="463">
        <f t="shared" si="341"/>
        <v>6.9127284595300251E-2</v>
      </c>
      <c r="AI205" s="153">
        <f t="shared" si="342"/>
        <v>2.1494923727051138</v>
      </c>
      <c r="AJ205" s="153">
        <f t="shared" si="343"/>
        <v>3.8262740547335845</v>
      </c>
      <c r="AK205" s="153">
        <f t="shared" si="344"/>
        <v>3.2041827031557233</v>
      </c>
      <c r="AM205" s="317">
        <f t="shared" si="345"/>
        <v>475</v>
      </c>
      <c r="AN205" s="147">
        <f t="shared" si="346"/>
        <v>120.16491944601179</v>
      </c>
      <c r="AP205">
        <f t="shared" si="347"/>
        <v>475</v>
      </c>
      <c r="AQ205">
        <f t="shared" si="348"/>
        <v>120.16491944601179</v>
      </c>
      <c r="AS205" s="5">
        <f t="shared" si="364"/>
        <v>8.3218963122534628</v>
      </c>
      <c r="AT205" s="5">
        <f t="shared" si="349"/>
        <v>3.826274054733585</v>
      </c>
      <c r="AU205" s="5">
        <f t="shared" si="304"/>
        <v>4.4956222575198783</v>
      </c>
      <c r="AV205" s="5"/>
      <c r="AW205" s="153">
        <f t="shared" si="305"/>
        <v>0.45978391356542619</v>
      </c>
      <c r="AX205" s="153">
        <f t="shared" si="360"/>
        <v>7.9166666666666652</v>
      </c>
      <c r="AY205" s="153">
        <f t="shared" si="361"/>
        <v>0.51675369886858125</v>
      </c>
      <c r="AZ205" s="153">
        <f t="shared" si="365"/>
        <v>15.32</v>
      </c>
      <c r="BA205" s="147">
        <f t="shared" si="350"/>
        <v>17.910795069528412</v>
      </c>
      <c r="BB205" s="147">
        <f t="shared" si="351"/>
        <v>21.195178370370378</v>
      </c>
      <c r="BC205" s="5">
        <f t="shared" si="359"/>
        <v>7.1251937681746469</v>
      </c>
      <c r="BD205" s="147">
        <f t="shared" si="352"/>
        <v>182.38809531329477</v>
      </c>
      <c r="BF205" s="153">
        <f t="shared" si="366"/>
        <v>1.4979328043733611</v>
      </c>
      <c r="BG205" s="153">
        <f t="shared" si="362"/>
        <v>0.81183768301068338</v>
      </c>
      <c r="BI205" s="463">
        <f t="shared" si="306"/>
        <v>0.24681829550596265</v>
      </c>
      <c r="BJ205" s="463">
        <f t="shared" si="307"/>
        <v>3.8299999999999994E-2</v>
      </c>
      <c r="BK205" s="463">
        <f t="shared" si="308"/>
        <v>6.0082459723005896E-3</v>
      </c>
      <c r="BL205" s="463">
        <f t="shared" si="309"/>
        <v>7.5043004210526313E-3</v>
      </c>
      <c r="BM205">
        <f t="shared" si="310"/>
        <v>2.6099999999999999E-3</v>
      </c>
      <c r="BN205">
        <f t="shared" si="353"/>
        <v>4.8065967778404722E-6</v>
      </c>
      <c r="BO205" s="463">
        <f t="shared" si="354"/>
        <v>0.35052847552732286</v>
      </c>
      <c r="BP205" s="147">
        <f t="shared" si="311"/>
        <v>301.24084189931585</v>
      </c>
      <c r="BQ205" s="463">
        <f t="shared" si="355"/>
        <v>0.28215748871938046</v>
      </c>
      <c r="BT205" s="147">
        <f t="shared" si="312"/>
        <v>282.15748871938047</v>
      </c>
      <c r="BU205" s="463">
        <f t="shared" si="313"/>
        <v>0.19072322834551661</v>
      </c>
      <c r="BV205" s="463">
        <f t="shared" si="314"/>
        <v>0.12522528047566941</v>
      </c>
      <c r="BW205" s="463">
        <f t="shared" si="315"/>
        <v>0</v>
      </c>
      <c r="BX205" s="463"/>
      <c r="BY205" s="463">
        <f t="shared" si="316"/>
        <v>0.87962962962962965</v>
      </c>
      <c r="BZ205" s="147">
        <f t="shared" si="317"/>
        <v>1195.5781384508157</v>
      </c>
      <c r="CA205" s="153">
        <f t="shared" si="318"/>
        <v>1.7789764690695118</v>
      </c>
      <c r="CB205" s="5">
        <f t="shared" si="319"/>
        <v>7.125</v>
      </c>
      <c r="CC205" s="153">
        <f t="shared" si="320"/>
        <v>0.80020427106368808</v>
      </c>
      <c r="CD205" s="5">
        <f t="shared" si="321"/>
        <v>80.020427106368814</v>
      </c>
      <c r="CG205" s="59">
        <f t="shared" si="356"/>
        <v>-50</v>
      </c>
      <c r="CH205">
        <f t="shared" si="357"/>
        <v>-50</v>
      </c>
    </row>
    <row r="206" spans="5:86" x14ac:dyDescent="0.25">
      <c r="E206" s="150">
        <v>96</v>
      </c>
      <c r="F206" s="191">
        <f t="shared" si="358"/>
        <v>0.48</v>
      </c>
      <c r="G206" s="191"/>
      <c r="H206" s="191">
        <f t="shared" ref="H206:H210" si="367">F206*Vout</f>
        <v>7.1999999999999993</v>
      </c>
      <c r="I206" s="472">
        <f t="shared" si="323"/>
        <v>9</v>
      </c>
      <c r="J206" s="386">
        <f t="shared" si="324"/>
        <v>7.66</v>
      </c>
      <c r="K206" s="386">
        <f t="shared" si="325"/>
        <v>16.66</v>
      </c>
      <c r="L206" s="386"/>
      <c r="M206" s="191">
        <f t="shared" si="326"/>
        <v>0.45978391356542619</v>
      </c>
      <c r="N206" s="152">
        <f t="shared" ref="N206:N210" si="368">M206*I206*(Isw_max+VIN_min/Lmag*ILIM_delay)*0.5*Efficiency</f>
        <v>7.6905756302521011</v>
      </c>
      <c r="O206" s="152">
        <f t="shared" si="363"/>
        <v>7.1999999999999993</v>
      </c>
      <c r="P206" s="191">
        <f t="shared" ref="P206:P210" si="369">N206/Vout</f>
        <v>0.51270504201680678</v>
      </c>
      <c r="Q206" s="191">
        <f t="shared" si="329"/>
        <v>15</v>
      </c>
      <c r="R206" s="191"/>
      <c r="S206" s="152">
        <f t="shared" si="330"/>
        <v>16.927707427342991</v>
      </c>
      <c r="T206" s="152">
        <f t="shared" ref="T206:T210" si="370">MIN(Vout, S206)</f>
        <v>15</v>
      </c>
      <c r="U206" s="191">
        <f t="shared" si="332"/>
        <v>3.8665506237307801</v>
      </c>
      <c r="V206" s="191">
        <f t="shared" ref="V206:V210" si="371">L*U206/I206*1000000</f>
        <v>3.8665506237307801</v>
      </c>
      <c r="W206" s="191">
        <f t="shared" si="334"/>
        <v>4.5429445970727178</v>
      </c>
      <c r="X206" s="175">
        <f t="shared" si="335"/>
        <v>350</v>
      </c>
      <c r="Y206" s="386">
        <f t="shared" si="303"/>
        <v>118.91320153511586</v>
      </c>
      <c r="AA206" s="191">
        <f t="shared" si="336"/>
        <v>1.3136683244726464</v>
      </c>
      <c r="AB206" s="153">
        <f t="shared" ref="AB206:AB210" si="372">L*AA206/J206*1000000</f>
        <v>1.5434745326702111</v>
      </c>
      <c r="AC206" s="153">
        <f t="shared" ref="AC206:AC210" si="373">0.5*AB206*AA206*Nps*X206/1000</f>
        <v>0.17741619027991926</v>
      </c>
      <c r="AD206" s="153"/>
      <c r="AE206" s="153">
        <f t="shared" si="339"/>
        <v>0.96344647519582249</v>
      </c>
      <c r="AF206" s="317">
        <f t="shared" ref="AF206:AF210" si="374">MAX(12000,F206/(0.5*AE206/1000000*Isw_min*Nps))/1000</f>
        <v>2430.2994249454691</v>
      </c>
      <c r="AG206" s="463">
        <f t="shared" si="341"/>
        <v>6.9127284595300251E-2</v>
      </c>
      <c r="AI206" s="153">
        <f t="shared" si="342"/>
        <v>2.160775874761744</v>
      </c>
      <c r="AJ206" s="153">
        <f t="shared" ref="AJ206:AJ210" si="375">MAX(IF(F206&gt;AC206,U206,AI206),Isw_min)</f>
        <v>3.8665506237307801</v>
      </c>
      <c r="AK206" s="153">
        <f t="shared" ref="AK206:AK210" si="376">IF(F206&gt;AG206, (AJ206-Isw_min)/1.2*0.8+1.2, AF206*0.2/350+1)</f>
        <v>3.2310337491538537</v>
      </c>
      <c r="AM206" s="317">
        <f t="shared" si="345"/>
        <v>480</v>
      </c>
      <c r="AN206" s="147">
        <f t="shared" si="346"/>
        <v>118.91320153511586</v>
      </c>
      <c r="AP206">
        <f t="shared" si="347"/>
        <v>480</v>
      </c>
      <c r="AQ206">
        <f t="shared" si="348"/>
        <v>118.91320153511586</v>
      </c>
      <c r="AS206" s="5">
        <f t="shared" si="364"/>
        <v>8.4094952208034979</v>
      </c>
      <c r="AT206" s="5">
        <f t="shared" si="349"/>
        <v>3.8665506237307801</v>
      </c>
      <c r="AU206" s="5">
        <f t="shared" si="304"/>
        <v>4.5429445970727178</v>
      </c>
      <c r="AV206" s="5"/>
      <c r="AW206" s="153">
        <f t="shared" si="305"/>
        <v>0.45978391356542619</v>
      </c>
      <c r="AX206" s="153">
        <f t="shared" si="360"/>
        <v>8</v>
      </c>
      <c r="AY206" s="153">
        <f t="shared" si="361"/>
        <v>0.52219321148825049</v>
      </c>
      <c r="AZ206" s="153">
        <f t="shared" si="365"/>
        <v>15.320000000000006</v>
      </c>
      <c r="BA206" s="147">
        <f t="shared" si="350"/>
        <v>17.910795069528412</v>
      </c>
      <c r="BB206" s="147">
        <f t="shared" si="351"/>
        <v>21.628583253333343</v>
      </c>
      <c r="BC206" s="5">
        <f t="shared" si="359"/>
        <v>7.2759873426590076</v>
      </c>
      <c r="BD206" s="147">
        <f t="shared" si="352"/>
        <v>186.21998372010984</v>
      </c>
      <c r="BF206" s="153">
        <f t="shared" si="366"/>
        <v>1.513700518103607</v>
      </c>
      <c r="BG206" s="153">
        <f t="shared" si="362"/>
        <v>0.82038334283184844</v>
      </c>
      <c r="BI206" s="463">
        <f t="shared" si="306"/>
        <v>0.2520418184357841</v>
      </c>
      <c r="BJ206" s="463">
        <f t="shared" si="307"/>
        <v>3.8300000000000001E-2</v>
      </c>
      <c r="BK206" s="463">
        <f t="shared" si="308"/>
        <v>5.945660076755792E-3</v>
      </c>
      <c r="BL206" s="463">
        <f t="shared" si="309"/>
        <v>7.4261306250000009E-3</v>
      </c>
      <c r="BM206">
        <f t="shared" si="310"/>
        <v>2.6099999999999999E-3</v>
      </c>
      <c r="BN206">
        <f t="shared" si="353"/>
        <v>4.7565280614046346E-6</v>
      </c>
      <c r="BO206" s="463">
        <f t="shared" ref="BO206:BO210" si="377">(BJ206+BK206+BL206+BM206+BN206+BI206*(1+RdsonTC*(Ta-25)))/(1-BI206*RdsonTC*ThetaJA)</f>
        <v>0.3569529349844705</v>
      </c>
      <c r="BP206" s="147">
        <f t="shared" si="311"/>
        <v>306.3236091375399</v>
      </c>
      <c r="BQ206" s="463">
        <f t="shared" si="355"/>
        <v>0.28619880510114243</v>
      </c>
      <c r="BT206" s="147">
        <f t="shared" si="312"/>
        <v>286.19880510114245</v>
      </c>
      <c r="BU206" s="463">
        <f t="shared" si="313"/>
        <v>0.19475958697310589</v>
      </c>
      <c r="BV206" s="463">
        <f t="shared" si="314"/>
        <v>0.12787547754723205</v>
      </c>
      <c r="BW206" s="463">
        <f t="shared" si="315"/>
        <v>0</v>
      </c>
      <c r="BX206" s="463"/>
      <c r="BY206" s="463">
        <f t="shared" si="316"/>
        <v>0.88888888888888906</v>
      </c>
      <c r="BZ206" s="147">
        <f t="shared" si="317"/>
        <v>1211.523953409227</v>
      </c>
      <c r="CA206" s="153">
        <f t="shared" si="318"/>
        <v>1.8040463676479095</v>
      </c>
      <c r="CB206" s="5">
        <f t="shared" si="319"/>
        <v>7.1999999999999993</v>
      </c>
      <c r="CC206" s="153">
        <f t="shared" si="320"/>
        <v>0.79964048451261216</v>
      </c>
      <c r="CD206" s="5">
        <f t="shared" si="321"/>
        <v>79.96404845126122</v>
      </c>
      <c r="CG206" s="59">
        <f t="shared" si="356"/>
        <v>-50</v>
      </c>
      <c r="CH206">
        <f t="shared" si="357"/>
        <v>-50</v>
      </c>
    </row>
    <row r="207" spans="5:86" x14ac:dyDescent="0.25">
      <c r="E207" s="150">
        <v>97</v>
      </c>
      <c r="F207" s="191">
        <f t="shared" ref="F207:F210" si="378">IF(PLOT_TYPE=1, E207/100*Iout_max, min_I*EXP(N207*rr/100))</f>
        <v>0.48499999999999999</v>
      </c>
      <c r="G207" s="191"/>
      <c r="H207" s="191">
        <f t="shared" si="367"/>
        <v>7.2749999999999995</v>
      </c>
      <c r="I207" s="472">
        <f t="shared" si="323"/>
        <v>9</v>
      </c>
      <c r="J207" s="386">
        <f t="shared" si="324"/>
        <v>7.66</v>
      </c>
      <c r="K207" s="386">
        <f t="shared" si="325"/>
        <v>16.66</v>
      </c>
      <c r="L207" s="386"/>
      <c r="M207" s="191">
        <f t="shared" si="326"/>
        <v>0.45978391356542619</v>
      </c>
      <c r="N207" s="152">
        <f t="shared" si="368"/>
        <v>7.6905756302521011</v>
      </c>
      <c r="O207" s="152">
        <f t="shared" si="363"/>
        <v>7.2749999999999995</v>
      </c>
      <c r="P207" s="191">
        <f t="shared" si="369"/>
        <v>0.51270504201680678</v>
      </c>
      <c r="Q207" s="191">
        <f t="shared" si="329"/>
        <v>15</v>
      </c>
      <c r="R207" s="191"/>
      <c r="S207" s="152">
        <f t="shared" si="330"/>
        <v>16.577982496998086</v>
      </c>
      <c r="T207" s="152">
        <f t="shared" si="370"/>
        <v>15</v>
      </c>
      <c r="U207" s="191">
        <f t="shared" si="332"/>
        <v>3.9068271927279756</v>
      </c>
      <c r="V207" s="191">
        <f t="shared" si="371"/>
        <v>3.9068271927279756</v>
      </c>
      <c r="W207" s="191">
        <f t="shared" si="334"/>
        <v>4.5902669366255591</v>
      </c>
      <c r="X207" s="175">
        <f t="shared" si="335"/>
        <v>350</v>
      </c>
      <c r="Y207" s="386">
        <f t="shared" si="303"/>
        <v>117.6872922409394</v>
      </c>
      <c r="AA207" s="191">
        <f t="shared" si="336"/>
        <v>1.3136683244726464</v>
      </c>
      <c r="AB207" s="153">
        <f t="shared" si="372"/>
        <v>1.5434745326702111</v>
      </c>
      <c r="AC207" s="153">
        <f t="shared" si="373"/>
        <v>0.17741619027991926</v>
      </c>
      <c r="AD207" s="153"/>
      <c r="AE207" s="153">
        <f t="shared" si="339"/>
        <v>0.96344647519582249</v>
      </c>
      <c r="AF207" s="317">
        <f t="shared" si="374"/>
        <v>2455.6150439553176</v>
      </c>
      <c r="AG207" s="463">
        <f t="shared" si="341"/>
        <v>6.9127284595300251E-2</v>
      </c>
      <c r="AI207" s="153">
        <f t="shared" si="342"/>
        <v>2.1720007600337761</v>
      </c>
      <c r="AJ207" s="153">
        <f t="shared" si="375"/>
        <v>3.9068271927279756</v>
      </c>
      <c r="AK207" s="153">
        <f t="shared" si="376"/>
        <v>3.257884795151984</v>
      </c>
      <c r="AM207" s="317">
        <f t="shared" si="345"/>
        <v>485</v>
      </c>
      <c r="AN207" s="147">
        <f t="shared" si="346"/>
        <v>117.6872922409394</v>
      </c>
      <c r="AP207">
        <f t="shared" si="347"/>
        <v>485</v>
      </c>
      <c r="AQ207">
        <f t="shared" si="348"/>
        <v>117.6872922409394</v>
      </c>
      <c r="AS207" s="5">
        <f t="shared" si="364"/>
        <v>8.4970941293535347</v>
      </c>
      <c r="AT207" s="5">
        <f t="shared" si="349"/>
        <v>3.9068271927279756</v>
      </c>
      <c r="AU207" s="5">
        <f t="shared" si="304"/>
        <v>4.5902669366255591</v>
      </c>
      <c r="AV207" s="5"/>
      <c r="AW207" s="153">
        <f t="shared" si="305"/>
        <v>0.45978391356542614</v>
      </c>
      <c r="AX207" s="153">
        <f t="shared" si="360"/>
        <v>8.0833333333333321</v>
      </c>
      <c r="AY207" s="153">
        <f t="shared" si="361"/>
        <v>0.52763272410791995</v>
      </c>
      <c r="AZ207" s="153">
        <f t="shared" si="365"/>
        <v>15.319999999999997</v>
      </c>
      <c r="BA207" s="147">
        <f t="shared" si="350"/>
        <v>17.910795069528412</v>
      </c>
      <c r="BB207" s="147">
        <f t="shared" si="351"/>
        <v>22.066369339259268</v>
      </c>
      <c r="BC207" s="5">
        <f t="shared" si="359"/>
        <v>7.4283599074521032</v>
      </c>
      <c r="BD207" s="147">
        <f t="shared" si="352"/>
        <v>190.09170574607705</v>
      </c>
      <c r="BF207" s="153">
        <f t="shared" si="366"/>
        <v>1.5294682318338528</v>
      </c>
      <c r="BG207" s="153">
        <f t="shared" si="362"/>
        <v>0.82892900265301361</v>
      </c>
      <c r="BI207" s="463">
        <f t="shared" si="306"/>
        <v>0.25732003794078695</v>
      </c>
      <c r="BJ207" s="463">
        <f t="shared" si="307"/>
        <v>3.8300000000000001E-2</v>
      </c>
      <c r="BK207" s="463">
        <f t="shared" si="308"/>
        <v>5.88436461204697E-3</v>
      </c>
      <c r="BL207" s="463">
        <f t="shared" si="309"/>
        <v>7.3495725773195875E-3</v>
      </c>
      <c r="BM207">
        <f t="shared" si="310"/>
        <v>2.6099999999999999E-3</v>
      </c>
      <c r="BN207">
        <f t="shared" si="353"/>
        <v>4.7074916896375762E-6</v>
      </c>
      <c r="BO207" s="463">
        <f t="shared" si="377"/>
        <v>0.36346246718757647</v>
      </c>
      <c r="BP207" s="147">
        <f t="shared" si="311"/>
        <v>311.46397513015353</v>
      </c>
      <c r="BQ207" s="463">
        <f t="shared" si="355"/>
        <v>0.2902624389319281</v>
      </c>
      <c r="BT207" s="147">
        <f t="shared" si="312"/>
        <v>290.2624389319281</v>
      </c>
      <c r="BU207" s="463">
        <f t="shared" si="313"/>
        <v>0.19883821113606265</v>
      </c>
      <c r="BV207" s="463">
        <f t="shared" si="314"/>
        <v>0.13055342537347076</v>
      </c>
      <c r="BW207" s="463">
        <f t="shared" si="315"/>
        <v>0</v>
      </c>
      <c r="BX207" s="463"/>
      <c r="BY207" s="463">
        <f t="shared" si="316"/>
        <v>0.89814814814814803</v>
      </c>
      <c r="BZ207" s="147">
        <f t="shared" si="317"/>
        <v>1227.5397846576814</v>
      </c>
      <c r="CA207" s="153">
        <f t="shared" si="318"/>
        <v>1.8292661987197629</v>
      </c>
      <c r="CB207" s="5">
        <f t="shared" si="319"/>
        <v>7.2749999999999995</v>
      </c>
      <c r="CC207" s="153">
        <f t="shared" si="320"/>
        <v>0.79907593222867379</v>
      </c>
      <c r="CD207" s="5">
        <f t="shared" si="321"/>
        <v>79.907593222867376</v>
      </c>
      <c r="CG207" s="59">
        <f t="shared" si="356"/>
        <v>-50</v>
      </c>
      <c r="CH207">
        <f t="shared" si="357"/>
        <v>-50</v>
      </c>
    </row>
    <row r="208" spans="5:86" x14ac:dyDescent="0.25">
      <c r="E208" s="150">
        <v>98</v>
      </c>
      <c r="F208" s="191">
        <f t="shared" si="378"/>
        <v>0.49</v>
      </c>
      <c r="G208" s="191"/>
      <c r="H208" s="191">
        <f t="shared" si="367"/>
        <v>7.35</v>
      </c>
      <c r="I208" s="472">
        <f t="shared" si="323"/>
        <v>9</v>
      </c>
      <c r="J208" s="386">
        <f t="shared" si="324"/>
        <v>7.66</v>
      </c>
      <c r="K208" s="386">
        <f t="shared" si="325"/>
        <v>16.66</v>
      </c>
      <c r="L208" s="386"/>
      <c r="M208" s="191">
        <f t="shared" si="326"/>
        <v>0.45978391356542619</v>
      </c>
      <c r="N208" s="152">
        <f t="shared" si="368"/>
        <v>7.6905756302521011</v>
      </c>
      <c r="O208" s="152">
        <f t="shared" si="363"/>
        <v>7.35</v>
      </c>
      <c r="P208" s="191">
        <f t="shared" si="369"/>
        <v>0.51270504201680678</v>
      </c>
      <c r="Q208" s="191">
        <f t="shared" si="329"/>
        <v>15</v>
      </c>
      <c r="R208" s="191"/>
      <c r="S208" s="152">
        <f t="shared" si="330"/>
        <v>16.235672115604459</v>
      </c>
      <c r="T208" s="152">
        <f t="shared" si="370"/>
        <v>15</v>
      </c>
      <c r="U208" s="191">
        <f t="shared" si="332"/>
        <v>3.9471037617251712</v>
      </c>
      <c r="V208" s="191">
        <f t="shared" si="371"/>
        <v>3.9471037617251716</v>
      </c>
      <c r="W208" s="191">
        <f t="shared" si="334"/>
        <v>4.6375892761784003</v>
      </c>
      <c r="X208" s="175">
        <f t="shared" si="335"/>
        <v>350</v>
      </c>
      <c r="Y208" s="386">
        <f t="shared" si="303"/>
        <v>116.48640150378696</v>
      </c>
      <c r="AA208" s="191">
        <f t="shared" si="336"/>
        <v>1.3136683244726464</v>
      </c>
      <c r="AB208" s="153">
        <f t="shared" si="372"/>
        <v>1.5434745326702111</v>
      </c>
      <c r="AC208" s="153">
        <f t="shared" si="373"/>
        <v>0.17741619027991926</v>
      </c>
      <c r="AD208" s="153"/>
      <c r="AE208" s="153">
        <f t="shared" si="339"/>
        <v>0.96344647519582249</v>
      </c>
      <c r="AF208" s="317">
        <f t="shared" si="374"/>
        <v>2480.9306629651664</v>
      </c>
      <c r="AG208" s="463">
        <f t="shared" si="341"/>
        <v>6.9127284595300251E-2</v>
      </c>
      <c r="AI208" s="153">
        <f t="shared" si="342"/>
        <v>2.1831679326662488</v>
      </c>
      <c r="AJ208" s="153">
        <f t="shared" si="375"/>
        <v>3.9471037617251712</v>
      </c>
      <c r="AK208" s="153">
        <f t="shared" si="376"/>
        <v>3.2847358411501144</v>
      </c>
      <c r="AM208" s="317">
        <f t="shared" si="345"/>
        <v>490</v>
      </c>
      <c r="AN208" s="147">
        <f t="shared" si="346"/>
        <v>116.48640150378696</v>
      </c>
      <c r="AP208">
        <f t="shared" si="347"/>
        <v>490</v>
      </c>
      <c r="AQ208">
        <f t="shared" si="348"/>
        <v>116.48640150378696</v>
      </c>
      <c r="AS208" s="5">
        <f t="shared" si="364"/>
        <v>8.5846930379035697</v>
      </c>
      <c r="AT208" s="5">
        <f t="shared" si="349"/>
        <v>3.9471037617251716</v>
      </c>
      <c r="AU208" s="5">
        <f t="shared" si="304"/>
        <v>4.6375892761783977</v>
      </c>
      <c r="AV208" s="5"/>
      <c r="AW208" s="153">
        <f t="shared" si="305"/>
        <v>0.45978391356542625</v>
      </c>
      <c r="AX208" s="153">
        <f t="shared" si="360"/>
        <v>8.1666666666666643</v>
      </c>
      <c r="AY208" s="153">
        <f t="shared" si="361"/>
        <v>0.53307223672758908</v>
      </c>
      <c r="AZ208" s="153">
        <f t="shared" si="365"/>
        <v>15.319999999999999</v>
      </c>
      <c r="BA208" s="147">
        <f t="shared" si="350"/>
        <v>17.910795069528412</v>
      </c>
      <c r="BB208" s="147">
        <f t="shared" si="351"/>
        <v>22.508536628148153</v>
      </c>
      <c r="BC208" s="5">
        <f t="shared" si="359"/>
        <v>7.5823114625539345</v>
      </c>
      <c r="BD208" s="147">
        <f t="shared" si="352"/>
        <v>194.0032613911965</v>
      </c>
      <c r="BF208" s="153">
        <f t="shared" si="366"/>
        <v>1.5452359455640989</v>
      </c>
      <c r="BG208" s="153">
        <f t="shared" si="362"/>
        <v>0.83747466247417857</v>
      </c>
      <c r="BI208" s="463">
        <f t="shared" si="306"/>
        <v>0.26265295402097127</v>
      </c>
      <c r="BJ208" s="463">
        <f t="shared" si="307"/>
        <v>3.8299999999999994E-2</v>
      </c>
      <c r="BK208" s="463">
        <f t="shared" si="308"/>
        <v>5.8243200751893478E-3</v>
      </c>
      <c r="BL208" s="463">
        <f t="shared" si="309"/>
        <v>7.2745769387755118E-3</v>
      </c>
      <c r="BM208">
        <f t="shared" si="310"/>
        <v>2.6099999999999999E-3</v>
      </c>
      <c r="BN208">
        <f t="shared" si="353"/>
        <v>4.6594560601514786E-6</v>
      </c>
      <c r="BO208" s="463">
        <f t="shared" si="377"/>
        <v>0.37005744704334348</v>
      </c>
      <c r="BP208" s="147">
        <f t="shared" si="311"/>
        <v>316.66185103493615</v>
      </c>
      <c r="BQ208" s="463">
        <f t="shared" si="355"/>
        <v>0.29434839021173737</v>
      </c>
      <c r="BT208" s="147">
        <f t="shared" si="312"/>
        <v>294.34839021173735</v>
      </c>
      <c r="BU208" s="463">
        <f t="shared" si="313"/>
        <v>0.2029591008343869</v>
      </c>
      <c r="BV208" s="463">
        <f t="shared" si="314"/>
        <v>0.13325912395438547</v>
      </c>
      <c r="BW208" s="463">
        <f t="shared" si="315"/>
        <v>0</v>
      </c>
      <c r="BX208" s="463"/>
      <c r="BY208" s="463">
        <f t="shared" si="316"/>
        <v>0.90740740740740744</v>
      </c>
      <c r="BZ208" s="147">
        <f t="shared" si="317"/>
        <v>1243.6256321961798</v>
      </c>
      <c r="CA208" s="153">
        <f t="shared" si="318"/>
        <v>1.8546358734428534</v>
      </c>
      <c r="CB208" s="5">
        <f t="shared" si="319"/>
        <v>7.35</v>
      </c>
      <c r="CC208" s="153">
        <f t="shared" si="320"/>
        <v>0.79851067451849611</v>
      </c>
      <c r="CD208" s="5">
        <f t="shared" si="321"/>
        <v>79.851067451849616</v>
      </c>
      <c r="CG208" s="59">
        <f t="shared" si="356"/>
        <v>-50</v>
      </c>
      <c r="CH208">
        <f t="shared" si="357"/>
        <v>-50</v>
      </c>
    </row>
    <row r="209" spans="5:88" x14ac:dyDescent="0.25">
      <c r="E209" s="150">
        <v>99</v>
      </c>
      <c r="F209" s="191">
        <f t="shared" si="378"/>
        <v>0.495</v>
      </c>
      <c r="G209" s="191"/>
      <c r="H209" s="191">
        <f t="shared" si="367"/>
        <v>7.4249999999999998</v>
      </c>
      <c r="I209" s="472">
        <f t="shared" si="323"/>
        <v>9</v>
      </c>
      <c r="J209" s="386">
        <f t="shared" si="324"/>
        <v>7.66</v>
      </c>
      <c r="K209" s="386">
        <f t="shared" si="325"/>
        <v>16.66</v>
      </c>
      <c r="L209" s="386"/>
      <c r="M209" s="191">
        <f t="shared" si="326"/>
        <v>0.45978391356542619</v>
      </c>
      <c r="N209" s="152">
        <f t="shared" si="368"/>
        <v>7.6905756302521011</v>
      </c>
      <c r="O209" s="152">
        <f t="shared" si="363"/>
        <v>7.4249999999999998</v>
      </c>
      <c r="P209" s="191">
        <f t="shared" si="369"/>
        <v>0.51270504201680678</v>
      </c>
      <c r="Q209" s="191">
        <f t="shared" si="329"/>
        <v>15</v>
      </c>
      <c r="R209" s="191"/>
      <c r="S209" s="152">
        <f t="shared" si="330"/>
        <v>15.90055943701916</v>
      </c>
      <c r="T209" s="152">
        <f t="shared" si="370"/>
        <v>15</v>
      </c>
      <c r="U209" s="191">
        <f t="shared" si="332"/>
        <v>3.9873803307223672</v>
      </c>
      <c r="V209" s="191">
        <f t="shared" si="371"/>
        <v>3.9873803307223672</v>
      </c>
      <c r="W209" s="191">
        <f t="shared" si="334"/>
        <v>4.6849116157312407</v>
      </c>
      <c r="X209" s="175">
        <f t="shared" si="335"/>
        <v>350</v>
      </c>
      <c r="Y209" s="386">
        <f t="shared" si="303"/>
        <v>115.30977118556689</v>
      </c>
      <c r="AA209" s="191">
        <f t="shared" si="336"/>
        <v>1.3136683244726464</v>
      </c>
      <c r="AB209" s="153">
        <f t="shared" si="372"/>
        <v>1.5434745326702111</v>
      </c>
      <c r="AC209" s="153">
        <f t="shared" si="373"/>
        <v>0.17741619027991926</v>
      </c>
      <c r="AD209" s="153"/>
      <c r="AE209" s="153">
        <f t="shared" si="339"/>
        <v>0.96344647519582249</v>
      </c>
      <c r="AF209" s="317">
        <f t="shared" si="374"/>
        <v>2506.2462819750149</v>
      </c>
      <c r="AG209" s="463">
        <f t="shared" si="341"/>
        <v>6.9127284595300251E-2</v>
      </c>
      <c r="AI209" s="153">
        <f t="shared" si="342"/>
        <v>2.1942782737969089</v>
      </c>
      <c r="AJ209" s="153">
        <f t="shared" si="375"/>
        <v>3.9873803307223672</v>
      </c>
      <c r="AK209" s="153">
        <f t="shared" si="376"/>
        <v>3.3115868871482448</v>
      </c>
      <c r="AM209" s="317">
        <f t="shared" si="345"/>
        <v>495</v>
      </c>
      <c r="AN209" s="147">
        <f t="shared" si="346"/>
        <v>115.30977118556689</v>
      </c>
      <c r="AP209">
        <f t="shared" si="347"/>
        <v>495</v>
      </c>
      <c r="AQ209">
        <f t="shared" si="348"/>
        <v>115.30977118556689</v>
      </c>
      <c r="AS209" s="5">
        <f t="shared" si="364"/>
        <v>8.6722919464536083</v>
      </c>
      <c r="AT209" s="5">
        <f t="shared" si="349"/>
        <v>3.9873803307223672</v>
      </c>
      <c r="AU209" s="5">
        <f t="shared" si="304"/>
        <v>4.6849116157312416</v>
      </c>
      <c r="AV209" s="5"/>
      <c r="AW209" s="153">
        <f t="shared" si="305"/>
        <v>0.45978391356542614</v>
      </c>
      <c r="AX209" s="153">
        <f t="shared" si="360"/>
        <v>8.2499999999999982</v>
      </c>
      <c r="AY209" s="153">
        <f t="shared" si="361"/>
        <v>0.53851174934725854</v>
      </c>
      <c r="AZ209" s="153">
        <f t="shared" si="365"/>
        <v>15.319999999999995</v>
      </c>
      <c r="BA209" s="147">
        <f t="shared" si="350"/>
        <v>17.910795069528412</v>
      </c>
      <c r="BB209" s="147">
        <f t="shared" si="351"/>
        <v>22.95508512000001</v>
      </c>
      <c r="BC209" s="5">
        <f t="shared" si="359"/>
        <v>7.7378420079645123</v>
      </c>
      <c r="BD209" s="147">
        <f t="shared" si="352"/>
        <v>197.95465065546838</v>
      </c>
      <c r="BF209" s="153">
        <f t="shared" si="366"/>
        <v>1.5610036592943448</v>
      </c>
      <c r="BG209" s="153">
        <f t="shared" si="362"/>
        <v>0.84602032229534385</v>
      </c>
      <c r="BI209" s="463">
        <f t="shared" si="306"/>
        <v>0.26804056667633686</v>
      </c>
      <c r="BJ209" s="463">
        <f t="shared" si="307"/>
        <v>3.8300000000000008E-2</v>
      </c>
      <c r="BK209" s="463">
        <f t="shared" si="308"/>
        <v>5.7654885592783442E-3</v>
      </c>
      <c r="BL209" s="463">
        <f t="shared" si="309"/>
        <v>7.2010963636363638E-3</v>
      </c>
      <c r="BM209">
        <f t="shared" si="310"/>
        <v>2.6099999999999999E-3</v>
      </c>
      <c r="BN209">
        <f t="shared" si="353"/>
        <v>4.6123908474226758E-6</v>
      </c>
      <c r="BO209" s="463">
        <f t="shared" si="377"/>
        <v>0.37673826022342988</v>
      </c>
      <c r="BP209" s="147">
        <f t="shared" si="311"/>
        <v>321.91715159925155</v>
      </c>
      <c r="BQ209" s="463">
        <f t="shared" si="355"/>
        <v>0.29845665894057044</v>
      </c>
      <c r="BT209" s="147">
        <f t="shared" si="312"/>
        <v>298.45665894057043</v>
      </c>
      <c r="BU209" s="463">
        <f t="shared" si="313"/>
        <v>0.20712225606807849</v>
      </c>
      <c r="BV209" s="463">
        <f t="shared" si="314"/>
        <v>0.13599257328997633</v>
      </c>
      <c r="BW209" s="463">
        <f t="shared" si="315"/>
        <v>0</v>
      </c>
      <c r="BX209" s="463"/>
      <c r="BY209" s="463">
        <f t="shared" si="316"/>
        <v>0.91666666666666674</v>
      </c>
      <c r="BZ209" s="147">
        <f t="shared" si="317"/>
        <v>1259.7814960247215</v>
      </c>
      <c r="CA209" s="153">
        <f t="shared" si="318"/>
        <v>1.8801553065645435</v>
      </c>
      <c r="CB209" s="5">
        <f t="shared" si="319"/>
        <v>7.4249999999999998</v>
      </c>
      <c r="CC209" s="153">
        <f t="shared" si="320"/>
        <v>0.79794476882743237</v>
      </c>
      <c r="CD209" s="5">
        <f t="shared" si="321"/>
        <v>79.79447688274324</v>
      </c>
      <c r="CG209" s="59">
        <f t="shared" si="356"/>
        <v>-50</v>
      </c>
      <c r="CH209">
        <f t="shared" si="357"/>
        <v>-50</v>
      </c>
    </row>
    <row r="210" spans="5:88" x14ac:dyDescent="0.25">
      <c r="E210" s="150">
        <v>100</v>
      </c>
      <c r="F210" s="191">
        <f t="shared" si="378"/>
        <v>0.5</v>
      </c>
      <c r="G210" s="191"/>
      <c r="H210" s="191">
        <f t="shared" si="367"/>
        <v>7.5</v>
      </c>
      <c r="I210" s="472">
        <f t="shared" si="323"/>
        <v>9</v>
      </c>
      <c r="J210" s="386">
        <f t="shared" si="324"/>
        <v>7.66</v>
      </c>
      <c r="K210" s="386">
        <f t="shared" si="325"/>
        <v>16.66</v>
      </c>
      <c r="L210" s="386"/>
      <c r="M210" s="191">
        <f t="shared" si="326"/>
        <v>0.45978391356542619</v>
      </c>
      <c r="N210" s="152">
        <f t="shared" si="368"/>
        <v>7.6905756302521011</v>
      </c>
      <c r="O210" s="152">
        <f t="shared" si="363"/>
        <v>7.5</v>
      </c>
      <c r="P210" s="191">
        <f t="shared" si="369"/>
        <v>0.51270504201680678</v>
      </c>
      <c r="Q210" s="191">
        <f t="shared" si="329"/>
        <v>15</v>
      </c>
      <c r="R210" s="191"/>
      <c r="S210" s="152">
        <f t="shared" si="330"/>
        <v>15.572436557734548</v>
      </c>
      <c r="T210" s="152">
        <f t="shared" si="370"/>
        <v>15</v>
      </c>
      <c r="U210" s="191">
        <f t="shared" si="332"/>
        <v>4.0276568997195623</v>
      </c>
      <c r="V210" s="191">
        <f t="shared" si="371"/>
        <v>4.0276568997195623</v>
      </c>
      <c r="W210" s="191">
        <f t="shared" si="334"/>
        <v>4.7322339552840811</v>
      </c>
      <c r="X210" s="175">
        <f t="shared" si="335"/>
        <v>350</v>
      </c>
      <c r="Y210" s="386">
        <f t="shared" si="303"/>
        <v>114.15667347371122</v>
      </c>
      <c r="AA210" s="191">
        <f t="shared" si="336"/>
        <v>1.3136683244726464</v>
      </c>
      <c r="AB210" s="153">
        <f t="shared" si="372"/>
        <v>1.5434745326702111</v>
      </c>
      <c r="AC210" s="153">
        <f t="shared" si="373"/>
        <v>0.17741619027991926</v>
      </c>
      <c r="AD210" s="153"/>
      <c r="AE210" s="153">
        <f t="shared" si="339"/>
        <v>0.96344647519582249</v>
      </c>
      <c r="AF210" s="317">
        <f t="shared" si="374"/>
        <v>2531.5619009848638</v>
      </c>
      <c r="AG210" s="463">
        <f t="shared" si="341"/>
        <v>6.9127284595300251E-2</v>
      </c>
      <c r="AI210" s="153">
        <f t="shared" si="342"/>
        <v>2.2053326423676007</v>
      </c>
      <c r="AJ210" s="153">
        <f t="shared" si="375"/>
        <v>4.0276568997195623</v>
      </c>
      <c r="AK210" s="153">
        <f t="shared" si="376"/>
        <v>3.3384379331463752</v>
      </c>
      <c r="AM210" s="317">
        <f t="shared" si="345"/>
        <v>500</v>
      </c>
      <c r="AN210" s="147">
        <f t="shared" si="346"/>
        <v>114.15667347371122</v>
      </c>
      <c r="AP210">
        <f t="shared" si="347"/>
        <v>500</v>
      </c>
      <c r="AQ210">
        <f t="shared" si="348"/>
        <v>114.15667347371122</v>
      </c>
      <c r="AS210" s="5">
        <f t="shared" si="364"/>
        <v>8.7598908550036434</v>
      </c>
      <c r="AT210" s="5">
        <f t="shared" si="349"/>
        <v>4.0276568997195623</v>
      </c>
      <c r="AU210" s="5">
        <f t="shared" si="304"/>
        <v>4.7322339552840811</v>
      </c>
      <c r="AV210" s="5"/>
      <c r="AW210" s="153">
        <f t="shared" si="305"/>
        <v>0.45978391356542619</v>
      </c>
      <c r="AX210" s="153">
        <f t="shared" si="360"/>
        <v>8.3333333333333321</v>
      </c>
      <c r="AY210" s="153">
        <f t="shared" si="361"/>
        <v>0.54395126196692756</v>
      </c>
      <c r="AZ210" s="153">
        <f t="shared" si="365"/>
        <v>15.320000000000004</v>
      </c>
      <c r="BA210" s="147">
        <f t="shared" si="350"/>
        <v>17.910795069528412</v>
      </c>
      <c r="BB210" s="147">
        <f t="shared" si="351"/>
        <v>23.406014814814824</v>
      </c>
      <c r="BC210" s="5">
        <f t="shared" si="359"/>
        <v>7.8949515436838187</v>
      </c>
      <c r="BD210" s="147">
        <f t="shared" si="352"/>
        <v>201.94587353889233</v>
      </c>
      <c r="BF210" s="153">
        <f t="shared" si="366"/>
        <v>1.5767713730245907</v>
      </c>
      <c r="BG210" s="153">
        <f t="shared" si="362"/>
        <v>0.85456598211650869</v>
      </c>
      <c r="BI210" s="463">
        <f t="shared" si="306"/>
        <v>0.27348287590688386</v>
      </c>
      <c r="BJ210" s="463">
        <f t="shared" si="307"/>
        <v>3.8300000000000001E-2</v>
      </c>
      <c r="BK210" s="463">
        <f t="shared" si="308"/>
        <v>5.7078336736855612E-3</v>
      </c>
      <c r="BL210" s="463">
        <f t="shared" si="309"/>
        <v>7.1290854000000013E-3</v>
      </c>
      <c r="BM210">
        <f t="shared" si="310"/>
        <v>2.6099999999999999E-3</v>
      </c>
      <c r="BN210">
        <f t="shared" si="353"/>
        <v>4.566266938948449E-6</v>
      </c>
      <c r="BO210" s="463">
        <f t="shared" si="377"/>
        <v>0.3835053030721286</v>
      </c>
      <c r="BP210" s="147">
        <f t="shared" si="311"/>
        <v>327.22979498056941</v>
      </c>
      <c r="BQ210" s="463">
        <f t="shared" si="355"/>
        <v>0.30258724511842711</v>
      </c>
      <c r="BT210" s="147">
        <f t="shared" si="312"/>
        <v>302.58724511842712</v>
      </c>
      <c r="BU210" s="463">
        <f t="shared" si="313"/>
        <v>0.21132767683713752</v>
      </c>
      <c r="BV210" s="463">
        <f t="shared" si="314"/>
        <v>0.13875377338024308</v>
      </c>
      <c r="BW210" s="463">
        <f t="shared" si="315"/>
        <v>0</v>
      </c>
      <c r="BX210" s="463"/>
      <c r="BY210" s="463">
        <f t="shared" si="316"/>
        <v>0.92592592592592582</v>
      </c>
      <c r="BZ210" s="147">
        <f t="shared" si="317"/>
        <v>1276.0073761433064</v>
      </c>
      <c r="CA210" s="153">
        <f t="shared" si="318"/>
        <v>1.9058244162423028</v>
      </c>
      <c r="CB210" s="5">
        <f t="shared" si="319"/>
        <v>7.5</v>
      </c>
      <c r="CC210" s="153">
        <f t="shared" si="320"/>
        <v>0.7973782698993126</v>
      </c>
      <c r="CD210" s="5">
        <f t="shared" si="321"/>
        <v>79.737826989931264</v>
      </c>
      <c r="CG210" s="59">
        <f t="shared" si="356"/>
        <v>-50</v>
      </c>
      <c r="CH210">
        <f t="shared" si="357"/>
        <v>-50</v>
      </c>
    </row>
    <row r="211" spans="5:88" x14ac:dyDescent="0.25">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5">
      <c r="E212" s="150">
        <v>101</v>
      </c>
      <c r="F212" s="191">
        <f>Ioutmax_Vinmin</f>
        <v>0.51270504201680678</v>
      </c>
      <c r="H212" s="191">
        <f t="shared" ref="H212" si="379">F212*Vout</f>
        <v>7.690575630252102</v>
      </c>
      <c r="I212" s="472">
        <f t="shared" si="323"/>
        <v>9</v>
      </c>
      <c r="J212" s="386">
        <f t="shared" ref="J212" si="380">(T212+Vfwd1)*Nps</f>
        <v>7.544391527542424</v>
      </c>
      <c r="K212" s="386">
        <f t="shared" ref="K212" si="381">(Vout+Vfwd1)*Nps+I212</f>
        <v>16.66</v>
      </c>
      <c r="L212" s="386"/>
      <c r="M212" s="191">
        <f t="shared" ref="M212" si="382">(Vout+Vfwd1)*Nps/((Vout+Vfwd1)*Nps+I212)</f>
        <v>0.45978391356542619</v>
      </c>
      <c r="N212" s="152">
        <f>M212*I212*(Isw_max+VIN_min/Lmag*ILIM_delay)*0.5*Efficiency</f>
        <v>7.6905756302521011</v>
      </c>
      <c r="O212" s="152">
        <f t="shared" ref="O212" si="383">T212*F212</f>
        <v>7.5720295367943811</v>
      </c>
      <c r="P212" s="191">
        <f t="shared" ref="P212" si="384">N212/Vout</f>
        <v>0.51270504201680678</v>
      </c>
      <c r="Q212" s="191">
        <f t="shared" ref="Q212" si="385">MIN(Vout,N212/F212)</f>
        <v>14.999999999999998</v>
      </c>
      <c r="R212" s="191"/>
      <c r="S212" s="152">
        <f t="shared" ref="S212" si="386">(SQRT(Isw_max^2*Nps^2*I212^2+4*Isw_max*F212/Efficiency*(Nps^2*Vfwd1*I212-Nps*I212^2)+4*(F212/Efficiency)^2*Nps^2*Vfwd1^2+8*(F212/Efficiency)^2*Nps*Vfwd1*I212+4*(F212/Efficiency)^2*I212^2)-2*F212/Efficiency*I212-2*F212/Efficiency*Nps*Vfwd1+Isw_max*Nps*I212)/(4*F212/Efficiency*Nps)</f>
        <v>14.768783055084848</v>
      </c>
      <c r="T212" s="152">
        <f t="shared" ref="T212" si="387">MIN(Vout, S212)</f>
        <v>14.768783055084848</v>
      </c>
      <c r="U212" s="191">
        <f>MIN(2*Vout*F212/(Efficiency*I212*M212), Isw_max)</f>
        <v>4.0999999999999996</v>
      </c>
      <c r="V212" s="191">
        <f t="shared" ref="V212" si="388">L*U212/I212*1000000</f>
        <v>4.0999999999999996</v>
      </c>
      <c r="W212" s="191">
        <f t="shared" ref="W212" si="389">L*U212/J212*1000000</f>
        <v>4.8910505062321601</v>
      </c>
      <c r="X212" s="175">
        <f t="shared" ref="X212" si="390">IF(1/((350000*L)*(1/I212+1/J212))&gt;Isw_min, 350, 0.001/((Isw_min*L)*(1/I212+1/J212)))</f>
        <v>350</v>
      </c>
      <c r="Y212" s="386">
        <f t="shared" ref="Y212" si="391">MIN(1/(V212+W212)*1000, 350)</f>
        <v>111.22170866539439</v>
      </c>
      <c r="AA212" s="191">
        <f t="shared" ref="AA212" si="392">1/((X212*1000*L)*(1/I212+1/J212))</f>
        <v>1.3028828729374771</v>
      </c>
      <c r="AB212" s="153">
        <f t="shared" ref="AB212" si="393">L*AA212/J212*1000000</f>
        <v>1.5542599842053806</v>
      </c>
      <c r="AC212" s="153">
        <f t="shared" ref="AC212" si="394">0.5*AB212*AA212*Nps*X212/1000</f>
        <v>0.17718913743241058</v>
      </c>
      <c r="AD212" s="153"/>
      <c r="AE212" s="153">
        <f t="shared" ref="AE212" si="395">L*Isw_min/J212*1000000</f>
        <v>0.97821010124643204</v>
      </c>
      <c r="AF212" s="317">
        <f>MAX(12000,F212/(0.5*AE212/1000000*Isw_min*Nps))/1000</f>
        <v>2556.7106716371736</v>
      </c>
      <c r="AG212" s="463">
        <f t="shared" ref="AG212" si="396">0.5*AE212/1000000*Isw_min*Nps*X212*1000</f>
        <v>7.0186574764431492E-2</v>
      </c>
      <c r="AI212" s="153">
        <f t="shared" ref="AI212" si="397">SQRT(F212/(0.5*L/J212*Fsw_DCM*Nps))</f>
        <v>2.2162595616481102</v>
      </c>
      <c r="AJ212" s="153">
        <f t="shared" ref="AJ212" si="398">MAX(IF(F212&gt;AC212,U212,AI212),Isw_min)</f>
        <v>4.0999999999999996</v>
      </c>
      <c r="AK212" s="153">
        <f t="shared" ref="AK212" si="399">IF(F212&gt;AG212, (AJ212-Isw_min)/1.08*0.8+1.2, AF212*0.2/350+1)</f>
        <v>3.6296296296296298</v>
      </c>
      <c r="AM212" s="317">
        <f t="shared" ref="AM212" si="400">F212*1000</f>
        <v>512.70504201680683</v>
      </c>
      <c r="AN212" s="147">
        <f t="shared" ref="AN212" si="401">IF(F212&gt;AG212, Y212, AF212)</f>
        <v>111.22170866539439</v>
      </c>
      <c r="AS212" s="5">
        <f t="shared" ref="AS212" si="402">1/AN212*1000</f>
        <v>8.9910505062321597</v>
      </c>
      <c r="AT212" s="5">
        <f t="shared" ref="AT212" si="403">L*AJ212/I212*1000000</f>
        <v>4.0999999999999996</v>
      </c>
      <c r="AU212" s="5">
        <f t="shared" si="304"/>
        <v>4.8910505062321601</v>
      </c>
      <c r="AV212" s="5"/>
      <c r="AW212" s="153"/>
      <c r="AX212" s="153"/>
      <c r="BA212" s="147">
        <f>L*Isw_max^2/(2*Vout_ripple*Vout)*1000000000*((1+M212)/2)^2</f>
        <v>17.910795069528412</v>
      </c>
      <c r="BB212" s="147">
        <f>L*F212^2/(2*Cout*Vout*Nps^2)*1000000000*((1+M212)/(1-M212))^2+F212*RCoutEsr</f>
        <v>24.571541403953077</v>
      </c>
      <c r="BC212" s="5">
        <f t="shared" si="359"/>
        <v>8.367254772452732</v>
      </c>
      <c r="BD212" s="147">
        <f>((CB212/I212/Efficiency)*AU212/Cin+(CB212/I212/Efficiency)*RCinEsr)*1000</f>
        <v>210.63374213564228</v>
      </c>
      <c r="BQ212" s="463">
        <f>(Vfwd2*F212+BG212^2*Rdiode)*(1+Diode_TC/1000*(Ta-25))</f>
        <v>0.19585332605042019</v>
      </c>
      <c r="CB212" s="5">
        <f t="shared" si="319"/>
        <v>7.5720295367943811</v>
      </c>
      <c r="CG212" s="59"/>
    </row>
    <row r="213" spans="5:88" x14ac:dyDescent="0.25">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5">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3">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5">
      <c r="E216" s="150">
        <v>0.1</v>
      </c>
      <c r="F216" s="191">
        <v>1.0000000000000001E-9</v>
      </c>
      <c r="G216" s="191"/>
      <c r="H216" s="191">
        <f t="shared" ref="H216:H247" si="404">F216*Vout</f>
        <v>1.5000000000000002E-8</v>
      </c>
      <c r="I216" s="472">
        <f t="shared" ref="I216:I247" si="405">VIN_max</f>
        <v>13</v>
      </c>
      <c r="J216" s="386">
        <f t="shared" ref="J216:J247" si="406">(T216+Vfwd1)*Nps</f>
        <v>7.66</v>
      </c>
      <c r="K216" s="386">
        <f t="shared" ref="K216:K247" si="407">(Vout+Vfwd1)*Nps+I216</f>
        <v>20.66</v>
      </c>
      <c r="L216" s="386"/>
      <c r="M216" s="191">
        <f t="shared" ref="M216:M247" si="408">(Vout+Vfwd1)*Nps/((Vout+Vfwd1)*Nps+I216)</f>
        <v>0.37076476282671827</v>
      </c>
      <c r="N216" s="152">
        <f t="shared" ref="N216:N247" si="409">M216*I216*(Isw_max+VIN_max/Lmag*ILIM_delay)*0.5*Efficiency</f>
        <v>8.9867817037754101</v>
      </c>
      <c r="O216" s="152">
        <f t="shared" si="363"/>
        <v>1.5000000000000002E-8</v>
      </c>
      <c r="P216" s="191">
        <f t="shared" ref="P216:P247" si="410">N216/Vout</f>
        <v>0.59911878025169396</v>
      </c>
      <c r="Q216" s="191">
        <f t="shared" ref="Q216:Q247" si="411">MIN(Vout,N216/F216)</f>
        <v>15</v>
      </c>
      <c r="R216" s="191"/>
      <c r="S216" s="152">
        <f t="shared" ref="S216:S247" si="412">(SQRT(Isw_max^2*Nps^2*I216^2+4*Isw_max*F216/Efficiency*(Nps^2*Vfwd1*I216-Nps*I216^2)+4*(F216/Efficiency)^2*Nps^2*Vfwd1^2+8*(F216/Efficiency)^2*Nps*Vfwd1*I216+4*(F216/Efficiency)^2*I216^2)-2*F216/Efficiency*I216-2*F216/Efficiency*Nps*Vfwd1+Isw_max*Nps*I216)/(4*F216/Efficiency*Nps)</f>
        <v>23984999974</v>
      </c>
      <c r="T216" s="152">
        <f t="shared" ref="T216:T247" si="413">MIN(Vout, S216)</f>
        <v>15</v>
      </c>
      <c r="U216" s="191">
        <f t="shared" ref="U216:U247" si="414">MIN(2*Vout*F216/(Efficiency*I216*M216), Isw_max)</f>
        <v>6.9157126598379865E-9</v>
      </c>
      <c r="V216" s="191">
        <f t="shared" ref="V216:V247" si="415">L*U216/I216*1000000</f>
        <v>4.7878010721955296E-9</v>
      </c>
      <c r="W216" s="191">
        <f t="shared" ref="W216:W247" si="416">L*U216/J216*1000000</f>
        <v>8.1255109580341885E-9</v>
      </c>
      <c r="X216" s="175">
        <f t="shared" ref="X216:X247" si="417">IF(1/((350000*L)*(1/I216+1/J216))&gt;Isw_min, 350, 0.001/((Isw_min*L)*(1/I216+1/J216)))</f>
        <v>350</v>
      </c>
      <c r="Y216" s="386">
        <f t="shared" ref="Y216:Y275" si="418">MIN(1/(V216+W216)*1000, 350)</f>
        <v>350</v>
      </c>
      <c r="AA216" s="191">
        <f t="shared" ref="AA216:AA247" si="419">1/((X216*1000*L)*(1/I216+1/J216))</f>
        <v>1.530140291030901</v>
      </c>
      <c r="AB216" s="153">
        <f t="shared" ref="AB216:AB247" si="420">L*AA216/J216*1000000</f>
        <v>1.7978149633522336</v>
      </c>
      <c r="AC216" s="153">
        <f t="shared" ref="AC216:AC247" si="421">0.5*AB216*AA216*Nps*X216/1000</f>
        <v>0.24070454723380583</v>
      </c>
      <c r="AD216" s="153"/>
      <c r="AE216" s="153">
        <f t="shared" ref="AE216:AE247" si="422">L*Isw_min/J216*1000000</f>
        <v>0.96344647519582249</v>
      </c>
      <c r="AF216" s="317">
        <f t="shared" ref="AF216:AF247" si="423">MAX(12000,F216/(0.5*AE216/1000000*Isw_min*Nps))/1000</f>
        <v>12</v>
      </c>
      <c r="AG216" s="463">
        <f t="shared" ref="AG216:AG247" si="424">0.5*AE216/1000000*Isw_min*Nps*X216*1000</f>
        <v>6.9127284595300251E-2</v>
      </c>
      <c r="AI216" s="153">
        <f t="shared" ref="AI216:AI247" si="425">SQRT(F216/(0.5*L/J216*Fsw_DCM*Nps))</f>
        <v>9.8625474026663759E-5</v>
      </c>
      <c r="AJ216" s="153">
        <f t="shared" ref="AJ216:AJ247" si="426">MAX(IF(F216&gt;AC216,U216,AI216),Isw_min)</f>
        <v>0.82</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0.56769230769230772</v>
      </c>
      <c r="AU216" s="5">
        <f t="shared" si="304"/>
        <v>82.765641025641017</v>
      </c>
      <c r="AV216" s="5"/>
      <c r="AW216" s="153">
        <f t="shared" si="305"/>
        <v>6.812307692307693E-3</v>
      </c>
      <c r="AX216" s="153"/>
      <c r="BA216" s="147">
        <f t="shared" ref="BA216:BA247" si="433">L*Isw_max^2/(2*Vout_ripple*Vout)*1000000000*((1+M216)/2)^2</f>
        <v>15.792961674237105</v>
      </c>
      <c r="BB216" s="147">
        <f t="shared" ref="BB216:BB247" si="434">L*F216^2/(2*Cout*Vout*Nps^2)*1000000000*((1+M216)/(1-M216))^2+F216*RCoutEsr</f>
        <v>3.0000000569483366E-9</v>
      </c>
      <c r="BC216" s="5">
        <f t="shared" si="359"/>
        <v>1.9118882195805267E-7</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5">
      <c r="E217" s="150">
        <v>1</v>
      </c>
      <c r="F217" s="191">
        <f t="shared" ref="F217:F248" si="439">IF(PLOT_TYPE=1, E217/100*Iout_max, min_I*EXP(N217*rr/100))</f>
        <v>5.0000000000000001E-3</v>
      </c>
      <c r="G217" s="191"/>
      <c r="H217" s="191">
        <f t="shared" si="404"/>
        <v>7.4999999999999997E-2</v>
      </c>
      <c r="I217" s="472">
        <f t="shared" si="405"/>
        <v>13</v>
      </c>
      <c r="J217" s="386">
        <f t="shared" si="406"/>
        <v>7.66</v>
      </c>
      <c r="K217" s="386">
        <f t="shared" si="407"/>
        <v>20.66</v>
      </c>
      <c r="L217" s="386"/>
      <c r="M217" s="191">
        <f t="shared" si="408"/>
        <v>0.37076476282671827</v>
      </c>
      <c r="N217" s="152">
        <f t="shared" si="409"/>
        <v>8.9867817037754101</v>
      </c>
      <c r="O217" s="152">
        <f t="shared" si="363"/>
        <v>7.4999999999999997E-2</v>
      </c>
      <c r="P217" s="191">
        <f t="shared" si="410"/>
        <v>0.59911878025169396</v>
      </c>
      <c r="Q217" s="191">
        <f t="shared" si="411"/>
        <v>15</v>
      </c>
      <c r="R217" s="191"/>
      <c r="S217" s="152">
        <f t="shared" si="412"/>
        <v>4771.0017437516153</v>
      </c>
      <c r="T217" s="152">
        <f t="shared" si="413"/>
        <v>15</v>
      </c>
      <c r="U217" s="191">
        <f t="shared" si="414"/>
        <v>3.4578563299189929E-2</v>
      </c>
      <c r="V217" s="191">
        <f t="shared" si="415"/>
        <v>2.3939005360977643E-2</v>
      </c>
      <c r="W217" s="191">
        <f t="shared" si="416"/>
        <v>4.0627554790170932E-2</v>
      </c>
      <c r="X217" s="175">
        <f t="shared" si="417"/>
        <v>350</v>
      </c>
      <c r="Y217" s="386">
        <f t="shared" si="418"/>
        <v>350</v>
      </c>
      <c r="AA217" s="191">
        <f t="shared" si="419"/>
        <v>1.530140291030901</v>
      </c>
      <c r="AB217" s="153">
        <f t="shared" si="420"/>
        <v>1.7978149633522336</v>
      </c>
      <c r="AC217" s="153">
        <f t="shared" si="421"/>
        <v>0.24070454723380583</v>
      </c>
      <c r="AD217" s="153"/>
      <c r="AE217" s="153">
        <f t="shared" si="422"/>
        <v>0.96344647519582249</v>
      </c>
      <c r="AF217" s="317">
        <f t="shared" si="423"/>
        <v>25.315619009848636</v>
      </c>
      <c r="AG217" s="463">
        <f t="shared" si="424"/>
        <v>6.9127284595300251E-2</v>
      </c>
      <c r="AI217" s="153">
        <f t="shared" si="425"/>
        <v>0.22053326423676006</v>
      </c>
      <c r="AJ217" s="153">
        <f t="shared" si="426"/>
        <v>0.82</v>
      </c>
      <c r="AK217" s="153">
        <f t="shared" si="427"/>
        <v>1.0144660680056279</v>
      </c>
      <c r="AM217" s="317">
        <f t="shared" si="428"/>
        <v>5</v>
      </c>
      <c r="AN217" s="147">
        <f t="shared" si="429"/>
        <v>25.315619009848636</v>
      </c>
      <c r="AP217">
        <f t="shared" si="430"/>
        <v>5</v>
      </c>
      <c r="AQ217">
        <f t="shared" si="431"/>
        <v>25.315619009848636</v>
      </c>
      <c r="AS217" s="5">
        <f t="shared" si="364"/>
        <v>39.501305483028723</v>
      </c>
      <c r="AT217" s="5">
        <f t="shared" si="432"/>
        <v>0.56769230769230772</v>
      </c>
      <c r="AU217" s="5">
        <f t="shared" si="304"/>
        <v>38.933613175336419</v>
      </c>
      <c r="AV217" s="5"/>
      <c r="AW217" s="153">
        <f t="shared" si="305"/>
        <v>1.4371482176360225E-2</v>
      </c>
      <c r="AX217" s="153"/>
      <c r="BA217" s="147">
        <f t="shared" si="433"/>
        <v>15.792961674237105</v>
      </c>
      <c r="BB217" s="147">
        <f t="shared" si="434"/>
        <v>1.6423708402366864E-2</v>
      </c>
      <c r="BC217" s="5">
        <f t="shared" si="359"/>
        <v>0.44968368185881746</v>
      </c>
      <c r="BD217" s="147">
        <f t="shared" si="435"/>
        <v>0</v>
      </c>
      <c r="BQ217" s="463">
        <f t="shared" si="436"/>
        <v>1.91E-3</v>
      </c>
      <c r="CG217" s="59">
        <f t="shared" si="437"/>
        <v>-50</v>
      </c>
      <c r="CH217">
        <f t="shared" si="438"/>
        <v>-50</v>
      </c>
    </row>
    <row r="218" spans="5:88" x14ac:dyDescent="0.25">
      <c r="E218" s="150">
        <v>2</v>
      </c>
      <c r="F218" s="191">
        <f t="shared" si="439"/>
        <v>0.01</v>
      </c>
      <c r="G218" s="191"/>
      <c r="H218" s="191">
        <f t="shared" si="404"/>
        <v>0.15</v>
      </c>
      <c r="I218" s="472">
        <f t="shared" si="405"/>
        <v>13</v>
      </c>
      <c r="J218" s="386">
        <f t="shared" si="406"/>
        <v>7.66</v>
      </c>
      <c r="K218" s="386">
        <f t="shared" si="407"/>
        <v>20.66</v>
      </c>
      <c r="L218" s="386"/>
      <c r="M218" s="191">
        <f t="shared" si="408"/>
        <v>0.37076476282671827</v>
      </c>
      <c r="N218" s="152">
        <f t="shared" si="409"/>
        <v>8.9867817037754101</v>
      </c>
      <c r="O218" s="152">
        <f t="shared" si="363"/>
        <v>0.15</v>
      </c>
      <c r="P218" s="191">
        <f t="shared" si="410"/>
        <v>0.59911878025169396</v>
      </c>
      <c r="Q218" s="191">
        <f t="shared" si="411"/>
        <v>15</v>
      </c>
      <c r="R218" s="191"/>
      <c r="S218" s="152">
        <f t="shared" si="412"/>
        <v>2372.5035063711975</v>
      </c>
      <c r="T218" s="152">
        <f t="shared" si="413"/>
        <v>15</v>
      </c>
      <c r="U218" s="191">
        <f t="shared" si="414"/>
        <v>6.9157126598379859E-2</v>
      </c>
      <c r="V218" s="191">
        <f t="shared" si="415"/>
        <v>4.7878010721955286E-2</v>
      </c>
      <c r="W218" s="191">
        <f t="shared" si="416"/>
        <v>8.1255109580341864E-2</v>
      </c>
      <c r="X218" s="175">
        <f t="shared" si="417"/>
        <v>350</v>
      </c>
      <c r="Y218" s="386">
        <f t="shared" si="418"/>
        <v>350</v>
      </c>
      <c r="AA218" s="191">
        <f t="shared" si="419"/>
        <v>1.530140291030901</v>
      </c>
      <c r="AB218" s="153">
        <f t="shared" si="420"/>
        <v>1.7978149633522336</v>
      </c>
      <c r="AC218" s="153">
        <f t="shared" si="421"/>
        <v>0.24070454723380583</v>
      </c>
      <c r="AD218" s="153"/>
      <c r="AE218" s="153">
        <f t="shared" si="422"/>
        <v>0.96344647519582249</v>
      </c>
      <c r="AF218" s="317">
        <f t="shared" si="423"/>
        <v>50.631238019697271</v>
      </c>
      <c r="AG218" s="463">
        <f t="shared" si="424"/>
        <v>6.9127284595300251E-2</v>
      </c>
      <c r="AI218" s="153">
        <f t="shared" si="425"/>
        <v>0.31188113323803551</v>
      </c>
      <c r="AJ218" s="153">
        <f t="shared" si="426"/>
        <v>0.82</v>
      </c>
      <c r="AK218" s="153">
        <f t="shared" si="427"/>
        <v>1.0289321360112555</v>
      </c>
      <c r="AM218" s="317">
        <f t="shared" si="428"/>
        <v>10</v>
      </c>
      <c r="AN218" s="147">
        <f t="shared" si="429"/>
        <v>50.631238019697271</v>
      </c>
      <c r="AP218">
        <f t="shared" si="430"/>
        <v>10</v>
      </c>
      <c r="AQ218">
        <f t="shared" si="431"/>
        <v>50.631238019697271</v>
      </c>
      <c r="AS218" s="5">
        <f t="shared" si="364"/>
        <v>19.750652741514362</v>
      </c>
      <c r="AT218" s="5">
        <f t="shared" si="432"/>
        <v>0.56769230769230772</v>
      </c>
      <c r="AU218" s="5">
        <f t="shared" si="304"/>
        <v>19.182960433822053</v>
      </c>
      <c r="AV218" s="5"/>
      <c r="AW218" s="153">
        <f t="shared" si="305"/>
        <v>2.8742964352720449E-2</v>
      </c>
      <c r="AX218" s="153"/>
      <c r="BA218" s="147">
        <f t="shared" si="433"/>
        <v>15.792961674237105</v>
      </c>
      <c r="BB218" s="147">
        <f t="shared" si="434"/>
        <v>3.5694833609467458E-2</v>
      </c>
      <c r="BC218" s="5">
        <f t="shared" si="359"/>
        <v>0.44312682914811852</v>
      </c>
      <c r="BD218" s="147">
        <f t="shared" si="435"/>
        <v>0</v>
      </c>
      <c r="BQ218" s="463">
        <f t="shared" si="436"/>
        <v>3.82E-3</v>
      </c>
      <c r="CG218" s="59">
        <f t="shared" si="437"/>
        <v>-50</v>
      </c>
      <c r="CH218">
        <f t="shared" si="438"/>
        <v>-50</v>
      </c>
    </row>
    <row r="219" spans="5:88" x14ac:dyDescent="0.25">
      <c r="E219" s="150">
        <v>3</v>
      </c>
      <c r="F219" s="191">
        <f t="shared" si="439"/>
        <v>1.4999999999999999E-2</v>
      </c>
      <c r="G219" s="191"/>
      <c r="H219" s="191">
        <f t="shared" si="404"/>
        <v>0.22499999999999998</v>
      </c>
      <c r="I219" s="472">
        <f t="shared" si="405"/>
        <v>13</v>
      </c>
      <c r="J219" s="386">
        <f t="shared" si="406"/>
        <v>7.66</v>
      </c>
      <c r="K219" s="386">
        <f t="shared" si="407"/>
        <v>20.66</v>
      </c>
      <c r="L219" s="386"/>
      <c r="M219" s="191">
        <f t="shared" si="408"/>
        <v>0.37076476282671827</v>
      </c>
      <c r="N219" s="152">
        <f t="shared" si="409"/>
        <v>8.9867817037754101</v>
      </c>
      <c r="O219" s="152">
        <f t="shared" si="363"/>
        <v>0.22499999999999998</v>
      </c>
      <c r="P219" s="191">
        <f t="shared" si="410"/>
        <v>0.59911878025169396</v>
      </c>
      <c r="Q219" s="191">
        <f t="shared" si="411"/>
        <v>15</v>
      </c>
      <c r="R219" s="191"/>
      <c r="S219" s="152">
        <f t="shared" si="412"/>
        <v>1573.0052881626341</v>
      </c>
      <c r="T219" s="152">
        <f t="shared" si="413"/>
        <v>15</v>
      </c>
      <c r="U219" s="191">
        <f t="shared" si="414"/>
        <v>0.10373568989756977</v>
      </c>
      <c r="V219" s="191">
        <f t="shared" si="415"/>
        <v>7.1817016082932922E-2</v>
      </c>
      <c r="W219" s="191">
        <f t="shared" si="416"/>
        <v>0.12188266437051279</v>
      </c>
      <c r="X219" s="175">
        <f t="shared" si="417"/>
        <v>350</v>
      </c>
      <c r="Y219" s="386">
        <f t="shared" si="418"/>
        <v>350</v>
      </c>
      <c r="AA219" s="191">
        <f t="shared" si="419"/>
        <v>1.530140291030901</v>
      </c>
      <c r="AB219" s="153">
        <f t="shared" si="420"/>
        <v>1.7978149633522336</v>
      </c>
      <c r="AC219" s="153">
        <f t="shared" si="421"/>
        <v>0.24070454723380583</v>
      </c>
      <c r="AD219" s="153"/>
      <c r="AE219" s="153">
        <f t="shared" si="422"/>
        <v>0.96344647519582249</v>
      </c>
      <c r="AF219" s="317">
        <f t="shared" si="423"/>
        <v>75.94685702954591</v>
      </c>
      <c r="AG219" s="463">
        <f t="shared" si="424"/>
        <v>6.9127284595300251E-2</v>
      </c>
      <c r="AI219" s="153">
        <f t="shared" si="425"/>
        <v>0.38197481841708086</v>
      </c>
      <c r="AJ219" s="153">
        <f t="shared" si="426"/>
        <v>0.82</v>
      </c>
      <c r="AK219" s="153">
        <f t="shared" si="427"/>
        <v>1.0433982040168834</v>
      </c>
      <c r="AM219" s="317">
        <f t="shared" si="428"/>
        <v>15</v>
      </c>
      <c r="AN219" s="147">
        <f t="shared" si="429"/>
        <v>75.94685702954591</v>
      </c>
      <c r="AP219">
        <f t="shared" si="430"/>
        <v>15</v>
      </c>
      <c r="AQ219">
        <f t="shared" si="431"/>
        <v>75.94685702954591</v>
      </c>
      <c r="AS219" s="5">
        <f t="shared" si="364"/>
        <v>13.167101827676239</v>
      </c>
      <c r="AT219" s="5">
        <f t="shared" si="432"/>
        <v>0.56769230769230772</v>
      </c>
      <c r="AU219" s="5">
        <f t="shared" si="304"/>
        <v>12.599409519983931</v>
      </c>
      <c r="AV219" s="5"/>
      <c r="AW219" s="153">
        <f t="shared" si="305"/>
        <v>4.3114446529080683E-2</v>
      </c>
      <c r="AX219" s="153"/>
      <c r="BA219" s="147">
        <f t="shared" si="433"/>
        <v>15.792961674237105</v>
      </c>
      <c r="BB219" s="147">
        <f t="shared" si="434"/>
        <v>5.7813375621301774E-2</v>
      </c>
      <c r="BC219" s="5">
        <f t="shared" si="359"/>
        <v>0.43656997643741952</v>
      </c>
      <c r="BD219" s="147">
        <f t="shared" si="435"/>
        <v>0</v>
      </c>
      <c r="BQ219" s="463">
        <f t="shared" si="436"/>
        <v>5.7299999999999999E-3</v>
      </c>
      <c r="CG219" s="59">
        <f t="shared" si="437"/>
        <v>-50</v>
      </c>
      <c r="CH219">
        <f t="shared" si="438"/>
        <v>-50</v>
      </c>
    </row>
    <row r="220" spans="5:88" x14ac:dyDescent="0.25">
      <c r="E220" s="150">
        <v>4</v>
      </c>
      <c r="F220" s="191">
        <f t="shared" si="439"/>
        <v>0.02</v>
      </c>
      <c r="G220" s="191"/>
      <c r="H220" s="191">
        <f t="shared" si="404"/>
        <v>0.3</v>
      </c>
      <c r="I220" s="472">
        <f t="shared" si="405"/>
        <v>13</v>
      </c>
      <c r="J220" s="386">
        <f t="shared" si="406"/>
        <v>7.66</v>
      </c>
      <c r="K220" s="386">
        <f t="shared" si="407"/>
        <v>20.66</v>
      </c>
      <c r="L220" s="386"/>
      <c r="M220" s="191">
        <f t="shared" si="408"/>
        <v>0.37076476282671827</v>
      </c>
      <c r="N220" s="152">
        <f t="shared" si="409"/>
        <v>8.9867817037754101</v>
      </c>
      <c r="O220" s="152">
        <f t="shared" si="363"/>
        <v>0.3</v>
      </c>
      <c r="P220" s="191">
        <f t="shared" si="410"/>
        <v>0.59911878025169396</v>
      </c>
      <c r="Q220" s="191">
        <f t="shared" si="411"/>
        <v>15</v>
      </c>
      <c r="R220" s="191"/>
      <c r="S220" s="152">
        <f t="shared" si="412"/>
        <v>1173.2570894362839</v>
      </c>
      <c r="T220" s="152">
        <f t="shared" si="413"/>
        <v>15</v>
      </c>
      <c r="U220" s="191">
        <f t="shared" si="414"/>
        <v>0.13831425319675972</v>
      </c>
      <c r="V220" s="191">
        <f t="shared" si="415"/>
        <v>9.5756021443910572E-2</v>
      </c>
      <c r="W220" s="191">
        <f t="shared" si="416"/>
        <v>0.16251021916068373</v>
      </c>
      <c r="X220" s="175">
        <f t="shared" si="417"/>
        <v>350</v>
      </c>
      <c r="Y220" s="386">
        <f t="shared" si="418"/>
        <v>350</v>
      </c>
      <c r="AA220" s="191">
        <f t="shared" si="419"/>
        <v>1.530140291030901</v>
      </c>
      <c r="AB220" s="153">
        <f t="shared" si="420"/>
        <v>1.7978149633522336</v>
      </c>
      <c r="AC220" s="153">
        <f t="shared" si="421"/>
        <v>0.24070454723380583</v>
      </c>
      <c r="AD220" s="153"/>
      <c r="AE220" s="153">
        <f t="shared" si="422"/>
        <v>0.96344647519582249</v>
      </c>
      <c r="AF220" s="317">
        <f t="shared" si="423"/>
        <v>101.26247603939454</v>
      </c>
      <c r="AG220" s="463">
        <f t="shared" si="424"/>
        <v>6.9127284595300251E-2</v>
      </c>
      <c r="AI220" s="153">
        <f t="shared" si="425"/>
        <v>0.44106652847352013</v>
      </c>
      <c r="AJ220" s="153">
        <f t="shared" si="426"/>
        <v>0.82</v>
      </c>
      <c r="AK220" s="153">
        <f t="shared" si="427"/>
        <v>1.0578642720225111</v>
      </c>
      <c r="AM220" s="317">
        <f t="shared" si="428"/>
        <v>20</v>
      </c>
      <c r="AN220" s="147">
        <f t="shared" si="429"/>
        <v>101.26247603939454</v>
      </c>
      <c r="AP220">
        <f t="shared" si="430"/>
        <v>20</v>
      </c>
      <c r="AQ220">
        <f t="shared" si="431"/>
        <v>101.26247603939454</v>
      </c>
      <c r="AS220" s="5">
        <f t="shared" si="364"/>
        <v>9.8753263707571808</v>
      </c>
      <c r="AT220" s="5">
        <f t="shared" si="432"/>
        <v>0.56769230769230772</v>
      </c>
      <c r="AU220" s="5">
        <f t="shared" si="304"/>
        <v>9.3076340630648726</v>
      </c>
      <c r="AV220" s="5"/>
      <c r="AW220" s="153">
        <f t="shared" si="305"/>
        <v>5.7485928705440899E-2</v>
      </c>
      <c r="AX220" s="153"/>
      <c r="BA220" s="147">
        <f t="shared" si="433"/>
        <v>15.792961674237105</v>
      </c>
      <c r="BB220" s="147">
        <f t="shared" si="434"/>
        <v>8.277933443786982E-2</v>
      </c>
      <c r="BC220" s="5">
        <f t="shared" si="359"/>
        <v>0.43001312372672079</v>
      </c>
      <c r="BD220" s="147">
        <f t="shared" si="435"/>
        <v>0</v>
      </c>
      <c r="BQ220" s="463">
        <f t="shared" si="436"/>
        <v>7.6400000000000001E-3</v>
      </c>
      <c r="CG220" s="59">
        <f t="shared" si="437"/>
        <v>-50</v>
      </c>
      <c r="CH220">
        <f t="shared" si="438"/>
        <v>-50</v>
      </c>
    </row>
    <row r="221" spans="5:88" x14ac:dyDescent="0.25">
      <c r="E221" s="150">
        <v>5</v>
      </c>
      <c r="F221" s="191">
        <f t="shared" si="439"/>
        <v>2.5000000000000001E-2</v>
      </c>
      <c r="G221" s="191"/>
      <c r="H221" s="191">
        <f t="shared" si="404"/>
        <v>0.375</v>
      </c>
      <c r="I221" s="472">
        <f t="shared" si="405"/>
        <v>13</v>
      </c>
      <c r="J221" s="386">
        <f t="shared" si="406"/>
        <v>7.66</v>
      </c>
      <c r="K221" s="386">
        <f t="shared" si="407"/>
        <v>20.66</v>
      </c>
      <c r="L221" s="386"/>
      <c r="M221" s="191">
        <f t="shared" si="408"/>
        <v>0.37076476282671827</v>
      </c>
      <c r="N221" s="152">
        <f t="shared" si="409"/>
        <v>8.9867817037754101</v>
      </c>
      <c r="O221" s="152">
        <f t="shared" si="363"/>
        <v>0.375</v>
      </c>
      <c r="P221" s="191">
        <f t="shared" si="410"/>
        <v>0.59911878025169396</v>
      </c>
      <c r="Q221" s="191">
        <f t="shared" si="411"/>
        <v>15</v>
      </c>
      <c r="R221" s="191"/>
      <c r="S221" s="152">
        <f t="shared" si="412"/>
        <v>933.40891050914911</v>
      </c>
      <c r="T221" s="152">
        <f t="shared" si="413"/>
        <v>15</v>
      </c>
      <c r="U221" s="191">
        <f t="shared" si="414"/>
        <v>0.17289281649594965</v>
      </c>
      <c r="V221" s="191">
        <f t="shared" si="415"/>
        <v>0.11969502680488822</v>
      </c>
      <c r="W221" s="191">
        <f t="shared" si="416"/>
        <v>0.20313777395085469</v>
      </c>
      <c r="X221" s="175">
        <f t="shared" si="417"/>
        <v>350</v>
      </c>
      <c r="Y221" s="386">
        <f t="shared" si="418"/>
        <v>350</v>
      </c>
      <c r="AA221" s="191">
        <f t="shared" si="419"/>
        <v>1.530140291030901</v>
      </c>
      <c r="AB221" s="153">
        <f t="shared" si="420"/>
        <v>1.7978149633522336</v>
      </c>
      <c r="AC221" s="153">
        <f t="shared" si="421"/>
        <v>0.24070454723380583</v>
      </c>
      <c r="AD221" s="153"/>
      <c r="AE221" s="153">
        <f t="shared" si="422"/>
        <v>0.96344647519582249</v>
      </c>
      <c r="AF221" s="317">
        <f t="shared" si="423"/>
        <v>126.5780950492432</v>
      </c>
      <c r="AG221" s="463">
        <f t="shared" si="424"/>
        <v>6.9127284595300251E-2</v>
      </c>
      <c r="AI221" s="153">
        <f t="shared" si="425"/>
        <v>0.49312737013331881</v>
      </c>
      <c r="AJ221" s="153">
        <f t="shared" si="426"/>
        <v>0.82</v>
      </c>
      <c r="AK221" s="153">
        <f t="shared" si="427"/>
        <v>1.072330340028139</v>
      </c>
      <c r="AM221" s="317">
        <f t="shared" si="428"/>
        <v>25</v>
      </c>
      <c r="AN221" s="147">
        <f t="shared" si="429"/>
        <v>126.5780950492432</v>
      </c>
      <c r="AP221">
        <f t="shared" si="430"/>
        <v>25</v>
      </c>
      <c r="AQ221">
        <f t="shared" si="431"/>
        <v>126.5780950492432</v>
      </c>
      <c r="AS221" s="5">
        <f t="shared" si="364"/>
        <v>7.9002610966057425</v>
      </c>
      <c r="AT221" s="5">
        <f t="shared" si="432"/>
        <v>0.56769230769230772</v>
      </c>
      <c r="AU221" s="5">
        <f t="shared" si="304"/>
        <v>7.3325687889134343</v>
      </c>
      <c r="AV221" s="5"/>
      <c r="AW221" s="153">
        <f t="shared" si="305"/>
        <v>7.1857410881801143E-2</v>
      </c>
      <c r="AX221" s="153"/>
      <c r="BA221" s="147">
        <f t="shared" si="433"/>
        <v>15.792961674237105</v>
      </c>
      <c r="BB221" s="147">
        <f t="shared" si="434"/>
        <v>0.11059271005917162</v>
      </c>
      <c r="BC221" s="5">
        <f t="shared" si="359"/>
        <v>0.42345627101602179</v>
      </c>
      <c r="BD221" s="147">
        <f t="shared" si="435"/>
        <v>0</v>
      </c>
      <c r="BQ221" s="463">
        <f t="shared" si="436"/>
        <v>9.5500000000000012E-3</v>
      </c>
      <c r="CG221" s="59">
        <f t="shared" si="437"/>
        <v>-50</v>
      </c>
      <c r="CH221">
        <f t="shared" si="438"/>
        <v>-50</v>
      </c>
    </row>
    <row r="222" spans="5:88" x14ac:dyDescent="0.25">
      <c r="E222" s="150">
        <v>6</v>
      </c>
      <c r="F222" s="191">
        <f t="shared" si="439"/>
        <v>0.03</v>
      </c>
      <c r="G222" s="191"/>
      <c r="H222" s="191">
        <f t="shared" si="404"/>
        <v>0.44999999999999996</v>
      </c>
      <c r="I222" s="472">
        <f t="shared" si="405"/>
        <v>13</v>
      </c>
      <c r="J222" s="386">
        <f t="shared" si="406"/>
        <v>7.66</v>
      </c>
      <c r="K222" s="386">
        <f t="shared" si="407"/>
        <v>20.66</v>
      </c>
      <c r="L222" s="386"/>
      <c r="M222" s="191">
        <f t="shared" si="408"/>
        <v>0.37076476282671827</v>
      </c>
      <c r="N222" s="152">
        <f t="shared" si="409"/>
        <v>8.9867817037754101</v>
      </c>
      <c r="O222" s="152">
        <f t="shared" si="363"/>
        <v>0.44999999999999996</v>
      </c>
      <c r="P222" s="191">
        <f t="shared" si="410"/>
        <v>0.59911878025169396</v>
      </c>
      <c r="Q222" s="191">
        <f t="shared" si="411"/>
        <v>15</v>
      </c>
      <c r="R222" s="191"/>
      <c r="S222" s="152">
        <f t="shared" si="412"/>
        <v>773.51075170504873</v>
      </c>
      <c r="T222" s="152">
        <f t="shared" si="413"/>
        <v>15</v>
      </c>
      <c r="U222" s="191">
        <f t="shared" si="414"/>
        <v>0.20747137979513955</v>
      </c>
      <c r="V222" s="191">
        <f t="shared" si="415"/>
        <v>0.14363403216586584</v>
      </c>
      <c r="W222" s="191">
        <f t="shared" si="416"/>
        <v>0.24376532874102558</v>
      </c>
      <c r="X222" s="175">
        <f t="shared" si="417"/>
        <v>350</v>
      </c>
      <c r="Y222" s="386">
        <f t="shared" si="418"/>
        <v>350</v>
      </c>
      <c r="AA222" s="191">
        <f t="shared" si="419"/>
        <v>1.530140291030901</v>
      </c>
      <c r="AB222" s="153">
        <f t="shared" si="420"/>
        <v>1.7978149633522336</v>
      </c>
      <c r="AC222" s="153">
        <f t="shared" si="421"/>
        <v>0.24070454723380583</v>
      </c>
      <c r="AD222" s="153"/>
      <c r="AE222" s="153">
        <f t="shared" si="422"/>
        <v>0.96344647519582249</v>
      </c>
      <c r="AF222" s="317">
        <f t="shared" si="423"/>
        <v>151.89371405909182</v>
      </c>
      <c r="AG222" s="463">
        <f t="shared" si="424"/>
        <v>6.9127284595300251E-2</v>
      </c>
      <c r="AI222" s="153">
        <f t="shared" si="425"/>
        <v>0.54019396869043601</v>
      </c>
      <c r="AJ222" s="153">
        <f t="shared" si="426"/>
        <v>0.82</v>
      </c>
      <c r="AK222" s="153">
        <f t="shared" si="427"/>
        <v>1.0867964080337669</v>
      </c>
      <c r="AM222" s="317">
        <f t="shared" si="428"/>
        <v>30</v>
      </c>
      <c r="AN222" s="147">
        <f t="shared" si="429"/>
        <v>151.89371405909182</v>
      </c>
      <c r="AP222">
        <f t="shared" si="430"/>
        <v>30</v>
      </c>
      <c r="AQ222">
        <f t="shared" si="431"/>
        <v>151.89371405909182</v>
      </c>
      <c r="AS222" s="5">
        <f t="shared" si="364"/>
        <v>6.5835509138381196</v>
      </c>
      <c r="AT222" s="5">
        <f t="shared" si="432"/>
        <v>0.56769230769230772</v>
      </c>
      <c r="AU222" s="5">
        <f t="shared" si="304"/>
        <v>6.0158586061458124</v>
      </c>
      <c r="AV222" s="5"/>
      <c r="AW222" s="153">
        <f t="shared" si="305"/>
        <v>8.6228893058161366E-2</v>
      </c>
      <c r="AX222" s="153"/>
      <c r="BA222" s="147">
        <f t="shared" si="433"/>
        <v>15.792961674237105</v>
      </c>
      <c r="BB222" s="147">
        <f t="shared" si="434"/>
        <v>0.1412535024852071</v>
      </c>
      <c r="BC222" s="5">
        <f t="shared" si="359"/>
        <v>0.41689941830532301</v>
      </c>
      <c r="BD222" s="147">
        <f t="shared" si="435"/>
        <v>0</v>
      </c>
      <c r="BQ222" s="463">
        <f t="shared" si="436"/>
        <v>1.146E-2</v>
      </c>
      <c r="CG222" s="59">
        <f t="shared" si="437"/>
        <v>-50</v>
      </c>
      <c r="CH222">
        <f t="shared" si="438"/>
        <v>-50</v>
      </c>
    </row>
    <row r="223" spans="5:88" x14ac:dyDescent="0.25">
      <c r="E223" s="150">
        <v>7</v>
      </c>
      <c r="F223" s="191">
        <f t="shared" si="439"/>
        <v>3.5000000000000003E-2</v>
      </c>
      <c r="G223" s="191"/>
      <c r="H223" s="191">
        <f t="shared" si="404"/>
        <v>0.52500000000000002</v>
      </c>
      <c r="I223" s="472">
        <f t="shared" si="405"/>
        <v>13</v>
      </c>
      <c r="J223" s="386">
        <f t="shared" si="406"/>
        <v>7.66</v>
      </c>
      <c r="K223" s="386">
        <f t="shared" si="407"/>
        <v>20.66</v>
      </c>
      <c r="L223" s="386"/>
      <c r="M223" s="191">
        <f t="shared" si="408"/>
        <v>0.37076476282671827</v>
      </c>
      <c r="N223" s="152">
        <f t="shared" si="409"/>
        <v>8.9867817037754101</v>
      </c>
      <c r="O223" s="152">
        <f t="shared" si="363"/>
        <v>0.52500000000000002</v>
      </c>
      <c r="P223" s="191">
        <f t="shared" si="410"/>
        <v>0.59911878025169396</v>
      </c>
      <c r="Q223" s="191">
        <f t="shared" si="411"/>
        <v>15</v>
      </c>
      <c r="R223" s="191"/>
      <c r="S223" s="152">
        <f t="shared" si="412"/>
        <v>659.29832764051571</v>
      </c>
      <c r="T223" s="152">
        <f t="shared" si="413"/>
        <v>15</v>
      </c>
      <c r="U223" s="191">
        <f t="shared" si="414"/>
        <v>0.24204994309432951</v>
      </c>
      <c r="V223" s="191">
        <f t="shared" si="415"/>
        <v>0.16757303752684352</v>
      </c>
      <c r="W223" s="191">
        <f t="shared" si="416"/>
        <v>0.28439288353119652</v>
      </c>
      <c r="X223" s="175">
        <f t="shared" si="417"/>
        <v>350</v>
      </c>
      <c r="Y223" s="386">
        <f t="shared" si="418"/>
        <v>350</v>
      </c>
      <c r="AA223" s="191">
        <f t="shared" si="419"/>
        <v>1.530140291030901</v>
      </c>
      <c r="AB223" s="153">
        <f t="shared" si="420"/>
        <v>1.7978149633522336</v>
      </c>
      <c r="AC223" s="153">
        <f t="shared" si="421"/>
        <v>0.24070454723380583</v>
      </c>
      <c r="AD223" s="153"/>
      <c r="AE223" s="153">
        <f t="shared" si="422"/>
        <v>0.96344647519582249</v>
      </c>
      <c r="AF223" s="317">
        <f t="shared" si="423"/>
        <v>177.20933306894048</v>
      </c>
      <c r="AG223" s="463">
        <f t="shared" si="424"/>
        <v>6.9127284595300251E-2</v>
      </c>
      <c r="AI223" s="153">
        <f t="shared" si="425"/>
        <v>0.58347617298776178</v>
      </c>
      <c r="AJ223" s="153">
        <f t="shared" si="426"/>
        <v>0.82</v>
      </c>
      <c r="AK223" s="153">
        <f t="shared" si="427"/>
        <v>1.1012624760393945</v>
      </c>
      <c r="AM223" s="317">
        <f t="shared" si="428"/>
        <v>35</v>
      </c>
      <c r="AN223" s="147">
        <f t="shared" si="429"/>
        <v>177.20933306894048</v>
      </c>
      <c r="AP223">
        <f t="shared" si="430"/>
        <v>35</v>
      </c>
      <c r="AQ223">
        <f t="shared" si="431"/>
        <v>177.20933306894048</v>
      </c>
      <c r="AS223" s="5">
        <f t="shared" si="364"/>
        <v>5.6430436404326736</v>
      </c>
      <c r="AT223" s="5">
        <f t="shared" si="432"/>
        <v>0.56769230769230772</v>
      </c>
      <c r="AU223" s="5">
        <f t="shared" si="304"/>
        <v>5.0753513327403663</v>
      </c>
      <c r="AV223" s="5"/>
      <c r="AW223" s="153">
        <f t="shared" si="305"/>
        <v>0.10060037523452159</v>
      </c>
      <c r="AX223" s="153"/>
      <c r="BA223" s="147">
        <f t="shared" si="433"/>
        <v>15.792961674237105</v>
      </c>
      <c r="BB223" s="147">
        <f t="shared" si="434"/>
        <v>0.17476171171597635</v>
      </c>
      <c r="BC223" s="5">
        <f t="shared" si="359"/>
        <v>0.41034256559462418</v>
      </c>
      <c r="BD223" s="147">
        <f t="shared" si="435"/>
        <v>0</v>
      </c>
      <c r="BQ223" s="463">
        <f t="shared" si="436"/>
        <v>1.3370000000000002E-2</v>
      </c>
      <c r="CG223" s="59">
        <f t="shared" si="437"/>
        <v>-50</v>
      </c>
      <c r="CH223">
        <f t="shared" si="438"/>
        <v>-50</v>
      </c>
    </row>
    <row r="224" spans="5:88" x14ac:dyDescent="0.25">
      <c r="E224" s="150">
        <v>8</v>
      </c>
      <c r="F224" s="191">
        <f t="shared" si="439"/>
        <v>0.04</v>
      </c>
      <c r="G224" s="191"/>
      <c r="H224" s="191">
        <f t="shared" si="404"/>
        <v>0.6</v>
      </c>
      <c r="I224" s="472">
        <f t="shared" si="405"/>
        <v>13</v>
      </c>
      <c r="J224" s="386">
        <f t="shared" si="406"/>
        <v>7.66</v>
      </c>
      <c r="K224" s="386">
        <f t="shared" si="407"/>
        <v>20.66</v>
      </c>
      <c r="L224" s="386"/>
      <c r="M224" s="191">
        <f t="shared" si="408"/>
        <v>0.37076476282671827</v>
      </c>
      <c r="N224" s="152">
        <f t="shared" si="409"/>
        <v>8.9867817037754101</v>
      </c>
      <c r="O224" s="152">
        <f t="shared" si="363"/>
        <v>0.6</v>
      </c>
      <c r="P224" s="191">
        <f t="shared" si="410"/>
        <v>0.59911878025169396</v>
      </c>
      <c r="Q224" s="191">
        <f t="shared" si="411"/>
        <v>15</v>
      </c>
      <c r="R224" s="191"/>
      <c r="S224" s="152">
        <f t="shared" si="412"/>
        <v>573.63949579641235</v>
      </c>
      <c r="T224" s="152">
        <f t="shared" si="413"/>
        <v>15</v>
      </c>
      <c r="U224" s="191">
        <f t="shared" si="414"/>
        <v>0.27662850639351944</v>
      </c>
      <c r="V224" s="191">
        <f t="shared" si="415"/>
        <v>0.19151204288782114</v>
      </c>
      <c r="W224" s="191">
        <f t="shared" si="416"/>
        <v>0.32502043832136746</v>
      </c>
      <c r="X224" s="175">
        <f t="shared" si="417"/>
        <v>350</v>
      </c>
      <c r="Y224" s="386">
        <f t="shared" si="418"/>
        <v>350</v>
      </c>
      <c r="AA224" s="191">
        <f t="shared" si="419"/>
        <v>1.530140291030901</v>
      </c>
      <c r="AB224" s="153">
        <f t="shared" si="420"/>
        <v>1.7978149633522336</v>
      </c>
      <c r="AC224" s="153">
        <f t="shared" si="421"/>
        <v>0.24070454723380583</v>
      </c>
      <c r="AD224" s="153"/>
      <c r="AE224" s="153">
        <f t="shared" si="422"/>
        <v>0.96344647519582249</v>
      </c>
      <c r="AF224" s="317">
        <f t="shared" si="423"/>
        <v>202.52495207878908</v>
      </c>
      <c r="AG224" s="463">
        <f t="shared" si="424"/>
        <v>6.9127284595300251E-2</v>
      </c>
      <c r="AI224" s="153">
        <f t="shared" si="425"/>
        <v>0.62376226647607103</v>
      </c>
      <c r="AJ224" s="153">
        <f t="shared" si="426"/>
        <v>0.82</v>
      </c>
      <c r="AK224" s="153">
        <f t="shared" si="427"/>
        <v>1.1157285440450224</v>
      </c>
      <c r="AM224" s="317">
        <f t="shared" si="428"/>
        <v>40</v>
      </c>
      <c r="AN224" s="147">
        <f t="shared" si="429"/>
        <v>202.52495207878908</v>
      </c>
      <c r="AP224">
        <f t="shared" si="430"/>
        <v>40</v>
      </c>
      <c r="AQ224">
        <f t="shared" si="431"/>
        <v>202.52495207878908</v>
      </c>
      <c r="AS224" s="5">
        <f t="shared" si="364"/>
        <v>4.9376631853785904</v>
      </c>
      <c r="AT224" s="5">
        <f t="shared" si="432"/>
        <v>0.56769230769230772</v>
      </c>
      <c r="AU224" s="5">
        <f t="shared" si="304"/>
        <v>4.3699708776862831</v>
      </c>
      <c r="AV224" s="5"/>
      <c r="AW224" s="153">
        <f t="shared" si="305"/>
        <v>0.1149718574108818</v>
      </c>
      <c r="AX224" s="153"/>
      <c r="BA224" s="147">
        <f t="shared" si="433"/>
        <v>15.792961674237105</v>
      </c>
      <c r="BB224" s="147">
        <f t="shared" si="434"/>
        <v>0.21111733775147928</v>
      </c>
      <c r="BC224" s="5">
        <f t="shared" si="359"/>
        <v>0.4037857128839254</v>
      </c>
      <c r="BD224" s="147">
        <f t="shared" si="435"/>
        <v>0</v>
      </c>
      <c r="BQ224" s="463">
        <f t="shared" si="436"/>
        <v>1.528E-2</v>
      </c>
      <c r="CG224" s="59">
        <f t="shared" si="437"/>
        <v>-50</v>
      </c>
      <c r="CH224">
        <f t="shared" si="438"/>
        <v>-50</v>
      </c>
    </row>
    <row r="225" spans="5:86" x14ac:dyDescent="0.25">
      <c r="E225" s="150">
        <v>9</v>
      </c>
      <c r="F225" s="191">
        <f t="shared" si="439"/>
        <v>4.4999999999999998E-2</v>
      </c>
      <c r="G225" s="191"/>
      <c r="H225" s="191">
        <f t="shared" si="404"/>
        <v>0.67499999999999993</v>
      </c>
      <c r="I225" s="472">
        <f t="shared" si="405"/>
        <v>13</v>
      </c>
      <c r="J225" s="386">
        <f t="shared" si="406"/>
        <v>7.66</v>
      </c>
      <c r="K225" s="386">
        <f t="shared" si="407"/>
        <v>20.66</v>
      </c>
      <c r="L225" s="386"/>
      <c r="M225" s="191">
        <f t="shared" si="408"/>
        <v>0.37076476282671827</v>
      </c>
      <c r="N225" s="152">
        <f t="shared" si="409"/>
        <v>8.9867817037754101</v>
      </c>
      <c r="O225" s="152">
        <f t="shared" si="363"/>
        <v>0.67499999999999993</v>
      </c>
      <c r="P225" s="191">
        <f t="shared" si="410"/>
        <v>0.59911878025169396</v>
      </c>
      <c r="Q225" s="191">
        <f t="shared" si="411"/>
        <v>15</v>
      </c>
      <c r="R225" s="191"/>
      <c r="S225" s="152">
        <f t="shared" si="412"/>
        <v>507.0163993752671</v>
      </c>
      <c r="T225" s="152">
        <f t="shared" si="413"/>
        <v>15</v>
      </c>
      <c r="U225" s="191">
        <f t="shared" si="414"/>
        <v>0.31120706969270934</v>
      </c>
      <c r="V225" s="191">
        <f t="shared" si="415"/>
        <v>0.21545104824879877</v>
      </c>
      <c r="W225" s="191">
        <f t="shared" si="416"/>
        <v>0.36564799311153839</v>
      </c>
      <c r="X225" s="175">
        <f t="shared" si="417"/>
        <v>350</v>
      </c>
      <c r="Y225" s="386">
        <f t="shared" si="418"/>
        <v>350</v>
      </c>
      <c r="AA225" s="191">
        <f t="shared" si="419"/>
        <v>1.530140291030901</v>
      </c>
      <c r="AB225" s="153">
        <f t="shared" si="420"/>
        <v>1.7978149633522336</v>
      </c>
      <c r="AC225" s="153">
        <f t="shared" si="421"/>
        <v>0.24070454723380583</v>
      </c>
      <c r="AD225" s="153"/>
      <c r="AE225" s="153">
        <f t="shared" si="422"/>
        <v>0.96344647519582249</v>
      </c>
      <c r="AF225" s="317">
        <f t="shared" si="423"/>
        <v>227.84057108863772</v>
      </c>
      <c r="AG225" s="463">
        <f t="shared" si="424"/>
        <v>6.9127284595300251E-2</v>
      </c>
      <c r="AI225" s="153">
        <f t="shared" si="425"/>
        <v>0.66159979271028024</v>
      </c>
      <c r="AJ225" s="153">
        <f t="shared" si="426"/>
        <v>0.82</v>
      </c>
      <c r="AK225" s="153">
        <f t="shared" si="427"/>
        <v>1.1301946120506501</v>
      </c>
      <c r="AM225" s="317">
        <f t="shared" si="428"/>
        <v>45</v>
      </c>
      <c r="AN225" s="147">
        <f t="shared" si="429"/>
        <v>227.84057108863772</v>
      </c>
      <c r="AP225">
        <f t="shared" si="430"/>
        <v>45</v>
      </c>
      <c r="AQ225">
        <f t="shared" si="431"/>
        <v>227.84057108863772</v>
      </c>
      <c r="AS225" s="5">
        <f t="shared" si="364"/>
        <v>4.389033942558747</v>
      </c>
      <c r="AT225" s="5">
        <f t="shared" si="432"/>
        <v>0.56769230769230772</v>
      </c>
      <c r="AU225" s="5">
        <f t="shared" si="304"/>
        <v>3.8213416348664393</v>
      </c>
      <c r="AV225" s="5"/>
      <c r="AW225" s="153">
        <f t="shared" si="305"/>
        <v>0.12934333958724203</v>
      </c>
      <c r="AX225" s="153"/>
      <c r="BA225" s="147">
        <f t="shared" si="433"/>
        <v>15.792961674237105</v>
      </c>
      <c r="BB225" s="147">
        <f t="shared" si="434"/>
        <v>0.25032038059171596</v>
      </c>
      <c r="BC225" s="5">
        <f t="shared" si="359"/>
        <v>0.39722886017322645</v>
      </c>
      <c r="BD225" s="147">
        <f t="shared" si="435"/>
        <v>0</v>
      </c>
      <c r="BQ225" s="463">
        <f t="shared" si="436"/>
        <v>1.7189999999999997E-2</v>
      </c>
      <c r="CG225" s="59">
        <f t="shared" si="437"/>
        <v>-50</v>
      </c>
      <c r="CH225">
        <f t="shared" si="438"/>
        <v>-50</v>
      </c>
    </row>
    <row r="226" spans="5:86" x14ac:dyDescent="0.25">
      <c r="E226" s="150">
        <v>10</v>
      </c>
      <c r="F226" s="191">
        <f t="shared" si="439"/>
        <v>0.05</v>
      </c>
      <c r="G226" s="191"/>
      <c r="H226" s="191">
        <f t="shared" si="404"/>
        <v>0.75</v>
      </c>
      <c r="I226" s="472">
        <f t="shared" si="405"/>
        <v>13</v>
      </c>
      <c r="J226" s="386">
        <f t="shared" si="406"/>
        <v>7.66</v>
      </c>
      <c r="K226" s="386">
        <f t="shared" si="407"/>
        <v>20.66</v>
      </c>
      <c r="L226" s="386"/>
      <c r="M226" s="191">
        <f t="shared" si="408"/>
        <v>0.37076476282671827</v>
      </c>
      <c r="N226" s="152">
        <f t="shared" si="409"/>
        <v>8.9867817037754101</v>
      </c>
      <c r="O226" s="152">
        <f t="shared" si="363"/>
        <v>0.75</v>
      </c>
      <c r="P226" s="191">
        <f t="shared" si="410"/>
        <v>0.59911878025169396</v>
      </c>
      <c r="Q226" s="191">
        <f t="shared" si="411"/>
        <v>15</v>
      </c>
      <c r="R226" s="191"/>
      <c r="S226" s="152">
        <f t="shared" si="412"/>
        <v>453.71832444432999</v>
      </c>
      <c r="T226" s="152">
        <f t="shared" si="413"/>
        <v>15</v>
      </c>
      <c r="U226" s="191">
        <f t="shared" si="414"/>
        <v>0.34578563299189929</v>
      </c>
      <c r="V226" s="191">
        <f t="shared" si="415"/>
        <v>0.23939005360977644</v>
      </c>
      <c r="W226" s="191">
        <f t="shared" si="416"/>
        <v>0.40627554790170939</v>
      </c>
      <c r="X226" s="175">
        <f t="shared" si="417"/>
        <v>350</v>
      </c>
      <c r="Y226" s="386">
        <f t="shared" si="418"/>
        <v>350</v>
      </c>
      <c r="AA226" s="191">
        <f t="shared" si="419"/>
        <v>1.530140291030901</v>
      </c>
      <c r="AB226" s="153">
        <f t="shared" si="420"/>
        <v>1.7978149633522336</v>
      </c>
      <c r="AC226" s="153">
        <f t="shared" si="421"/>
        <v>0.24070454723380583</v>
      </c>
      <c r="AD226" s="153"/>
      <c r="AE226" s="153">
        <f t="shared" si="422"/>
        <v>0.96344647519582249</v>
      </c>
      <c r="AF226" s="317">
        <f t="shared" si="423"/>
        <v>253.15619009848641</v>
      </c>
      <c r="AG226" s="463">
        <f t="shared" si="424"/>
        <v>6.9127284595300251E-2</v>
      </c>
      <c r="AI226" s="153">
        <f t="shared" si="425"/>
        <v>0.69738741481991651</v>
      </c>
      <c r="AJ226" s="153">
        <f t="shared" si="426"/>
        <v>0.82</v>
      </c>
      <c r="AK226" s="153">
        <f t="shared" si="427"/>
        <v>1.144660680056278</v>
      </c>
      <c r="AM226" s="317">
        <f t="shared" si="428"/>
        <v>50</v>
      </c>
      <c r="AN226" s="147">
        <f t="shared" si="429"/>
        <v>253.15619009848641</v>
      </c>
      <c r="AP226">
        <f t="shared" si="430"/>
        <v>50</v>
      </c>
      <c r="AQ226">
        <f t="shared" si="431"/>
        <v>253.15619009848641</v>
      </c>
      <c r="AS226" s="5">
        <f t="shared" si="364"/>
        <v>3.9501305483028712</v>
      </c>
      <c r="AT226" s="5">
        <f t="shared" si="432"/>
        <v>0.56769230769230772</v>
      </c>
      <c r="AU226" s="5">
        <f t="shared" si="304"/>
        <v>3.3824382406105635</v>
      </c>
      <c r="AV226" s="5"/>
      <c r="AW226" s="153">
        <f t="shared" si="305"/>
        <v>0.14371482176360229</v>
      </c>
      <c r="AX226" s="153"/>
      <c r="BA226" s="147">
        <f t="shared" si="433"/>
        <v>15.792961674237105</v>
      </c>
      <c r="BB226" s="147">
        <f t="shared" si="434"/>
        <v>0.29237084023668647</v>
      </c>
      <c r="BC226" s="5">
        <f t="shared" si="359"/>
        <v>0.39067200746252745</v>
      </c>
      <c r="BD226" s="147">
        <f t="shared" si="435"/>
        <v>0</v>
      </c>
      <c r="BQ226" s="463">
        <f t="shared" si="436"/>
        <v>1.9100000000000002E-2</v>
      </c>
      <c r="CG226" s="59">
        <f t="shared" si="437"/>
        <v>-50</v>
      </c>
      <c r="CH226">
        <f t="shared" si="438"/>
        <v>-50</v>
      </c>
    </row>
    <row r="227" spans="5:86" x14ac:dyDescent="0.25">
      <c r="E227" s="150">
        <v>11</v>
      </c>
      <c r="F227" s="191">
        <f t="shared" si="439"/>
        <v>5.5E-2</v>
      </c>
      <c r="G227" s="191"/>
      <c r="H227" s="191">
        <f t="shared" si="404"/>
        <v>0.82499999999999996</v>
      </c>
      <c r="I227" s="472">
        <f t="shared" si="405"/>
        <v>13</v>
      </c>
      <c r="J227" s="386">
        <f t="shared" si="406"/>
        <v>7.66</v>
      </c>
      <c r="K227" s="386">
        <f t="shared" si="407"/>
        <v>20.66</v>
      </c>
      <c r="L227" s="386"/>
      <c r="M227" s="191">
        <f t="shared" si="408"/>
        <v>0.37076476282671827</v>
      </c>
      <c r="N227" s="152">
        <f t="shared" si="409"/>
        <v>8.9867817037754101</v>
      </c>
      <c r="O227" s="152">
        <f t="shared" si="363"/>
        <v>0.82499999999999996</v>
      </c>
      <c r="P227" s="191">
        <f t="shared" si="410"/>
        <v>0.59911878025169396</v>
      </c>
      <c r="Q227" s="191">
        <f t="shared" si="411"/>
        <v>15</v>
      </c>
      <c r="R227" s="191"/>
      <c r="S227" s="152">
        <f t="shared" si="412"/>
        <v>410.11118045526013</v>
      </c>
      <c r="T227" s="152">
        <f t="shared" si="413"/>
        <v>15</v>
      </c>
      <c r="U227" s="191">
        <f t="shared" si="414"/>
        <v>0.3803641962910892</v>
      </c>
      <c r="V227" s="191">
        <f t="shared" si="415"/>
        <v>0.26332905897075404</v>
      </c>
      <c r="W227" s="191">
        <f t="shared" si="416"/>
        <v>0.44690310269188027</v>
      </c>
      <c r="X227" s="175">
        <f t="shared" si="417"/>
        <v>350</v>
      </c>
      <c r="Y227" s="386">
        <f t="shared" si="418"/>
        <v>350</v>
      </c>
      <c r="AA227" s="191">
        <f t="shared" si="419"/>
        <v>1.530140291030901</v>
      </c>
      <c r="AB227" s="153">
        <f t="shared" si="420"/>
        <v>1.7978149633522336</v>
      </c>
      <c r="AC227" s="153">
        <f t="shared" si="421"/>
        <v>0.24070454723380583</v>
      </c>
      <c r="AD227" s="153"/>
      <c r="AE227" s="153">
        <f t="shared" si="422"/>
        <v>0.96344647519582249</v>
      </c>
      <c r="AF227" s="317">
        <f t="shared" si="423"/>
        <v>278.47180910833498</v>
      </c>
      <c r="AG227" s="463">
        <f t="shared" si="424"/>
        <v>6.9127284595300251E-2</v>
      </c>
      <c r="AI227" s="153">
        <f t="shared" si="425"/>
        <v>0.7314260912656364</v>
      </c>
      <c r="AJ227" s="153">
        <f t="shared" si="426"/>
        <v>0.82</v>
      </c>
      <c r="AK227" s="153">
        <f t="shared" si="427"/>
        <v>1.1591267480619056</v>
      </c>
      <c r="AM227" s="317">
        <f t="shared" si="428"/>
        <v>55</v>
      </c>
      <c r="AN227" s="147">
        <f t="shared" si="429"/>
        <v>278.47180910833498</v>
      </c>
      <c r="AP227">
        <f t="shared" si="430"/>
        <v>55</v>
      </c>
      <c r="AQ227">
        <f t="shared" si="431"/>
        <v>278.47180910833498</v>
      </c>
      <c r="AS227" s="5">
        <f t="shared" si="364"/>
        <v>3.5910277711844292</v>
      </c>
      <c r="AT227" s="5">
        <f t="shared" si="432"/>
        <v>0.56769230769230772</v>
      </c>
      <c r="AU227" s="5">
        <f t="shared" si="304"/>
        <v>3.0233354634921215</v>
      </c>
      <c r="AV227" s="5"/>
      <c r="AW227" s="153">
        <f t="shared" si="305"/>
        <v>0.15808630393996248</v>
      </c>
      <c r="AX227" s="153"/>
      <c r="BA227" s="147">
        <f t="shared" si="433"/>
        <v>15.792961674237105</v>
      </c>
      <c r="BB227" s="147">
        <f t="shared" si="434"/>
        <v>0.33726871668639052</v>
      </c>
      <c r="BC227" s="5">
        <f t="shared" si="359"/>
        <v>0.38411515475182872</v>
      </c>
      <c r="BD227" s="147">
        <f t="shared" si="435"/>
        <v>0</v>
      </c>
      <c r="BQ227" s="463">
        <f t="shared" si="436"/>
        <v>2.1010000000000001E-2</v>
      </c>
      <c r="CG227" s="59">
        <f t="shared" si="437"/>
        <v>-50</v>
      </c>
      <c r="CH227">
        <f t="shared" si="438"/>
        <v>-50</v>
      </c>
    </row>
    <row r="228" spans="5:86" x14ac:dyDescent="0.25">
      <c r="E228" s="150">
        <v>12</v>
      </c>
      <c r="F228" s="191">
        <f t="shared" si="439"/>
        <v>0.06</v>
      </c>
      <c r="G228" s="191"/>
      <c r="H228" s="191">
        <f t="shared" si="404"/>
        <v>0.89999999999999991</v>
      </c>
      <c r="I228" s="472">
        <f t="shared" si="405"/>
        <v>13</v>
      </c>
      <c r="J228" s="386">
        <f t="shared" si="406"/>
        <v>7.66</v>
      </c>
      <c r="K228" s="386">
        <f t="shared" si="407"/>
        <v>20.66</v>
      </c>
      <c r="L228" s="386"/>
      <c r="M228" s="191">
        <f t="shared" si="408"/>
        <v>0.37076476282671827</v>
      </c>
      <c r="N228" s="152">
        <f t="shared" si="409"/>
        <v>8.9867817037754101</v>
      </c>
      <c r="O228" s="152">
        <f t="shared" si="363"/>
        <v>0.89999999999999991</v>
      </c>
      <c r="P228" s="191">
        <f t="shared" si="410"/>
        <v>0.59911878025169396</v>
      </c>
      <c r="Q228" s="191">
        <f t="shared" si="411"/>
        <v>15</v>
      </c>
      <c r="R228" s="191"/>
      <c r="S228" s="152">
        <f t="shared" si="412"/>
        <v>373.77224050407665</v>
      </c>
      <c r="T228" s="152">
        <f t="shared" si="413"/>
        <v>15</v>
      </c>
      <c r="U228" s="191">
        <f t="shared" si="414"/>
        <v>0.4149427595902791</v>
      </c>
      <c r="V228" s="191">
        <f t="shared" si="415"/>
        <v>0.28726806433173169</v>
      </c>
      <c r="W228" s="191">
        <f t="shared" si="416"/>
        <v>0.48753065748205116</v>
      </c>
      <c r="X228" s="175">
        <f t="shared" si="417"/>
        <v>350</v>
      </c>
      <c r="Y228" s="386">
        <f t="shared" si="418"/>
        <v>350</v>
      </c>
      <c r="AA228" s="191">
        <f t="shared" si="419"/>
        <v>1.530140291030901</v>
      </c>
      <c r="AB228" s="153">
        <f t="shared" si="420"/>
        <v>1.7978149633522336</v>
      </c>
      <c r="AC228" s="153">
        <f t="shared" si="421"/>
        <v>0.24070454723380583</v>
      </c>
      <c r="AD228" s="153"/>
      <c r="AE228" s="153">
        <f t="shared" si="422"/>
        <v>0.96344647519582249</v>
      </c>
      <c r="AF228" s="317">
        <f t="shared" si="423"/>
        <v>303.78742811818364</v>
      </c>
      <c r="AG228" s="463">
        <f t="shared" si="424"/>
        <v>6.9127284595300251E-2</v>
      </c>
      <c r="AI228" s="153">
        <f t="shared" si="425"/>
        <v>0.76394963683416173</v>
      </c>
      <c r="AJ228" s="153">
        <f t="shared" si="426"/>
        <v>0.82</v>
      </c>
      <c r="AK228" s="153">
        <f t="shared" si="427"/>
        <v>1.1735928160675335</v>
      </c>
      <c r="AM228" s="317">
        <f t="shared" si="428"/>
        <v>60</v>
      </c>
      <c r="AN228" s="147">
        <f t="shared" si="429"/>
        <v>303.78742811818364</v>
      </c>
      <c r="AP228">
        <f t="shared" si="430"/>
        <v>60</v>
      </c>
      <c r="AQ228">
        <f t="shared" si="431"/>
        <v>303.78742811818364</v>
      </c>
      <c r="AS228" s="5">
        <f t="shared" si="364"/>
        <v>3.2917754569190598</v>
      </c>
      <c r="AT228" s="5">
        <f t="shared" si="432"/>
        <v>0.56769230769230772</v>
      </c>
      <c r="AU228" s="5">
        <f t="shared" si="304"/>
        <v>2.7240831492267521</v>
      </c>
      <c r="AV228" s="5"/>
      <c r="AW228" s="153">
        <f t="shared" si="305"/>
        <v>0.17245778611632273</v>
      </c>
      <c r="AX228" s="153"/>
      <c r="BA228" s="147">
        <f t="shared" si="433"/>
        <v>15.792961674237105</v>
      </c>
      <c r="BB228" s="147">
        <f t="shared" si="434"/>
        <v>0.38501400994082835</v>
      </c>
      <c r="BC228" s="5">
        <f t="shared" si="359"/>
        <v>0.37755830204112983</v>
      </c>
      <c r="BD228" s="147">
        <f t="shared" si="435"/>
        <v>0</v>
      </c>
      <c r="BQ228" s="463">
        <f t="shared" si="436"/>
        <v>2.2919999999999999E-2</v>
      </c>
      <c r="CG228" s="59">
        <f t="shared" si="437"/>
        <v>-50</v>
      </c>
      <c r="CH228">
        <f t="shared" si="438"/>
        <v>-50</v>
      </c>
    </row>
    <row r="229" spans="5:86" x14ac:dyDescent="0.25">
      <c r="E229" s="150">
        <v>13</v>
      </c>
      <c r="F229" s="191">
        <f t="shared" si="439"/>
        <v>6.5000000000000002E-2</v>
      </c>
      <c r="G229" s="191"/>
      <c r="H229" s="191">
        <f t="shared" si="404"/>
        <v>0.97500000000000009</v>
      </c>
      <c r="I229" s="472">
        <f t="shared" si="405"/>
        <v>13</v>
      </c>
      <c r="J229" s="386">
        <f t="shared" si="406"/>
        <v>7.66</v>
      </c>
      <c r="K229" s="386">
        <f t="shared" si="407"/>
        <v>20.66</v>
      </c>
      <c r="L229" s="386"/>
      <c r="M229" s="191">
        <f t="shared" si="408"/>
        <v>0.37076476282671827</v>
      </c>
      <c r="N229" s="152">
        <f t="shared" si="409"/>
        <v>8.9867817037754101</v>
      </c>
      <c r="O229" s="152">
        <f t="shared" si="363"/>
        <v>0.97500000000000009</v>
      </c>
      <c r="P229" s="191">
        <f t="shared" si="410"/>
        <v>0.59911878025169396</v>
      </c>
      <c r="Q229" s="191">
        <f t="shared" si="411"/>
        <v>15</v>
      </c>
      <c r="R229" s="191"/>
      <c r="S229" s="152">
        <f t="shared" si="412"/>
        <v>343.02423224047101</v>
      </c>
      <c r="T229" s="152">
        <f t="shared" si="413"/>
        <v>15</v>
      </c>
      <c r="U229" s="191">
        <f t="shared" si="414"/>
        <v>0.44952132288946911</v>
      </c>
      <c r="V229" s="191">
        <f t="shared" si="415"/>
        <v>0.31120706969270939</v>
      </c>
      <c r="W229" s="191">
        <f t="shared" si="416"/>
        <v>0.52815821227222226</v>
      </c>
      <c r="X229" s="175">
        <f t="shared" si="417"/>
        <v>350</v>
      </c>
      <c r="Y229" s="386">
        <f t="shared" si="418"/>
        <v>350</v>
      </c>
      <c r="AA229" s="191">
        <f t="shared" si="419"/>
        <v>1.530140291030901</v>
      </c>
      <c r="AB229" s="153">
        <f t="shared" si="420"/>
        <v>1.7978149633522336</v>
      </c>
      <c r="AC229" s="153">
        <f t="shared" si="421"/>
        <v>0.24070454723380583</v>
      </c>
      <c r="AD229" s="153"/>
      <c r="AE229" s="153">
        <f t="shared" si="422"/>
        <v>0.96344647519582249</v>
      </c>
      <c r="AF229" s="317">
        <f t="shared" si="423"/>
        <v>329.1030471280323</v>
      </c>
      <c r="AG229" s="463">
        <f t="shared" si="424"/>
        <v>6.9127284595300251E-2</v>
      </c>
      <c r="AI229" s="153">
        <f t="shared" si="425"/>
        <v>0.79514399215108722</v>
      </c>
      <c r="AJ229" s="153">
        <f t="shared" si="426"/>
        <v>0.82</v>
      </c>
      <c r="AK229" s="153">
        <f t="shared" si="427"/>
        <v>1.1880588840731614</v>
      </c>
      <c r="AM229" s="317">
        <f t="shared" si="428"/>
        <v>65</v>
      </c>
      <c r="AN229" s="147">
        <f t="shared" si="429"/>
        <v>329.1030471280323</v>
      </c>
      <c r="AP229">
        <f t="shared" si="430"/>
        <v>65</v>
      </c>
      <c r="AQ229">
        <f t="shared" si="431"/>
        <v>329.1030471280323</v>
      </c>
      <c r="AS229" s="5">
        <f t="shared" si="364"/>
        <v>3.0385619602329781</v>
      </c>
      <c r="AT229" s="5">
        <f t="shared" si="432"/>
        <v>0.56769230769230772</v>
      </c>
      <c r="AU229" s="5">
        <f t="shared" si="304"/>
        <v>2.4708696525406704</v>
      </c>
      <c r="AV229" s="5"/>
      <c r="AW229" s="153">
        <f t="shared" si="305"/>
        <v>0.18682926829268295</v>
      </c>
      <c r="AX229" s="153"/>
      <c r="BA229" s="147">
        <f t="shared" si="433"/>
        <v>15.792961674237105</v>
      </c>
      <c r="BB229" s="147">
        <f t="shared" si="434"/>
        <v>0.43560672</v>
      </c>
      <c r="BC229" s="5">
        <f t="shared" si="359"/>
        <v>0.37100144933043094</v>
      </c>
      <c r="BD229" s="147">
        <f t="shared" si="435"/>
        <v>0</v>
      </c>
      <c r="BQ229" s="463">
        <f t="shared" si="436"/>
        <v>2.4830000000000001E-2</v>
      </c>
      <c r="CG229" s="59">
        <f t="shared" si="437"/>
        <v>-50</v>
      </c>
      <c r="CH229">
        <f t="shared" si="438"/>
        <v>-50</v>
      </c>
    </row>
    <row r="230" spans="5:86" x14ac:dyDescent="0.25">
      <c r="E230" s="150">
        <v>14</v>
      </c>
      <c r="F230" s="191">
        <f t="shared" si="439"/>
        <v>7.0000000000000007E-2</v>
      </c>
      <c r="G230" s="191"/>
      <c r="H230" s="191">
        <f t="shared" si="404"/>
        <v>1.05</v>
      </c>
      <c r="I230" s="472">
        <f t="shared" si="405"/>
        <v>13</v>
      </c>
      <c r="J230" s="386">
        <f t="shared" si="406"/>
        <v>7.66</v>
      </c>
      <c r="K230" s="386">
        <f t="shared" si="407"/>
        <v>20.66</v>
      </c>
      <c r="L230" s="386"/>
      <c r="M230" s="191">
        <f t="shared" si="408"/>
        <v>0.37076476282671827</v>
      </c>
      <c r="N230" s="152">
        <f t="shared" si="409"/>
        <v>8.9867817037754101</v>
      </c>
      <c r="O230" s="152">
        <f t="shared" si="363"/>
        <v>1.05</v>
      </c>
      <c r="P230" s="191">
        <f t="shared" si="410"/>
        <v>0.59911878025169396</v>
      </c>
      <c r="Q230" s="191">
        <f t="shared" si="411"/>
        <v>15</v>
      </c>
      <c r="R230" s="191"/>
      <c r="S230" s="152">
        <f t="shared" si="412"/>
        <v>316.66910410179781</v>
      </c>
      <c r="T230" s="152">
        <f t="shared" si="413"/>
        <v>15</v>
      </c>
      <c r="U230" s="191">
        <f t="shared" si="414"/>
        <v>0.48409988618865901</v>
      </c>
      <c r="V230" s="191">
        <f t="shared" si="415"/>
        <v>0.33514607505368704</v>
      </c>
      <c r="W230" s="191">
        <f t="shared" si="416"/>
        <v>0.56878576706239303</v>
      </c>
      <c r="X230" s="175">
        <f t="shared" si="417"/>
        <v>350</v>
      </c>
      <c r="Y230" s="386">
        <f t="shared" si="418"/>
        <v>350</v>
      </c>
      <c r="AA230" s="191">
        <f t="shared" si="419"/>
        <v>1.530140291030901</v>
      </c>
      <c r="AB230" s="153">
        <f t="shared" si="420"/>
        <v>1.7978149633522336</v>
      </c>
      <c r="AC230" s="153">
        <f t="shared" si="421"/>
        <v>0.24070454723380583</v>
      </c>
      <c r="AD230" s="153"/>
      <c r="AE230" s="153">
        <f t="shared" si="422"/>
        <v>0.96344647519582249</v>
      </c>
      <c r="AF230" s="317">
        <f t="shared" si="423"/>
        <v>354.41866613788096</v>
      </c>
      <c r="AG230" s="463">
        <f t="shared" si="424"/>
        <v>6.9127284595300251E-2</v>
      </c>
      <c r="AI230" s="153">
        <f t="shared" si="425"/>
        <v>0.8251599171608428</v>
      </c>
      <c r="AJ230" s="153">
        <f t="shared" si="426"/>
        <v>0.8251599171608428</v>
      </c>
      <c r="AK230" s="153">
        <f t="shared" si="427"/>
        <v>1.2034399447738953</v>
      </c>
      <c r="AM230" s="317">
        <f t="shared" si="428"/>
        <v>70</v>
      </c>
      <c r="AN230" s="147">
        <f t="shared" si="429"/>
        <v>350</v>
      </c>
      <c r="AP230">
        <f t="shared" si="430"/>
        <v>70</v>
      </c>
      <c r="AQ230">
        <f t="shared" si="431"/>
        <v>350</v>
      </c>
      <c r="AS230" s="5">
        <f t="shared" si="364"/>
        <v>2.8571428571428572</v>
      </c>
      <c r="AT230" s="5">
        <f t="shared" si="432"/>
        <v>0.57126455803442966</v>
      </c>
      <c r="AU230" s="5">
        <f t="shared" si="304"/>
        <v>2.2858782991084277</v>
      </c>
      <c r="AV230" s="5"/>
      <c r="AW230" s="153">
        <f t="shared" si="305"/>
        <v>0.19994259531205039</v>
      </c>
      <c r="AX230" s="153"/>
      <c r="BA230" s="147">
        <f t="shared" si="433"/>
        <v>15.792961674237105</v>
      </c>
      <c r="BB230" s="147">
        <f t="shared" si="434"/>
        <v>0.48904684686390537</v>
      </c>
      <c r="BC230" s="5">
        <f t="shared" si="359"/>
        <v>0.36962689059272336</v>
      </c>
      <c r="BD230" s="147">
        <f t="shared" si="435"/>
        <v>0</v>
      </c>
      <c r="BQ230" s="463">
        <f t="shared" si="436"/>
        <v>2.6740000000000003E-2</v>
      </c>
      <c r="CG230" s="59">
        <f t="shared" si="437"/>
        <v>-50</v>
      </c>
      <c r="CH230">
        <f t="shared" si="438"/>
        <v>-50</v>
      </c>
    </row>
    <row r="231" spans="5:86" x14ac:dyDescent="0.25">
      <c r="E231" s="150">
        <v>15</v>
      </c>
      <c r="F231" s="191">
        <f t="shared" si="439"/>
        <v>7.4999999999999997E-2</v>
      </c>
      <c r="G231" s="191"/>
      <c r="H231" s="191">
        <f t="shared" si="404"/>
        <v>1.125</v>
      </c>
      <c r="I231" s="472">
        <f t="shared" si="405"/>
        <v>13</v>
      </c>
      <c r="J231" s="386">
        <f t="shared" si="406"/>
        <v>7.66</v>
      </c>
      <c r="K231" s="386">
        <f t="shared" si="407"/>
        <v>20.66</v>
      </c>
      <c r="L231" s="386"/>
      <c r="M231" s="191">
        <f t="shared" si="408"/>
        <v>0.37076476282671827</v>
      </c>
      <c r="N231" s="152">
        <f t="shared" si="409"/>
        <v>8.9867817037754101</v>
      </c>
      <c r="O231" s="152">
        <f t="shared" si="363"/>
        <v>1.125</v>
      </c>
      <c r="P231" s="191">
        <f t="shared" si="410"/>
        <v>0.59911878025169396</v>
      </c>
      <c r="Q231" s="191">
        <f t="shared" si="411"/>
        <v>15</v>
      </c>
      <c r="R231" s="191"/>
      <c r="S231" s="152">
        <f t="shared" si="412"/>
        <v>293.82828505356906</v>
      </c>
      <c r="T231" s="152">
        <f t="shared" si="413"/>
        <v>15</v>
      </c>
      <c r="U231" s="191">
        <f t="shared" si="414"/>
        <v>0.51867844948784891</v>
      </c>
      <c r="V231" s="191">
        <f t="shared" si="415"/>
        <v>0.35908508041466469</v>
      </c>
      <c r="W231" s="191">
        <f t="shared" si="416"/>
        <v>0.60941332185256403</v>
      </c>
      <c r="X231" s="175">
        <f t="shared" si="417"/>
        <v>350</v>
      </c>
      <c r="Y231" s="386">
        <f t="shared" si="418"/>
        <v>350</v>
      </c>
      <c r="AA231" s="191">
        <f t="shared" si="419"/>
        <v>1.530140291030901</v>
      </c>
      <c r="AB231" s="153">
        <f t="shared" si="420"/>
        <v>1.7978149633522336</v>
      </c>
      <c r="AC231" s="153">
        <f t="shared" si="421"/>
        <v>0.24070454723380583</v>
      </c>
      <c r="AD231" s="153"/>
      <c r="AE231" s="153">
        <f t="shared" si="422"/>
        <v>0.96344647519582249</v>
      </c>
      <c r="AF231" s="317">
        <f t="shared" si="423"/>
        <v>379.73428514772957</v>
      </c>
      <c r="AG231" s="463">
        <f t="shared" si="424"/>
        <v>6.9127284595300251E-2</v>
      </c>
      <c r="AI231" s="153">
        <f t="shared" si="425"/>
        <v>0.85412165967373144</v>
      </c>
      <c r="AJ231" s="153">
        <f t="shared" si="426"/>
        <v>0.85412165967373144</v>
      </c>
      <c r="AK231" s="153">
        <f t="shared" si="427"/>
        <v>1.2227477731158209</v>
      </c>
      <c r="AM231" s="317">
        <f t="shared" si="428"/>
        <v>75</v>
      </c>
      <c r="AN231" s="147">
        <f t="shared" si="429"/>
        <v>350</v>
      </c>
      <c r="AP231">
        <f t="shared" si="430"/>
        <v>75</v>
      </c>
      <c r="AQ231">
        <f t="shared" si="431"/>
        <v>350</v>
      </c>
      <c r="AS231" s="5">
        <f t="shared" si="364"/>
        <v>2.8571428571428572</v>
      </c>
      <c r="AT231" s="5">
        <f t="shared" si="432"/>
        <v>0.5913149951587372</v>
      </c>
      <c r="AU231" s="5">
        <f t="shared" si="304"/>
        <v>2.2658278619841199</v>
      </c>
      <c r="AV231" s="5"/>
      <c r="AW231" s="153">
        <f t="shared" si="305"/>
        <v>0.20696024830555801</v>
      </c>
      <c r="AX231" s="153"/>
      <c r="BA231" s="147">
        <f t="shared" si="433"/>
        <v>15.792961674237105</v>
      </c>
      <c r="BB231" s="147">
        <f t="shared" si="434"/>
        <v>0.5453343905325444</v>
      </c>
      <c r="BC231" s="5">
        <f t="shared" si="359"/>
        <v>0.39255506964381837</v>
      </c>
      <c r="BD231" s="147">
        <f t="shared" si="435"/>
        <v>0</v>
      </c>
      <c r="BQ231" s="463">
        <f t="shared" si="436"/>
        <v>2.8649999999999998E-2</v>
      </c>
      <c r="CG231" s="59">
        <f t="shared" si="437"/>
        <v>-50</v>
      </c>
      <c r="CH231">
        <f t="shared" si="438"/>
        <v>-50</v>
      </c>
    </row>
    <row r="232" spans="5:86" x14ac:dyDescent="0.25">
      <c r="E232" s="150">
        <v>16</v>
      </c>
      <c r="F232" s="191">
        <f t="shared" si="439"/>
        <v>0.08</v>
      </c>
      <c r="G232" s="191"/>
      <c r="H232" s="191">
        <f t="shared" si="404"/>
        <v>1.2</v>
      </c>
      <c r="I232" s="472">
        <f t="shared" si="405"/>
        <v>13</v>
      </c>
      <c r="J232" s="386">
        <f t="shared" si="406"/>
        <v>7.66</v>
      </c>
      <c r="K232" s="386">
        <f t="shared" si="407"/>
        <v>20.66</v>
      </c>
      <c r="L232" s="386"/>
      <c r="M232" s="191">
        <f t="shared" si="408"/>
        <v>0.37076476282671827</v>
      </c>
      <c r="N232" s="152">
        <f t="shared" si="409"/>
        <v>8.9867817037754101</v>
      </c>
      <c r="O232" s="152">
        <f t="shared" si="363"/>
        <v>1.2</v>
      </c>
      <c r="P232" s="191">
        <f t="shared" si="410"/>
        <v>0.59911878025169396</v>
      </c>
      <c r="Q232" s="191">
        <f t="shared" si="411"/>
        <v>15</v>
      </c>
      <c r="R232" s="191"/>
      <c r="S232" s="152">
        <f t="shared" si="412"/>
        <v>273.84284692735804</v>
      </c>
      <c r="T232" s="152">
        <f t="shared" si="413"/>
        <v>15</v>
      </c>
      <c r="U232" s="191">
        <f t="shared" si="414"/>
        <v>0.55325701278703887</v>
      </c>
      <c r="V232" s="191">
        <f t="shared" si="415"/>
        <v>0.38302408577564229</v>
      </c>
      <c r="W232" s="191">
        <f t="shared" si="416"/>
        <v>0.65004087664273491</v>
      </c>
      <c r="X232" s="175">
        <f t="shared" si="417"/>
        <v>350</v>
      </c>
      <c r="Y232" s="386">
        <f t="shared" si="418"/>
        <v>350</v>
      </c>
      <c r="AA232" s="191">
        <f t="shared" si="419"/>
        <v>1.530140291030901</v>
      </c>
      <c r="AB232" s="153">
        <f t="shared" si="420"/>
        <v>1.7978149633522336</v>
      </c>
      <c r="AC232" s="153">
        <f t="shared" si="421"/>
        <v>0.24070454723380583</v>
      </c>
      <c r="AD232" s="153"/>
      <c r="AE232" s="153">
        <f t="shared" si="422"/>
        <v>0.96344647519582249</v>
      </c>
      <c r="AF232" s="317">
        <f t="shared" si="423"/>
        <v>405.04990415757817</v>
      </c>
      <c r="AG232" s="463">
        <f t="shared" si="424"/>
        <v>6.9127284595300251E-2</v>
      </c>
      <c r="AI232" s="153">
        <f t="shared" si="425"/>
        <v>0.88213305694704025</v>
      </c>
      <c r="AJ232" s="153">
        <f t="shared" si="426"/>
        <v>0.88213305694704025</v>
      </c>
      <c r="AK232" s="153">
        <f t="shared" si="427"/>
        <v>1.2414220379646934</v>
      </c>
      <c r="AM232" s="317">
        <f t="shared" si="428"/>
        <v>80</v>
      </c>
      <c r="AN232" s="147">
        <f t="shared" si="429"/>
        <v>350</v>
      </c>
      <c r="AP232">
        <f t="shared" si="430"/>
        <v>80</v>
      </c>
      <c r="AQ232">
        <f t="shared" si="431"/>
        <v>350</v>
      </c>
      <c r="AS232" s="5">
        <f t="shared" si="364"/>
        <v>2.8571428571428572</v>
      </c>
      <c r="AT232" s="5">
        <f t="shared" si="432"/>
        <v>0.61070750096333548</v>
      </c>
      <c r="AU232" s="5">
        <f t="shared" si="304"/>
        <v>2.2464353561795218</v>
      </c>
      <c r="AV232" s="5"/>
      <c r="AW232" s="153">
        <f t="shared" si="305"/>
        <v>0.2137476253371674</v>
      </c>
      <c r="AX232" s="153"/>
      <c r="BA232" s="147">
        <f t="shared" si="433"/>
        <v>15.792961674237105</v>
      </c>
      <c r="BB232" s="147">
        <f t="shared" si="434"/>
        <v>0.60446935100591714</v>
      </c>
      <c r="BC232" s="5">
        <f t="shared" si="359"/>
        <v>0.41514166896364457</v>
      </c>
      <c r="BD232" s="147">
        <f t="shared" si="435"/>
        <v>0</v>
      </c>
      <c r="BQ232" s="463">
        <f t="shared" si="436"/>
        <v>3.056E-2</v>
      </c>
      <c r="CG232" s="59">
        <f t="shared" si="437"/>
        <v>-50</v>
      </c>
      <c r="CH232">
        <f t="shared" si="438"/>
        <v>-50</v>
      </c>
    </row>
    <row r="233" spans="5:86" x14ac:dyDescent="0.25">
      <c r="E233" s="150">
        <v>17</v>
      </c>
      <c r="F233" s="191">
        <f t="shared" si="439"/>
        <v>8.5000000000000006E-2</v>
      </c>
      <c r="G233" s="191"/>
      <c r="H233" s="191">
        <f t="shared" si="404"/>
        <v>1.2750000000000001</v>
      </c>
      <c r="I233" s="472">
        <f t="shared" si="405"/>
        <v>13</v>
      </c>
      <c r="J233" s="386">
        <f t="shared" si="406"/>
        <v>7.66</v>
      </c>
      <c r="K233" s="386">
        <f t="shared" si="407"/>
        <v>20.66</v>
      </c>
      <c r="L233" s="386"/>
      <c r="M233" s="191">
        <f t="shared" si="408"/>
        <v>0.37076476282671827</v>
      </c>
      <c r="N233" s="152">
        <f t="shared" si="409"/>
        <v>8.9867817037754101</v>
      </c>
      <c r="O233" s="152">
        <f t="shared" si="363"/>
        <v>1.2750000000000001</v>
      </c>
      <c r="P233" s="191">
        <f t="shared" si="410"/>
        <v>0.59911878025169396</v>
      </c>
      <c r="Q233" s="191">
        <f t="shared" si="411"/>
        <v>15</v>
      </c>
      <c r="R233" s="191"/>
      <c r="S233" s="152">
        <f t="shared" si="412"/>
        <v>256.20890358071244</v>
      </c>
      <c r="T233" s="152">
        <f t="shared" si="413"/>
        <v>15</v>
      </c>
      <c r="U233" s="191">
        <f t="shared" si="414"/>
        <v>0.58783557608622883</v>
      </c>
      <c r="V233" s="191">
        <f t="shared" si="415"/>
        <v>0.40696309113661999</v>
      </c>
      <c r="W233" s="191">
        <f t="shared" si="416"/>
        <v>0.69066843143290602</v>
      </c>
      <c r="X233" s="175">
        <f t="shared" si="417"/>
        <v>350</v>
      </c>
      <c r="Y233" s="386">
        <f t="shared" si="418"/>
        <v>350</v>
      </c>
      <c r="AA233" s="191">
        <f t="shared" si="419"/>
        <v>1.530140291030901</v>
      </c>
      <c r="AB233" s="153">
        <f t="shared" si="420"/>
        <v>1.7978149633522336</v>
      </c>
      <c r="AC233" s="153">
        <f t="shared" si="421"/>
        <v>0.24070454723380583</v>
      </c>
      <c r="AD233" s="153"/>
      <c r="AE233" s="153">
        <f t="shared" si="422"/>
        <v>0.96344647519582249</v>
      </c>
      <c r="AF233" s="317">
        <f t="shared" si="423"/>
        <v>430.36552316742689</v>
      </c>
      <c r="AG233" s="463">
        <f t="shared" si="424"/>
        <v>6.9127284595300251E-2</v>
      </c>
      <c r="AI233" s="153">
        <f t="shared" si="425"/>
        <v>0.90928194241041149</v>
      </c>
      <c r="AJ233" s="153">
        <f t="shared" si="426"/>
        <v>0.90928194241041149</v>
      </c>
      <c r="AK233" s="153">
        <f t="shared" si="427"/>
        <v>1.2595212949402743</v>
      </c>
      <c r="AM233" s="317">
        <f t="shared" si="428"/>
        <v>85</v>
      </c>
      <c r="AN233" s="147">
        <f t="shared" si="429"/>
        <v>350</v>
      </c>
      <c r="AP233">
        <f t="shared" si="430"/>
        <v>85</v>
      </c>
      <c r="AQ233">
        <f t="shared" si="431"/>
        <v>350</v>
      </c>
      <c r="AS233" s="5">
        <f t="shared" si="364"/>
        <v>2.8571428571428572</v>
      </c>
      <c r="AT233" s="5">
        <f t="shared" si="432"/>
        <v>0.62950288320720793</v>
      </c>
      <c r="AU233" s="5">
        <f t="shared" si="304"/>
        <v>2.2276399739356494</v>
      </c>
      <c r="AV233" s="5"/>
      <c r="AW233" s="153">
        <f t="shared" si="305"/>
        <v>0.22032600912252276</v>
      </c>
      <c r="AX233" s="153"/>
      <c r="BA233" s="147">
        <f t="shared" si="433"/>
        <v>15.792961674237105</v>
      </c>
      <c r="BB233" s="147">
        <f t="shared" si="434"/>
        <v>0.66645172828402377</v>
      </c>
      <c r="BC233" s="5">
        <f t="shared" si="359"/>
        <v>0.43739754627981103</v>
      </c>
      <c r="BD233" s="147">
        <f t="shared" si="435"/>
        <v>0</v>
      </c>
      <c r="BQ233" s="463">
        <f t="shared" si="436"/>
        <v>3.2469999999999999E-2</v>
      </c>
      <c r="CG233" s="59">
        <f t="shared" si="437"/>
        <v>-50</v>
      </c>
      <c r="CH233">
        <f t="shared" si="438"/>
        <v>-50</v>
      </c>
    </row>
    <row r="234" spans="5:86" x14ac:dyDescent="0.25">
      <c r="E234" s="150">
        <v>18</v>
      </c>
      <c r="F234" s="191">
        <f t="shared" si="439"/>
        <v>0.09</v>
      </c>
      <c r="G234" s="191"/>
      <c r="H234" s="191">
        <f t="shared" si="404"/>
        <v>1.3499999999999999</v>
      </c>
      <c r="I234" s="472">
        <f t="shared" si="405"/>
        <v>13</v>
      </c>
      <c r="J234" s="386">
        <f t="shared" si="406"/>
        <v>7.66</v>
      </c>
      <c r="K234" s="386">
        <f t="shared" si="407"/>
        <v>20.66</v>
      </c>
      <c r="L234" s="386"/>
      <c r="M234" s="191">
        <f t="shared" si="408"/>
        <v>0.37076476282671827</v>
      </c>
      <c r="N234" s="152">
        <f t="shared" si="409"/>
        <v>8.9867817037754101</v>
      </c>
      <c r="O234" s="152">
        <f t="shared" si="363"/>
        <v>1.3499999999999999</v>
      </c>
      <c r="P234" s="191">
        <f t="shared" si="410"/>
        <v>0.59911878025169396</v>
      </c>
      <c r="Q234" s="191">
        <f t="shared" si="411"/>
        <v>15</v>
      </c>
      <c r="R234" s="191"/>
      <c r="S234" s="152">
        <f t="shared" si="412"/>
        <v>240.53454367052086</v>
      </c>
      <c r="T234" s="152">
        <f t="shared" si="413"/>
        <v>15</v>
      </c>
      <c r="U234" s="191">
        <f t="shared" si="414"/>
        <v>0.62241413938541867</v>
      </c>
      <c r="V234" s="191">
        <f t="shared" si="415"/>
        <v>0.43090209649759753</v>
      </c>
      <c r="W234" s="191">
        <f t="shared" si="416"/>
        <v>0.73129598622307679</v>
      </c>
      <c r="X234" s="175">
        <f t="shared" si="417"/>
        <v>350</v>
      </c>
      <c r="Y234" s="386">
        <f t="shared" si="418"/>
        <v>350</v>
      </c>
      <c r="AA234" s="191">
        <f t="shared" si="419"/>
        <v>1.530140291030901</v>
      </c>
      <c r="AB234" s="153">
        <f t="shared" si="420"/>
        <v>1.7978149633522336</v>
      </c>
      <c r="AC234" s="153">
        <f t="shared" si="421"/>
        <v>0.24070454723380583</v>
      </c>
      <c r="AD234" s="153"/>
      <c r="AE234" s="153">
        <f t="shared" si="422"/>
        <v>0.96344647519582249</v>
      </c>
      <c r="AF234" s="317">
        <f t="shared" si="423"/>
        <v>455.68114217727543</v>
      </c>
      <c r="AG234" s="463">
        <f t="shared" si="424"/>
        <v>6.9127284595300251E-2</v>
      </c>
      <c r="AI234" s="153">
        <f t="shared" si="425"/>
        <v>0.93564339971410659</v>
      </c>
      <c r="AJ234" s="153">
        <f t="shared" si="426"/>
        <v>0.93564339971410659</v>
      </c>
      <c r="AK234" s="153">
        <f t="shared" si="427"/>
        <v>1.2770955998094045</v>
      </c>
      <c r="AM234" s="317">
        <f t="shared" si="428"/>
        <v>90</v>
      </c>
      <c r="AN234" s="147">
        <f t="shared" si="429"/>
        <v>350</v>
      </c>
      <c r="AP234">
        <f t="shared" si="430"/>
        <v>90</v>
      </c>
      <c r="AQ234">
        <f t="shared" si="431"/>
        <v>350</v>
      </c>
      <c r="AS234" s="5">
        <f t="shared" si="364"/>
        <v>2.8571428571428572</v>
      </c>
      <c r="AT234" s="5">
        <f t="shared" si="432"/>
        <v>0.64775312287899689</v>
      </c>
      <c r="AU234" s="5">
        <f t="shared" ref="AU234:AU297" si="440">AS234-AT234</f>
        <v>2.2093897342638602</v>
      </c>
      <c r="AV234" s="5"/>
      <c r="AW234" s="153">
        <f t="shared" ref="AW234:AW297" si="441">AT234/AS234</f>
        <v>0.2267135930076489</v>
      </c>
      <c r="AX234" s="153"/>
      <c r="BA234" s="147">
        <f t="shared" si="433"/>
        <v>15.792961674237105</v>
      </c>
      <c r="BB234" s="147">
        <f t="shared" si="434"/>
        <v>0.73128152236686383</v>
      </c>
      <c r="BC234" s="5">
        <f t="shared" si="359"/>
        <v>0.45933258508604152</v>
      </c>
      <c r="BD234" s="147">
        <f t="shared" si="435"/>
        <v>0</v>
      </c>
      <c r="BQ234" s="463">
        <f t="shared" si="436"/>
        <v>3.4379999999999994E-2</v>
      </c>
      <c r="CG234" s="59">
        <f t="shared" si="437"/>
        <v>-50</v>
      </c>
      <c r="CH234">
        <f t="shared" si="438"/>
        <v>-50</v>
      </c>
    </row>
    <row r="235" spans="5:86" x14ac:dyDescent="0.25">
      <c r="E235" s="150">
        <v>19</v>
      </c>
      <c r="F235" s="191">
        <f t="shared" si="439"/>
        <v>9.5000000000000001E-2</v>
      </c>
      <c r="G235" s="191"/>
      <c r="H235" s="191">
        <f t="shared" si="404"/>
        <v>1.425</v>
      </c>
      <c r="I235" s="472">
        <f t="shared" si="405"/>
        <v>13</v>
      </c>
      <c r="J235" s="386">
        <f t="shared" si="406"/>
        <v>7.66</v>
      </c>
      <c r="K235" s="386">
        <f t="shared" si="407"/>
        <v>20.66</v>
      </c>
      <c r="L235" s="386"/>
      <c r="M235" s="191">
        <f t="shared" si="408"/>
        <v>0.37076476282671827</v>
      </c>
      <c r="N235" s="152">
        <f t="shared" si="409"/>
        <v>8.9867817037754101</v>
      </c>
      <c r="O235" s="152">
        <f t="shared" si="363"/>
        <v>1.425</v>
      </c>
      <c r="P235" s="191">
        <f t="shared" si="410"/>
        <v>0.59911878025169396</v>
      </c>
      <c r="Q235" s="191">
        <f t="shared" si="411"/>
        <v>15</v>
      </c>
      <c r="R235" s="191"/>
      <c r="S235" s="152">
        <f t="shared" si="412"/>
        <v>226.51036360330176</v>
      </c>
      <c r="T235" s="152">
        <f t="shared" si="413"/>
        <v>15</v>
      </c>
      <c r="U235" s="191">
        <f t="shared" si="414"/>
        <v>0.65699270268460863</v>
      </c>
      <c r="V235" s="191">
        <f t="shared" si="415"/>
        <v>0.45484110185857518</v>
      </c>
      <c r="W235" s="191">
        <f t="shared" si="416"/>
        <v>0.77192354101324778</v>
      </c>
      <c r="X235" s="175">
        <f t="shared" si="417"/>
        <v>350</v>
      </c>
      <c r="Y235" s="386">
        <f t="shared" si="418"/>
        <v>350</v>
      </c>
      <c r="AA235" s="191">
        <f t="shared" si="419"/>
        <v>1.530140291030901</v>
      </c>
      <c r="AB235" s="153">
        <f t="shared" si="420"/>
        <v>1.7978149633522336</v>
      </c>
      <c r="AC235" s="153">
        <f t="shared" si="421"/>
        <v>0.24070454723380583</v>
      </c>
      <c r="AD235" s="153"/>
      <c r="AE235" s="153">
        <f t="shared" si="422"/>
        <v>0.96344647519582249</v>
      </c>
      <c r="AF235" s="317">
        <f t="shared" si="423"/>
        <v>480.99676118712415</v>
      </c>
      <c r="AG235" s="463">
        <f t="shared" si="424"/>
        <v>6.9127284595300251E-2</v>
      </c>
      <c r="AI235" s="153">
        <f t="shared" si="425"/>
        <v>0.96128221249718959</v>
      </c>
      <c r="AJ235" s="153">
        <f t="shared" si="426"/>
        <v>0.96128221249718959</v>
      </c>
      <c r="AK235" s="153">
        <f t="shared" si="427"/>
        <v>1.2941881416647931</v>
      </c>
      <c r="AM235" s="317">
        <f t="shared" si="428"/>
        <v>95</v>
      </c>
      <c r="AN235" s="147">
        <f t="shared" si="429"/>
        <v>350</v>
      </c>
      <c r="AP235">
        <f t="shared" si="430"/>
        <v>95</v>
      </c>
      <c r="AQ235">
        <f t="shared" si="431"/>
        <v>350</v>
      </c>
      <c r="AS235" s="5">
        <f t="shared" si="364"/>
        <v>2.8571428571428572</v>
      </c>
      <c r="AT235" s="5">
        <f t="shared" si="432"/>
        <v>0.66550307019036203</v>
      </c>
      <c r="AU235" s="5">
        <f t="shared" si="440"/>
        <v>2.1916397869524951</v>
      </c>
      <c r="AV235" s="5"/>
      <c r="AW235" s="153">
        <f t="shared" si="441"/>
        <v>0.2329260745666267</v>
      </c>
      <c r="AX235" s="153"/>
      <c r="BA235" s="147">
        <f t="shared" si="433"/>
        <v>15.792961674237105</v>
      </c>
      <c r="BB235" s="147">
        <f t="shared" si="434"/>
        <v>0.79895873325443789</v>
      </c>
      <c r="BC235" s="5">
        <f t="shared" si="359"/>
        <v>0.48095583220255722</v>
      </c>
      <c r="BD235" s="147">
        <f t="shared" si="435"/>
        <v>0</v>
      </c>
      <c r="BQ235" s="463">
        <f t="shared" si="436"/>
        <v>3.6290000000000003E-2</v>
      </c>
      <c r="CG235" s="59">
        <f t="shared" si="437"/>
        <v>-50</v>
      </c>
      <c r="CH235">
        <f t="shared" si="438"/>
        <v>-50</v>
      </c>
    </row>
    <row r="236" spans="5:86" x14ac:dyDescent="0.25">
      <c r="E236" s="150">
        <v>20</v>
      </c>
      <c r="F236" s="191">
        <f t="shared" si="439"/>
        <v>0.1</v>
      </c>
      <c r="G236" s="191"/>
      <c r="H236" s="191">
        <f t="shared" si="404"/>
        <v>1.5</v>
      </c>
      <c r="I236" s="472">
        <f t="shared" si="405"/>
        <v>13</v>
      </c>
      <c r="J236" s="386">
        <f t="shared" si="406"/>
        <v>7.66</v>
      </c>
      <c r="K236" s="386">
        <f t="shared" si="407"/>
        <v>20.66</v>
      </c>
      <c r="L236" s="386"/>
      <c r="M236" s="191">
        <f t="shared" si="408"/>
        <v>0.37076476282671827</v>
      </c>
      <c r="N236" s="152">
        <f t="shared" si="409"/>
        <v>8.9867817037754101</v>
      </c>
      <c r="O236" s="152">
        <f t="shared" si="363"/>
        <v>1.5</v>
      </c>
      <c r="P236" s="191">
        <f t="shared" si="410"/>
        <v>0.59911878025169396</v>
      </c>
      <c r="Q236" s="191">
        <f t="shared" si="411"/>
        <v>15</v>
      </c>
      <c r="R236" s="191"/>
      <c r="S236" s="152">
        <f t="shared" si="412"/>
        <v>213.88884060049378</v>
      </c>
      <c r="T236" s="152">
        <f t="shared" si="413"/>
        <v>15</v>
      </c>
      <c r="U236" s="191">
        <f t="shared" si="414"/>
        <v>0.69157126598379859</v>
      </c>
      <c r="V236" s="191">
        <f t="shared" si="415"/>
        <v>0.47878010721955289</v>
      </c>
      <c r="W236" s="191">
        <f t="shared" si="416"/>
        <v>0.81255109580341878</v>
      </c>
      <c r="X236" s="175">
        <f t="shared" si="417"/>
        <v>350</v>
      </c>
      <c r="Y236" s="386">
        <f t="shared" si="418"/>
        <v>350</v>
      </c>
      <c r="AA236" s="191">
        <f t="shared" si="419"/>
        <v>1.530140291030901</v>
      </c>
      <c r="AB236" s="153">
        <f t="shared" si="420"/>
        <v>1.7978149633522336</v>
      </c>
      <c r="AC236" s="153">
        <f t="shared" si="421"/>
        <v>0.24070454723380583</v>
      </c>
      <c r="AD236" s="153"/>
      <c r="AE236" s="153">
        <f t="shared" si="422"/>
        <v>0.96344647519582249</v>
      </c>
      <c r="AF236" s="317">
        <f t="shared" si="423"/>
        <v>506.31238019697281</v>
      </c>
      <c r="AG236" s="463">
        <f t="shared" si="424"/>
        <v>6.9127284595300251E-2</v>
      </c>
      <c r="AI236" s="153">
        <f t="shared" si="425"/>
        <v>0.98625474026663762</v>
      </c>
      <c r="AJ236" s="153">
        <f t="shared" si="426"/>
        <v>0.98625474026663762</v>
      </c>
      <c r="AK236" s="153">
        <f t="shared" si="427"/>
        <v>1.3108364935110917</v>
      </c>
      <c r="AM236" s="317">
        <f t="shared" si="428"/>
        <v>100</v>
      </c>
      <c r="AN236" s="147">
        <f t="shared" si="429"/>
        <v>350</v>
      </c>
      <c r="AP236">
        <f t="shared" si="430"/>
        <v>100</v>
      </c>
      <c r="AQ236">
        <f t="shared" si="431"/>
        <v>350</v>
      </c>
      <c r="AS236" s="5">
        <f t="shared" si="364"/>
        <v>2.8571428571428572</v>
      </c>
      <c r="AT236" s="5">
        <f t="shared" si="432"/>
        <v>0.68279174326151837</v>
      </c>
      <c r="AU236" s="5">
        <f t="shared" si="440"/>
        <v>2.1743511138813387</v>
      </c>
      <c r="AV236" s="5"/>
      <c r="AW236" s="153">
        <f t="shared" si="441"/>
        <v>0.23897711014153142</v>
      </c>
      <c r="AX236" s="153"/>
      <c r="BA236" s="147">
        <f t="shared" si="433"/>
        <v>15.792961674237105</v>
      </c>
      <c r="BB236" s="147">
        <f t="shared" si="434"/>
        <v>0.86948336094674572</v>
      </c>
      <c r="BC236" s="5">
        <f t="shared" si="359"/>
        <v>0.50227560958219875</v>
      </c>
      <c r="BD236" s="147">
        <f t="shared" si="435"/>
        <v>0</v>
      </c>
      <c r="BQ236" s="463">
        <f t="shared" si="436"/>
        <v>3.8200000000000005E-2</v>
      </c>
      <c r="CG236" s="59">
        <f t="shared" si="437"/>
        <v>-50</v>
      </c>
      <c r="CH236">
        <f t="shared" si="438"/>
        <v>-50</v>
      </c>
    </row>
    <row r="237" spans="5:86" x14ac:dyDescent="0.25">
      <c r="E237" s="150">
        <v>21</v>
      </c>
      <c r="F237" s="191">
        <f t="shared" si="439"/>
        <v>0.105</v>
      </c>
      <c r="G237" s="191"/>
      <c r="H237" s="191">
        <f t="shared" si="404"/>
        <v>1.575</v>
      </c>
      <c r="I237" s="472">
        <f t="shared" si="405"/>
        <v>13</v>
      </c>
      <c r="J237" s="386">
        <f t="shared" si="406"/>
        <v>7.66</v>
      </c>
      <c r="K237" s="386">
        <f t="shared" si="407"/>
        <v>20.66</v>
      </c>
      <c r="L237" s="386"/>
      <c r="M237" s="191">
        <f t="shared" si="408"/>
        <v>0.37076476282671827</v>
      </c>
      <c r="N237" s="152">
        <f t="shared" si="409"/>
        <v>8.9867817037754101</v>
      </c>
      <c r="O237" s="152">
        <f t="shared" si="363"/>
        <v>1.575</v>
      </c>
      <c r="P237" s="191">
        <f t="shared" si="410"/>
        <v>0.59911878025169396</v>
      </c>
      <c r="Q237" s="191">
        <f t="shared" si="411"/>
        <v>15</v>
      </c>
      <c r="R237" s="191"/>
      <c r="S237" s="152">
        <f t="shared" si="412"/>
        <v>202.46959917375116</v>
      </c>
      <c r="T237" s="152">
        <f t="shared" si="413"/>
        <v>15</v>
      </c>
      <c r="U237" s="191">
        <f t="shared" si="414"/>
        <v>0.72614982928298843</v>
      </c>
      <c r="V237" s="191">
        <f t="shared" si="415"/>
        <v>0.50271911258053048</v>
      </c>
      <c r="W237" s="191">
        <f t="shared" si="416"/>
        <v>0.85317865059358955</v>
      </c>
      <c r="X237" s="175">
        <f t="shared" si="417"/>
        <v>350</v>
      </c>
      <c r="Y237" s="386">
        <f t="shared" si="418"/>
        <v>350</v>
      </c>
      <c r="AA237" s="191">
        <f t="shared" si="419"/>
        <v>1.530140291030901</v>
      </c>
      <c r="AB237" s="153">
        <f t="shared" si="420"/>
        <v>1.7978149633522336</v>
      </c>
      <c r="AC237" s="153">
        <f t="shared" si="421"/>
        <v>0.24070454723380583</v>
      </c>
      <c r="AD237" s="153"/>
      <c r="AE237" s="153">
        <f t="shared" si="422"/>
        <v>0.96344647519582249</v>
      </c>
      <c r="AF237" s="317">
        <f t="shared" si="423"/>
        <v>531.62799920682141</v>
      </c>
      <c r="AG237" s="463">
        <f t="shared" si="424"/>
        <v>6.9127284595300251E-2</v>
      </c>
      <c r="AI237" s="153">
        <f t="shared" si="425"/>
        <v>1.0106103766206507</v>
      </c>
      <c r="AJ237" s="153">
        <f t="shared" si="426"/>
        <v>1.0106103766206507</v>
      </c>
      <c r="AK237" s="153">
        <f t="shared" si="427"/>
        <v>1.3270735844137671</v>
      </c>
      <c r="AM237" s="317">
        <f t="shared" si="428"/>
        <v>105</v>
      </c>
      <c r="AN237" s="147">
        <f t="shared" si="429"/>
        <v>350</v>
      </c>
      <c r="AP237">
        <f t="shared" si="430"/>
        <v>105</v>
      </c>
      <c r="AQ237">
        <f t="shared" si="431"/>
        <v>350</v>
      </c>
      <c r="AS237" s="5">
        <f t="shared" si="364"/>
        <v>2.8571428571428572</v>
      </c>
      <c r="AT237" s="5">
        <f t="shared" si="432"/>
        <v>0.69965333766045046</v>
      </c>
      <c r="AU237" s="5">
        <f t="shared" si="440"/>
        <v>2.1574895194824069</v>
      </c>
      <c r="AV237" s="5"/>
      <c r="AW237" s="153">
        <f t="shared" si="441"/>
        <v>0.24487866818115767</v>
      </c>
      <c r="AX237" s="153"/>
      <c r="BA237" s="147">
        <f t="shared" si="433"/>
        <v>15.792961674237105</v>
      </c>
      <c r="BB237" s="147">
        <f t="shared" si="434"/>
        <v>0.94285540544378699</v>
      </c>
      <c r="BC237" s="5">
        <f t="shared" si="359"/>
        <v>0.523299606250064</v>
      </c>
      <c r="BD237" s="147">
        <f t="shared" si="435"/>
        <v>0</v>
      </c>
      <c r="BQ237" s="463">
        <f t="shared" si="436"/>
        <v>4.011E-2</v>
      </c>
      <c r="CG237" s="59">
        <f t="shared" si="437"/>
        <v>-50</v>
      </c>
      <c r="CH237">
        <f t="shared" si="438"/>
        <v>-50</v>
      </c>
    </row>
    <row r="238" spans="5:86" x14ac:dyDescent="0.25">
      <c r="E238" s="150">
        <v>22</v>
      </c>
      <c r="F238" s="191">
        <f t="shared" si="439"/>
        <v>0.11</v>
      </c>
      <c r="G238" s="191"/>
      <c r="H238" s="191">
        <f t="shared" si="404"/>
        <v>1.65</v>
      </c>
      <c r="I238" s="472">
        <f t="shared" si="405"/>
        <v>13</v>
      </c>
      <c r="J238" s="386">
        <f t="shared" si="406"/>
        <v>7.66</v>
      </c>
      <c r="K238" s="386">
        <f t="shared" si="407"/>
        <v>20.66</v>
      </c>
      <c r="L238" s="386"/>
      <c r="M238" s="191">
        <f t="shared" si="408"/>
        <v>0.37076476282671827</v>
      </c>
      <c r="N238" s="152">
        <f t="shared" si="409"/>
        <v>8.9867817037754101</v>
      </c>
      <c r="O238" s="152">
        <f t="shared" si="363"/>
        <v>1.65</v>
      </c>
      <c r="P238" s="191">
        <f t="shared" si="410"/>
        <v>0.59911878025169396</v>
      </c>
      <c r="Q238" s="191">
        <f t="shared" si="411"/>
        <v>15</v>
      </c>
      <c r="R238" s="191"/>
      <c r="S238" s="152">
        <f t="shared" si="412"/>
        <v>192.08869583433668</v>
      </c>
      <c r="T238" s="152">
        <f t="shared" si="413"/>
        <v>15</v>
      </c>
      <c r="U238" s="191">
        <f t="shared" si="414"/>
        <v>0.76072839258217839</v>
      </c>
      <c r="V238" s="191">
        <f t="shared" si="415"/>
        <v>0.52665811794150807</v>
      </c>
      <c r="W238" s="191">
        <f t="shared" si="416"/>
        <v>0.89380620538376054</v>
      </c>
      <c r="X238" s="175">
        <f t="shared" si="417"/>
        <v>350</v>
      </c>
      <c r="Y238" s="386">
        <f t="shared" si="418"/>
        <v>350</v>
      </c>
      <c r="AA238" s="191">
        <f t="shared" si="419"/>
        <v>1.530140291030901</v>
      </c>
      <c r="AB238" s="153">
        <f t="shared" si="420"/>
        <v>1.7978149633522336</v>
      </c>
      <c r="AC238" s="153">
        <f t="shared" si="421"/>
        <v>0.24070454723380583</v>
      </c>
      <c r="AD238" s="153"/>
      <c r="AE238" s="153">
        <f t="shared" si="422"/>
        <v>0.96344647519582249</v>
      </c>
      <c r="AF238" s="317">
        <f t="shared" si="423"/>
        <v>556.94361821666996</v>
      </c>
      <c r="AG238" s="463">
        <f t="shared" si="424"/>
        <v>6.9127284595300251E-2</v>
      </c>
      <c r="AI238" s="153">
        <f t="shared" si="425"/>
        <v>1.0343926981414042</v>
      </c>
      <c r="AJ238" s="153">
        <f t="shared" si="426"/>
        <v>1.0343926981414042</v>
      </c>
      <c r="AK238" s="153">
        <f t="shared" si="427"/>
        <v>1.3429284654276028</v>
      </c>
      <c r="AM238" s="317">
        <f t="shared" si="428"/>
        <v>110</v>
      </c>
      <c r="AN238" s="147">
        <f t="shared" si="429"/>
        <v>350</v>
      </c>
      <c r="AP238">
        <f t="shared" si="430"/>
        <v>110</v>
      </c>
      <c r="AQ238">
        <f t="shared" si="431"/>
        <v>350</v>
      </c>
      <c r="AS238" s="5">
        <f t="shared" si="364"/>
        <v>2.8571428571428572</v>
      </c>
      <c r="AT238" s="5">
        <f t="shared" si="432"/>
        <v>0.7161180217902029</v>
      </c>
      <c r="AU238" s="5">
        <f t="shared" si="440"/>
        <v>2.1410248353526544</v>
      </c>
      <c r="AV238" s="5"/>
      <c r="AW238" s="153">
        <f t="shared" si="441"/>
        <v>0.250641307626571</v>
      </c>
      <c r="AX238" s="153"/>
      <c r="BA238" s="147">
        <f t="shared" si="433"/>
        <v>15.792961674237105</v>
      </c>
      <c r="BB238" s="147">
        <f t="shared" si="434"/>
        <v>1.019074866745562</v>
      </c>
      <c r="BC238" s="5">
        <f t="shared" si="359"/>
        <v>0.54403495469806418</v>
      </c>
      <c r="BD238" s="147">
        <f t="shared" si="435"/>
        <v>0</v>
      </c>
      <c r="BQ238" s="463">
        <f t="shared" si="436"/>
        <v>4.2020000000000002E-2</v>
      </c>
      <c r="CG238" s="59">
        <f t="shared" si="437"/>
        <v>-50</v>
      </c>
      <c r="CH238">
        <f t="shared" si="438"/>
        <v>-50</v>
      </c>
    </row>
    <row r="239" spans="5:86" x14ac:dyDescent="0.25">
      <c r="E239" s="150">
        <v>23</v>
      </c>
      <c r="F239" s="191">
        <f t="shared" si="439"/>
        <v>0.115</v>
      </c>
      <c r="G239" s="191"/>
      <c r="H239" s="191">
        <f t="shared" si="404"/>
        <v>1.7250000000000001</v>
      </c>
      <c r="I239" s="472">
        <f t="shared" si="405"/>
        <v>13</v>
      </c>
      <c r="J239" s="386">
        <f t="shared" si="406"/>
        <v>7.66</v>
      </c>
      <c r="K239" s="386">
        <f t="shared" si="407"/>
        <v>20.66</v>
      </c>
      <c r="L239" s="386"/>
      <c r="M239" s="191">
        <f t="shared" si="408"/>
        <v>0.37076476282671827</v>
      </c>
      <c r="N239" s="152">
        <f t="shared" si="409"/>
        <v>8.9867817037754101</v>
      </c>
      <c r="O239" s="152">
        <f t="shared" si="363"/>
        <v>1.7250000000000001</v>
      </c>
      <c r="P239" s="191">
        <f t="shared" si="410"/>
        <v>0.59911878025169396</v>
      </c>
      <c r="Q239" s="191">
        <f t="shared" si="411"/>
        <v>15</v>
      </c>
      <c r="R239" s="191"/>
      <c r="S239" s="152">
        <f t="shared" si="412"/>
        <v>182.61069909580297</v>
      </c>
      <c r="T239" s="152">
        <f t="shared" si="413"/>
        <v>15</v>
      </c>
      <c r="U239" s="191">
        <f t="shared" si="414"/>
        <v>0.79530695588136835</v>
      </c>
      <c r="V239" s="191">
        <f t="shared" si="415"/>
        <v>0.55059712330248589</v>
      </c>
      <c r="W239" s="191">
        <f t="shared" si="416"/>
        <v>0.93443376017393154</v>
      </c>
      <c r="X239" s="175">
        <f t="shared" si="417"/>
        <v>350</v>
      </c>
      <c r="Y239" s="386">
        <f t="shared" si="418"/>
        <v>350</v>
      </c>
      <c r="AA239" s="191">
        <f t="shared" si="419"/>
        <v>1.530140291030901</v>
      </c>
      <c r="AB239" s="153">
        <f t="shared" si="420"/>
        <v>1.7978149633522336</v>
      </c>
      <c r="AC239" s="153">
        <f t="shared" si="421"/>
        <v>0.24070454723380583</v>
      </c>
      <c r="AD239" s="153"/>
      <c r="AE239" s="153">
        <f t="shared" si="422"/>
        <v>0.96344647519582249</v>
      </c>
      <c r="AF239" s="317">
        <f t="shared" si="423"/>
        <v>582.25923722651874</v>
      </c>
      <c r="AG239" s="463">
        <f t="shared" si="424"/>
        <v>6.9127284595300251E-2</v>
      </c>
      <c r="AI239" s="153">
        <f t="shared" si="425"/>
        <v>1.0576403805657075</v>
      </c>
      <c r="AJ239" s="153">
        <f t="shared" si="426"/>
        <v>1.0576403805657075</v>
      </c>
      <c r="AK239" s="153">
        <f t="shared" si="427"/>
        <v>1.3584269203771384</v>
      </c>
      <c r="AM239" s="317">
        <f t="shared" si="428"/>
        <v>115</v>
      </c>
      <c r="AN239" s="147">
        <f t="shared" si="429"/>
        <v>350</v>
      </c>
      <c r="AP239">
        <f t="shared" si="430"/>
        <v>115</v>
      </c>
      <c r="AQ239">
        <f t="shared" si="431"/>
        <v>350</v>
      </c>
      <c r="AS239" s="5">
        <f t="shared" si="364"/>
        <v>2.8571428571428572</v>
      </c>
      <c r="AT239" s="5">
        <f t="shared" si="432"/>
        <v>0.73221257116087457</v>
      </c>
      <c r="AU239" s="5">
        <f t="shared" si="440"/>
        <v>2.1249302859819825</v>
      </c>
      <c r="AV239" s="5"/>
      <c r="AW239" s="153">
        <f t="shared" si="441"/>
        <v>0.25627439990630607</v>
      </c>
      <c r="AX239" s="153"/>
      <c r="BA239" s="147">
        <f t="shared" si="433"/>
        <v>15.792961674237105</v>
      </c>
      <c r="BB239" s="147">
        <f t="shared" si="434"/>
        <v>1.0981417448520712</v>
      </c>
      <c r="BC239" s="5">
        <f t="shared" si="359"/>
        <v>0.56448829495940867</v>
      </c>
      <c r="BD239" s="147">
        <f t="shared" si="435"/>
        <v>0</v>
      </c>
      <c r="BQ239" s="463">
        <f t="shared" si="436"/>
        <v>4.3930000000000004E-2</v>
      </c>
      <c r="CG239" s="59">
        <f t="shared" si="437"/>
        <v>-50</v>
      </c>
      <c r="CH239">
        <f t="shared" si="438"/>
        <v>-50</v>
      </c>
    </row>
    <row r="240" spans="5:86" x14ac:dyDescent="0.25">
      <c r="E240" s="150">
        <v>24</v>
      </c>
      <c r="F240" s="191">
        <f t="shared" si="439"/>
        <v>0.12</v>
      </c>
      <c r="G240" s="191"/>
      <c r="H240" s="191">
        <f t="shared" si="404"/>
        <v>1.7999999999999998</v>
      </c>
      <c r="I240" s="472">
        <f t="shared" si="405"/>
        <v>13</v>
      </c>
      <c r="J240" s="386">
        <f t="shared" si="406"/>
        <v>7.66</v>
      </c>
      <c r="K240" s="386">
        <f t="shared" si="407"/>
        <v>20.66</v>
      </c>
      <c r="L240" s="386"/>
      <c r="M240" s="191">
        <f t="shared" si="408"/>
        <v>0.37076476282671827</v>
      </c>
      <c r="N240" s="152">
        <f t="shared" si="409"/>
        <v>8.9867817037754101</v>
      </c>
      <c r="O240" s="152">
        <f t="shared" si="363"/>
        <v>1.7999999999999998</v>
      </c>
      <c r="P240" s="191">
        <f t="shared" si="410"/>
        <v>0.59911878025169396</v>
      </c>
      <c r="Q240" s="191">
        <f t="shared" si="411"/>
        <v>15</v>
      </c>
      <c r="R240" s="191"/>
      <c r="S240" s="152">
        <f t="shared" si="412"/>
        <v>173.92274947609019</v>
      </c>
      <c r="T240" s="152">
        <f t="shared" si="413"/>
        <v>15</v>
      </c>
      <c r="U240" s="191">
        <f t="shared" si="414"/>
        <v>0.8298855191805582</v>
      </c>
      <c r="V240" s="191">
        <f t="shared" si="415"/>
        <v>0.57453612866346337</v>
      </c>
      <c r="W240" s="191">
        <f t="shared" si="416"/>
        <v>0.97506131496410231</v>
      </c>
      <c r="X240" s="175">
        <f t="shared" si="417"/>
        <v>350</v>
      </c>
      <c r="Y240" s="386">
        <f t="shared" si="418"/>
        <v>350</v>
      </c>
      <c r="AA240" s="191">
        <f t="shared" si="419"/>
        <v>1.530140291030901</v>
      </c>
      <c r="AB240" s="153">
        <f t="shared" si="420"/>
        <v>1.7978149633522336</v>
      </c>
      <c r="AC240" s="153">
        <f t="shared" si="421"/>
        <v>0.24070454723380583</v>
      </c>
      <c r="AD240" s="153"/>
      <c r="AE240" s="153">
        <f t="shared" si="422"/>
        <v>0.96344647519582249</v>
      </c>
      <c r="AF240" s="317">
        <f t="shared" si="423"/>
        <v>607.57485623636728</v>
      </c>
      <c r="AG240" s="463">
        <f t="shared" si="424"/>
        <v>6.9127284595300251E-2</v>
      </c>
      <c r="AI240" s="153">
        <f t="shared" si="425"/>
        <v>1.080387937380872</v>
      </c>
      <c r="AJ240" s="153">
        <f t="shared" si="426"/>
        <v>1.080387937380872</v>
      </c>
      <c r="AK240" s="153">
        <f t="shared" si="427"/>
        <v>1.3735919582539147</v>
      </c>
      <c r="AM240" s="317">
        <f t="shared" si="428"/>
        <v>120</v>
      </c>
      <c r="AN240" s="147">
        <f t="shared" si="429"/>
        <v>350</v>
      </c>
      <c r="AP240">
        <f t="shared" si="430"/>
        <v>120</v>
      </c>
      <c r="AQ240">
        <f t="shared" si="431"/>
        <v>350</v>
      </c>
      <c r="AS240" s="5">
        <f t="shared" si="364"/>
        <v>2.8571428571428572</v>
      </c>
      <c r="AT240" s="5">
        <f t="shared" si="432"/>
        <v>0.74796087972521919</v>
      </c>
      <c r="AU240" s="5">
        <f t="shared" si="440"/>
        <v>2.1091819774176379</v>
      </c>
      <c r="AV240" s="5"/>
      <c r="AW240" s="153">
        <f t="shared" si="441"/>
        <v>0.26178630790382673</v>
      </c>
      <c r="AX240" s="153"/>
      <c r="BA240" s="147">
        <f t="shared" si="433"/>
        <v>15.792961674237105</v>
      </c>
      <c r="BB240" s="147">
        <f t="shared" si="434"/>
        <v>1.1800560397633135</v>
      </c>
      <c r="BC240" s="5">
        <f t="shared" si="359"/>
        <v>0.58466582880599793</v>
      </c>
      <c r="BD240" s="147">
        <f t="shared" si="435"/>
        <v>0</v>
      </c>
      <c r="BQ240" s="463">
        <f t="shared" si="436"/>
        <v>4.5839999999999999E-2</v>
      </c>
      <c r="CG240" s="59">
        <f t="shared" si="437"/>
        <v>-50</v>
      </c>
      <c r="CH240">
        <f t="shared" si="438"/>
        <v>-50</v>
      </c>
    </row>
    <row r="241" spans="5:86" x14ac:dyDescent="0.25">
      <c r="E241" s="150">
        <v>25</v>
      </c>
      <c r="F241" s="191">
        <f t="shared" si="439"/>
        <v>0.125</v>
      </c>
      <c r="G241" s="191"/>
      <c r="H241" s="191">
        <f t="shared" si="404"/>
        <v>1.875</v>
      </c>
      <c r="I241" s="472">
        <f t="shared" si="405"/>
        <v>13</v>
      </c>
      <c r="J241" s="386">
        <f t="shared" si="406"/>
        <v>7.66</v>
      </c>
      <c r="K241" s="386">
        <f t="shared" si="407"/>
        <v>20.66</v>
      </c>
      <c r="L241" s="386"/>
      <c r="M241" s="191">
        <f t="shared" si="408"/>
        <v>0.37076476282671827</v>
      </c>
      <c r="N241" s="152">
        <f t="shared" si="409"/>
        <v>8.9867817037754101</v>
      </c>
      <c r="O241" s="152">
        <f t="shared" si="363"/>
        <v>1.875</v>
      </c>
      <c r="P241" s="191">
        <f t="shared" si="410"/>
        <v>0.59911878025169396</v>
      </c>
      <c r="Q241" s="191">
        <f t="shared" si="411"/>
        <v>15</v>
      </c>
      <c r="R241" s="191"/>
      <c r="S241" s="152">
        <f t="shared" si="412"/>
        <v>165.93004509920604</v>
      </c>
      <c r="T241" s="152">
        <f t="shared" si="413"/>
        <v>15</v>
      </c>
      <c r="U241" s="191">
        <f t="shared" si="414"/>
        <v>0.86446408247974826</v>
      </c>
      <c r="V241" s="191">
        <f t="shared" si="415"/>
        <v>0.59847513402444108</v>
      </c>
      <c r="W241" s="191">
        <f t="shared" si="416"/>
        <v>1.0156888697542736</v>
      </c>
      <c r="X241" s="175">
        <f t="shared" si="417"/>
        <v>350</v>
      </c>
      <c r="Y241" s="386">
        <f t="shared" si="418"/>
        <v>350</v>
      </c>
      <c r="AA241" s="191">
        <f t="shared" si="419"/>
        <v>1.530140291030901</v>
      </c>
      <c r="AB241" s="153">
        <f t="shared" si="420"/>
        <v>1.7978149633522336</v>
      </c>
      <c r="AC241" s="153">
        <f t="shared" si="421"/>
        <v>0.24070454723380583</v>
      </c>
      <c r="AD241" s="153"/>
      <c r="AE241" s="153">
        <f t="shared" si="422"/>
        <v>0.96344647519582249</v>
      </c>
      <c r="AF241" s="317">
        <f t="shared" si="423"/>
        <v>632.89047524621594</v>
      </c>
      <c r="AG241" s="463">
        <f t="shared" si="424"/>
        <v>6.9127284595300251E-2</v>
      </c>
      <c r="AI241" s="153">
        <f t="shared" si="425"/>
        <v>1.1026663211838004</v>
      </c>
      <c r="AJ241" s="153">
        <f t="shared" si="426"/>
        <v>1.1026663211838004</v>
      </c>
      <c r="AK241" s="153">
        <f t="shared" si="427"/>
        <v>1.3884442141225337</v>
      </c>
      <c r="AM241" s="317">
        <f t="shared" si="428"/>
        <v>125</v>
      </c>
      <c r="AN241" s="147">
        <f t="shared" si="429"/>
        <v>350</v>
      </c>
      <c r="AP241">
        <f t="shared" si="430"/>
        <v>125</v>
      </c>
      <c r="AQ241">
        <f t="shared" si="431"/>
        <v>350</v>
      </c>
      <c r="AS241" s="5">
        <f t="shared" si="364"/>
        <v>2.8571428571428572</v>
      </c>
      <c r="AT241" s="5">
        <f t="shared" si="432"/>
        <v>0.76338437620416955</v>
      </c>
      <c r="AU241" s="5">
        <f t="shared" si="440"/>
        <v>2.0937584809386878</v>
      </c>
      <c r="AV241" s="5"/>
      <c r="AW241" s="153">
        <f t="shared" si="441"/>
        <v>0.26718453167145934</v>
      </c>
      <c r="AX241" s="153"/>
      <c r="BA241" s="147">
        <f t="shared" si="433"/>
        <v>15.792961674237105</v>
      </c>
      <c r="BB241" s="147">
        <f t="shared" si="434"/>
        <v>1.26481775147929</v>
      </c>
      <c r="BC241" s="5">
        <f t="shared" si="359"/>
        <v>0.60457336594441202</v>
      </c>
      <c r="BD241" s="147">
        <f t="shared" si="435"/>
        <v>0</v>
      </c>
      <c r="BQ241" s="463">
        <f t="shared" si="436"/>
        <v>4.7750000000000001E-2</v>
      </c>
      <c r="CG241" s="59">
        <f t="shared" si="437"/>
        <v>-50</v>
      </c>
      <c r="CH241">
        <f t="shared" si="438"/>
        <v>-50</v>
      </c>
    </row>
    <row r="242" spans="5:86" x14ac:dyDescent="0.25">
      <c r="E242" s="150">
        <v>26</v>
      </c>
      <c r="F242" s="191">
        <f t="shared" si="439"/>
        <v>0.13</v>
      </c>
      <c r="G242" s="191"/>
      <c r="H242" s="191">
        <f t="shared" si="404"/>
        <v>1.9500000000000002</v>
      </c>
      <c r="I242" s="472">
        <f t="shared" si="405"/>
        <v>13</v>
      </c>
      <c r="J242" s="386">
        <f t="shared" si="406"/>
        <v>7.66</v>
      </c>
      <c r="K242" s="386">
        <f t="shared" si="407"/>
        <v>20.66</v>
      </c>
      <c r="L242" s="386"/>
      <c r="M242" s="191">
        <f t="shared" si="408"/>
        <v>0.37076476282671827</v>
      </c>
      <c r="N242" s="152">
        <f t="shared" si="409"/>
        <v>8.9867817037754101</v>
      </c>
      <c r="O242" s="152">
        <f t="shared" si="363"/>
        <v>1.9500000000000002</v>
      </c>
      <c r="P242" s="191">
        <f t="shared" si="410"/>
        <v>0.59911878025169396</v>
      </c>
      <c r="Q242" s="191">
        <f t="shared" si="411"/>
        <v>15</v>
      </c>
      <c r="R242" s="191"/>
      <c r="S242" s="152">
        <f t="shared" si="412"/>
        <v>158.55236908121981</v>
      </c>
      <c r="T242" s="152">
        <f t="shared" si="413"/>
        <v>15</v>
      </c>
      <c r="U242" s="191">
        <f t="shared" si="414"/>
        <v>0.89904264577893822</v>
      </c>
      <c r="V242" s="191">
        <f t="shared" si="415"/>
        <v>0.62241413938541879</v>
      </c>
      <c r="W242" s="191">
        <f t="shared" si="416"/>
        <v>1.0563164245444445</v>
      </c>
      <c r="X242" s="175">
        <f t="shared" si="417"/>
        <v>350</v>
      </c>
      <c r="Y242" s="386">
        <f t="shared" si="418"/>
        <v>350</v>
      </c>
      <c r="AA242" s="191">
        <f t="shared" si="419"/>
        <v>1.530140291030901</v>
      </c>
      <c r="AB242" s="153">
        <f t="shared" si="420"/>
        <v>1.7978149633522336</v>
      </c>
      <c r="AC242" s="153">
        <f t="shared" si="421"/>
        <v>0.24070454723380583</v>
      </c>
      <c r="AD242" s="153"/>
      <c r="AE242" s="153">
        <f t="shared" si="422"/>
        <v>0.96344647519582249</v>
      </c>
      <c r="AF242" s="317">
        <f t="shared" si="423"/>
        <v>658.2060942560646</v>
      </c>
      <c r="AG242" s="463">
        <f t="shared" si="424"/>
        <v>6.9127284595300251E-2</v>
      </c>
      <c r="AI242" s="153">
        <f t="shared" si="425"/>
        <v>1.1245034177395534</v>
      </c>
      <c r="AJ242" s="153">
        <f t="shared" si="426"/>
        <v>1.1245034177395534</v>
      </c>
      <c r="AK242" s="153">
        <f t="shared" si="427"/>
        <v>1.4030022784930356</v>
      </c>
      <c r="AM242" s="317">
        <f t="shared" si="428"/>
        <v>130</v>
      </c>
      <c r="AN242" s="147">
        <f t="shared" si="429"/>
        <v>350</v>
      </c>
      <c r="AP242">
        <f t="shared" si="430"/>
        <v>130</v>
      </c>
      <c r="AQ242">
        <f t="shared" si="431"/>
        <v>350</v>
      </c>
      <c r="AS242" s="5">
        <f t="shared" si="364"/>
        <v>2.8571428571428572</v>
      </c>
      <c r="AT242" s="5">
        <f t="shared" si="432"/>
        <v>0.77850236612738311</v>
      </c>
      <c r="AU242" s="5">
        <f t="shared" si="440"/>
        <v>2.0786404910154741</v>
      </c>
      <c r="AV242" s="5"/>
      <c r="AW242" s="153">
        <f t="shared" si="441"/>
        <v>0.2724758281445841</v>
      </c>
      <c r="AX242" s="153"/>
      <c r="BA242" s="147">
        <f t="shared" si="433"/>
        <v>15.792961674237105</v>
      </c>
      <c r="BB242" s="147">
        <f t="shared" si="434"/>
        <v>1.3524268799999999</v>
      </c>
      <c r="BC242" s="5">
        <f t="shared" si="359"/>
        <v>0.62421636366831057</v>
      </c>
      <c r="BD242" s="147">
        <f t="shared" si="435"/>
        <v>0</v>
      </c>
      <c r="BQ242" s="463">
        <f t="shared" si="436"/>
        <v>4.9660000000000003E-2</v>
      </c>
      <c r="CG242" s="59">
        <f t="shared" si="437"/>
        <v>-50</v>
      </c>
      <c r="CH242">
        <f t="shared" si="438"/>
        <v>-50</v>
      </c>
    </row>
    <row r="243" spans="5:86" x14ac:dyDescent="0.25">
      <c r="E243" s="150">
        <v>27</v>
      </c>
      <c r="F243" s="191">
        <f t="shared" si="439"/>
        <v>0.13500000000000001</v>
      </c>
      <c r="G243" s="191"/>
      <c r="H243" s="191">
        <f t="shared" si="404"/>
        <v>2.0250000000000004</v>
      </c>
      <c r="I243" s="472">
        <f t="shared" si="405"/>
        <v>13</v>
      </c>
      <c r="J243" s="386">
        <f t="shared" si="406"/>
        <v>7.66</v>
      </c>
      <c r="K243" s="386">
        <f t="shared" si="407"/>
        <v>20.66</v>
      </c>
      <c r="L243" s="386"/>
      <c r="M243" s="191">
        <f t="shared" si="408"/>
        <v>0.37076476282671827</v>
      </c>
      <c r="N243" s="152">
        <f t="shared" si="409"/>
        <v>8.9867817037754101</v>
      </c>
      <c r="O243" s="152">
        <f t="shared" si="363"/>
        <v>2.0250000000000004</v>
      </c>
      <c r="P243" s="191">
        <f t="shared" si="410"/>
        <v>0.59911878025169396</v>
      </c>
      <c r="Q243" s="191">
        <f t="shared" si="411"/>
        <v>15</v>
      </c>
      <c r="R243" s="191"/>
      <c r="S243" s="152">
        <f t="shared" si="412"/>
        <v>151.72138860834423</v>
      </c>
      <c r="T243" s="152">
        <f t="shared" si="413"/>
        <v>15</v>
      </c>
      <c r="U243" s="191">
        <f t="shared" si="414"/>
        <v>0.93362120907812818</v>
      </c>
      <c r="V243" s="191">
        <f t="shared" si="415"/>
        <v>0.64635314474639649</v>
      </c>
      <c r="W243" s="191">
        <f t="shared" si="416"/>
        <v>1.0969439793346152</v>
      </c>
      <c r="X243" s="175">
        <f t="shared" si="417"/>
        <v>350</v>
      </c>
      <c r="Y243" s="386">
        <f t="shared" si="418"/>
        <v>350</v>
      </c>
      <c r="AA243" s="191">
        <f t="shared" si="419"/>
        <v>1.530140291030901</v>
      </c>
      <c r="AB243" s="153">
        <f t="shared" si="420"/>
        <v>1.7978149633522336</v>
      </c>
      <c r="AC243" s="153">
        <f t="shared" si="421"/>
        <v>0.24070454723380583</v>
      </c>
      <c r="AD243" s="153"/>
      <c r="AE243" s="153">
        <f t="shared" si="422"/>
        <v>0.96344647519582249</v>
      </c>
      <c r="AF243" s="317">
        <f t="shared" si="423"/>
        <v>683.52171326591326</v>
      </c>
      <c r="AG243" s="463">
        <f t="shared" si="424"/>
        <v>6.9127284595300251E-2</v>
      </c>
      <c r="AI243" s="153">
        <f t="shared" si="425"/>
        <v>1.1459244552512426</v>
      </c>
      <c r="AJ243" s="153">
        <f t="shared" si="426"/>
        <v>1.1459244552512426</v>
      </c>
      <c r="AK243" s="153">
        <f t="shared" si="427"/>
        <v>1.4172829701674952</v>
      </c>
      <c r="AM243" s="317">
        <f t="shared" si="428"/>
        <v>135</v>
      </c>
      <c r="AN243" s="147">
        <f t="shared" si="429"/>
        <v>350</v>
      </c>
      <c r="AP243">
        <f t="shared" si="430"/>
        <v>135</v>
      </c>
      <c r="AQ243">
        <f t="shared" si="431"/>
        <v>350</v>
      </c>
      <c r="AS243" s="5">
        <f t="shared" si="364"/>
        <v>2.8571428571428572</v>
      </c>
      <c r="AT243" s="5">
        <f t="shared" si="432"/>
        <v>0.79333231517393732</v>
      </c>
      <c r="AU243" s="5">
        <f t="shared" si="440"/>
        <v>2.0638105419689197</v>
      </c>
      <c r="AV243" s="5"/>
      <c r="AW243" s="153">
        <f t="shared" si="441"/>
        <v>0.27766631031087807</v>
      </c>
      <c r="AX243" s="153"/>
      <c r="BA243" s="147">
        <f t="shared" si="433"/>
        <v>15.792961674237105</v>
      </c>
      <c r="BB243" s="147">
        <f t="shared" si="434"/>
        <v>1.4428834253254439</v>
      </c>
      <c r="BC243" s="5">
        <f t="shared" si="359"/>
        <v>0.64359996111296869</v>
      </c>
      <c r="BD243" s="147">
        <f t="shared" si="435"/>
        <v>0</v>
      </c>
      <c r="BQ243" s="463">
        <f t="shared" si="436"/>
        <v>5.1570000000000005E-2</v>
      </c>
      <c r="CG243" s="59">
        <f t="shared" si="437"/>
        <v>-50</v>
      </c>
      <c r="CH243">
        <f t="shared" si="438"/>
        <v>-50</v>
      </c>
    </row>
    <row r="244" spans="5:86" x14ac:dyDescent="0.25">
      <c r="E244" s="150">
        <v>28</v>
      </c>
      <c r="F244" s="191">
        <f t="shared" si="439"/>
        <v>0.14000000000000001</v>
      </c>
      <c r="G244" s="191"/>
      <c r="H244" s="191">
        <f t="shared" si="404"/>
        <v>2.1</v>
      </c>
      <c r="I244" s="472">
        <f t="shared" si="405"/>
        <v>13</v>
      </c>
      <c r="J244" s="386">
        <f t="shared" si="406"/>
        <v>7.66</v>
      </c>
      <c r="K244" s="386">
        <f t="shared" si="407"/>
        <v>20.66</v>
      </c>
      <c r="L244" s="386"/>
      <c r="M244" s="191">
        <f t="shared" si="408"/>
        <v>0.37076476282671827</v>
      </c>
      <c r="N244" s="152">
        <f t="shared" si="409"/>
        <v>8.9867817037754101</v>
      </c>
      <c r="O244" s="152">
        <f t="shared" si="363"/>
        <v>2.1</v>
      </c>
      <c r="P244" s="191">
        <f t="shared" si="410"/>
        <v>0.59911878025169396</v>
      </c>
      <c r="Q244" s="191">
        <f t="shared" si="411"/>
        <v>15</v>
      </c>
      <c r="R244" s="191"/>
      <c r="S244" s="152">
        <f t="shared" si="412"/>
        <v>145.37853278408613</v>
      </c>
      <c r="T244" s="152">
        <f t="shared" si="413"/>
        <v>15</v>
      </c>
      <c r="U244" s="191">
        <f t="shared" si="414"/>
        <v>0.96819977237731802</v>
      </c>
      <c r="V244" s="191">
        <f t="shared" si="415"/>
        <v>0.67029215010737409</v>
      </c>
      <c r="W244" s="191">
        <f t="shared" si="416"/>
        <v>1.1375715341247861</v>
      </c>
      <c r="X244" s="175">
        <f t="shared" si="417"/>
        <v>350</v>
      </c>
      <c r="Y244" s="386">
        <f t="shared" si="418"/>
        <v>350</v>
      </c>
      <c r="AA244" s="191">
        <f t="shared" si="419"/>
        <v>1.530140291030901</v>
      </c>
      <c r="AB244" s="153">
        <f t="shared" si="420"/>
        <v>1.7978149633522336</v>
      </c>
      <c r="AC244" s="153">
        <f t="shared" si="421"/>
        <v>0.24070454723380583</v>
      </c>
      <c r="AD244" s="153"/>
      <c r="AE244" s="153">
        <f t="shared" si="422"/>
        <v>0.96344647519582249</v>
      </c>
      <c r="AF244" s="317">
        <f t="shared" si="423"/>
        <v>708.83733227576192</v>
      </c>
      <c r="AG244" s="463">
        <f t="shared" si="424"/>
        <v>6.9127284595300251E-2</v>
      </c>
      <c r="AI244" s="153">
        <f t="shared" si="425"/>
        <v>1.1669523459755236</v>
      </c>
      <c r="AJ244" s="153">
        <f t="shared" si="426"/>
        <v>1.1669523459755236</v>
      </c>
      <c r="AK244" s="153">
        <f t="shared" si="427"/>
        <v>1.4313015639836824</v>
      </c>
      <c r="AM244" s="317">
        <f t="shared" si="428"/>
        <v>140</v>
      </c>
      <c r="AN244" s="147">
        <f t="shared" si="429"/>
        <v>350</v>
      </c>
      <c r="AP244">
        <f t="shared" si="430"/>
        <v>140</v>
      </c>
      <c r="AQ244">
        <f t="shared" si="431"/>
        <v>350</v>
      </c>
      <c r="AS244" s="5">
        <f t="shared" si="364"/>
        <v>2.8571428571428572</v>
      </c>
      <c r="AT244" s="5">
        <f t="shared" si="432"/>
        <v>0.80789008567536247</v>
      </c>
      <c r="AU244" s="5">
        <f t="shared" si="440"/>
        <v>2.0492527714674948</v>
      </c>
      <c r="AV244" s="5"/>
      <c r="AW244" s="153">
        <f t="shared" si="441"/>
        <v>0.28276152998637688</v>
      </c>
      <c r="AX244" s="153"/>
      <c r="BA244" s="147">
        <f t="shared" si="433"/>
        <v>15.792961674237105</v>
      </c>
      <c r="BB244" s="147">
        <f t="shared" si="434"/>
        <v>1.5361873874556213</v>
      </c>
      <c r="BC244" s="5">
        <f t="shared" si="359"/>
        <v>0.66272900902159682</v>
      </c>
      <c r="BD244" s="147">
        <f t="shared" si="435"/>
        <v>0</v>
      </c>
      <c r="BQ244" s="463">
        <f t="shared" si="436"/>
        <v>5.3480000000000007E-2</v>
      </c>
      <c r="CG244" s="59">
        <f t="shared" si="437"/>
        <v>-50</v>
      </c>
      <c r="CH244">
        <f t="shared" si="438"/>
        <v>-50</v>
      </c>
    </row>
    <row r="245" spans="5:86" x14ac:dyDescent="0.25">
      <c r="E245" s="150">
        <v>29</v>
      </c>
      <c r="F245" s="191">
        <f t="shared" si="439"/>
        <v>0.14499999999999999</v>
      </c>
      <c r="G245" s="191"/>
      <c r="H245" s="191">
        <f t="shared" si="404"/>
        <v>2.1749999999999998</v>
      </c>
      <c r="I245" s="472">
        <f t="shared" si="405"/>
        <v>13</v>
      </c>
      <c r="J245" s="386">
        <f t="shared" si="406"/>
        <v>7.66</v>
      </c>
      <c r="K245" s="386">
        <f t="shared" si="407"/>
        <v>20.66</v>
      </c>
      <c r="L245" s="386"/>
      <c r="M245" s="191">
        <f t="shared" si="408"/>
        <v>0.37076476282671827</v>
      </c>
      <c r="N245" s="152">
        <f t="shared" si="409"/>
        <v>8.9867817037754101</v>
      </c>
      <c r="O245" s="152">
        <f t="shared" si="363"/>
        <v>2.1749999999999998</v>
      </c>
      <c r="P245" s="191">
        <f t="shared" si="410"/>
        <v>0.59911878025169396</v>
      </c>
      <c r="Q245" s="191">
        <f t="shared" si="411"/>
        <v>15</v>
      </c>
      <c r="R245" s="191"/>
      <c r="S245" s="152">
        <f t="shared" si="412"/>
        <v>139.47330954259135</v>
      </c>
      <c r="T245" s="152">
        <f t="shared" si="413"/>
        <v>15</v>
      </c>
      <c r="U245" s="191">
        <f t="shared" si="414"/>
        <v>1.0027783356765079</v>
      </c>
      <c r="V245" s="191">
        <f t="shared" si="415"/>
        <v>0.69423115546835157</v>
      </c>
      <c r="W245" s="191">
        <f t="shared" si="416"/>
        <v>1.1781990889149569</v>
      </c>
      <c r="X245" s="175">
        <f t="shared" si="417"/>
        <v>350</v>
      </c>
      <c r="Y245" s="386">
        <f t="shared" si="418"/>
        <v>350</v>
      </c>
      <c r="AA245" s="191">
        <f t="shared" si="419"/>
        <v>1.530140291030901</v>
      </c>
      <c r="AB245" s="153">
        <f t="shared" si="420"/>
        <v>1.7978149633522336</v>
      </c>
      <c r="AC245" s="153">
        <f t="shared" si="421"/>
        <v>0.24070454723380583</v>
      </c>
      <c r="AD245" s="153"/>
      <c r="AE245" s="153">
        <f t="shared" si="422"/>
        <v>0.96344647519582249</v>
      </c>
      <c r="AF245" s="317">
        <f t="shared" si="423"/>
        <v>734.15295128561047</v>
      </c>
      <c r="AG245" s="463">
        <f t="shared" si="424"/>
        <v>6.9127284595300251E-2</v>
      </c>
      <c r="AI245" s="153">
        <f t="shared" si="425"/>
        <v>1.1876079733702947</v>
      </c>
      <c r="AJ245" s="153">
        <f t="shared" si="426"/>
        <v>1.1876079733702947</v>
      </c>
      <c r="AK245" s="153">
        <f t="shared" si="427"/>
        <v>1.4450719822468632</v>
      </c>
      <c r="AM245" s="317">
        <f t="shared" si="428"/>
        <v>145</v>
      </c>
      <c r="AN245" s="147">
        <f t="shared" si="429"/>
        <v>350</v>
      </c>
      <c r="AP245">
        <f t="shared" si="430"/>
        <v>145</v>
      </c>
      <c r="AQ245">
        <f t="shared" si="431"/>
        <v>350</v>
      </c>
      <c r="AS245" s="5">
        <f t="shared" si="364"/>
        <v>2.8571428571428572</v>
      </c>
      <c r="AT245" s="5">
        <f t="shared" si="432"/>
        <v>0.82219013541020403</v>
      </c>
      <c r="AU245" s="5">
        <f t="shared" si="440"/>
        <v>2.0349527217326533</v>
      </c>
      <c r="AV245" s="5"/>
      <c r="AW245" s="153">
        <f t="shared" si="441"/>
        <v>0.28776654739357138</v>
      </c>
      <c r="AX245" s="153"/>
      <c r="BA245" s="147">
        <f t="shared" si="433"/>
        <v>15.792961674237105</v>
      </c>
      <c r="BB245" s="147">
        <f t="shared" si="434"/>
        <v>1.6323387663905327</v>
      </c>
      <c r="BC245" s="5">
        <f t="shared" ref="BC245:BC308" si="442">H245/Efficiency/I245*AU245/Vinripple1</f>
        <v>0.68160809575244785</v>
      </c>
      <c r="BD245" s="147">
        <f t="shared" si="435"/>
        <v>0</v>
      </c>
      <c r="BQ245" s="463">
        <f t="shared" si="436"/>
        <v>5.5389999999999995E-2</v>
      </c>
      <c r="CG245" s="59">
        <f t="shared" si="437"/>
        <v>-50</v>
      </c>
      <c r="CH245">
        <f t="shared" si="438"/>
        <v>-50</v>
      </c>
    </row>
    <row r="246" spans="5:86" x14ac:dyDescent="0.25">
      <c r="E246" s="150">
        <v>30</v>
      </c>
      <c r="F246" s="191">
        <f t="shared" si="439"/>
        <v>0.15</v>
      </c>
      <c r="G246" s="191"/>
      <c r="H246" s="191">
        <f t="shared" si="404"/>
        <v>2.25</v>
      </c>
      <c r="I246" s="472">
        <f t="shared" si="405"/>
        <v>13</v>
      </c>
      <c r="J246" s="386">
        <f t="shared" si="406"/>
        <v>7.66</v>
      </c>
      <c r="K246" s="386">
        <f t="shared" si="407"/>
        <v>20.66</v>
      </c>
      <c r="L246" s="386"/>
      <c r="M246" s="191">
        <f t="shared" si="408"/>
        <v>0.37076476282671827</v>
      </c>
      <c r="N246" s="152">
        <f t="shared" si="409"/>
        <v>8.9867817037754101</v>
      </c>
      <c r="O246" s="152">
        <f t="shared" si="363"/>
        <v>2.25</v>
      </c>
      <c r="P246" s="191">
        <f t="shared" si="410"/>
        <v>0.59911878025169396</v>
      </c>
      <c r="Q246" s="191">
        <f t="shared" si="411"/>
        <v>15</v>
      </c>
      <c r="R246" s="191"/>
      <c r="S246" s="152">
        <f t="shared" si="412"/>
        <v>133.96195917940761</v>
      </c>
      <c r="T246" s="152">
        <f t="shared" si="413"/>
        <v>15</v>
      </c>
      <c r="U246" s="191">
        <f t="shared" si="414"/>
        <v>1.0373568989756978</v>
      </c>
      <c r="V246" s="191">
        <f t="shared" si="415"/>
        <v>0.71817016082932938</v>
      </c>
      <c r="W246" s="191">
        <f t="shared" si="416"/>
        <v>1.2188266437051281</v>
      </c>
      <c r="X246" s="175">
        <f t="shared" si="417"/>
        <v>350</v>
      </c>
      <c r="Y246" s="386">
        <f t="shared" si="418"/>
        <v>350</v>
      </c>
      <c r="AA246" s="191">
        <f t="shared" si="419"/>
        <v>1.530140291030901</v>
      </c>
      <c r="AB246" s="153">
        <f t="shared" si="420"/>
        <v>1.7978149633522336</v>
      </c>
      <c r="AC246" s="153">
        <f t="shared" si="421"/>
        <v>0.24070454723380583</v>
      </c>
      <c r="AD246" s="153"/>
      <c r="AE246" s="153">
        <f t="shared" si="422"/>
        <v>0.96344647519582249</v>
      </c>
      <c r="AF246" s="317">
        <f t="shared" si="423"/>
        <v>759.46857029545913</v>
      </c>
      <c r="AG246" s="463">
        <f t="shared" si="424"/>
        <v>6.9127284595300251E-2</v>
      </c>
      <c r="AI246" s="153">
        <f t="shared" si="425"/>
        <v>1.2079104350272081</v>
      </c>
      <c r="AJ246" s="153">
        <f t="shared" si="426"/>
        <v>1.2079104350272081</v>
      </c>
      <c r="AK246" s="153">
        <f t="shared" si="427"/>
        <v>1.4586069566848054</v>
      </c>
      <c r="AM246" s="317">
        <f t="shared" si="428"/>
        <v>150</v>
      </c>
      <c r="AN246" s="147">
        <f t="shared" si="429"/>
        <v>350</v>
      </c>
      <c r="AP246">
        <f t="shared" si="430"/>
        <v>150</v>
      </c>
      <c r="AQ246">
        <f t="shared" si="431"/>
        <v>350</v>
      </c>
      <c r="AS246" s="5">
        <f t="shared" si="364"/>
        <v>2.8571428571428572</v>
      </c>
      <c r="AT246" s="5">
        <f t="shared" si="432"/>
        <v>0.83624568578806713</v>
      </c>
      <c r="AU246" s="5">
        <f t="shared" si="440"/>
        <v>2.0208971713547901</v>
      </c>
      <c r="AV246" s="5"/>
      <c r="AW246" s="153">
        <f t="shared" si="441"/>
        <v>0.29268599002582346</v>
      </c>
      <c r="AX246" s="153"/>
      <c r="BA246" s="147">
        <f t="shared" si="433"/>
        <v>15.792961674237105</v>
      </c>
      <c r="BB246" s="147">
        <f t="shared" si="434"/>
        <v>1.7313375621301776</v>
      </c>
      <c r="BC246" s="5">
        <f t="shared" si="442"/>
        <v>0.70024157011600485</v>
      </c>
      <c r="BD246" s="147">
        <f t="shared" si="435"/>
        <v>0</v>
      </c>
      <c r="BQ246" s="463">
        <f t="shared" si="436"/>
        <v>5.7299999999999997E-2</v>
      </c>
      <c r="CG246" s="59">
        <f t="shared" si="437"/>
        <v>-50</v>
      </c>
      <c r="CH246">
        <f t="shared" si="438"/>
        <v>-50</v>
      </c>
    </row>
    <row r="247" spans="5:86" x14ac:dyDescent="0.25">
      <c r="E247" s="150">
        <v>31</v>
      </c>
      <c r="F247" s="191">
        <f t="shared" si="439"/>
        <v>0.155</v>
      </c>
      <c r="G247" s="191"/>
      <c r="H247" s="191">
        <f t="shared" si="404"/>
        <v>2.3250000000000002</v>
      </c>
      <c r="I247" s="472">
        <f t="shared" si="405"/>
        <v>13</v>
      </c>
      <c r="J247" s="386">
        <f t="shared" si="406"/>
        <v>7.66</v>
      </c>
      <c r="K247" s="386">
        <f t="shared" si="407"/>
        <v>20.66</v>
      </c>
      <c r="L247" s="386"/>
      <c r="M247" s="191">
        <f t="shared" si="408"/>
        <v>0.37076476282671827</v>
      </c>
      <c r="N247" s="152">
        <f t="shared" si="409"/>
        <v>8.9867817037754101</v>
      </c>
      <c r="O247" s="152">
        <f t="shared" si="363"/>
        <v>2.3250000000000002</v>
      </c>
      <c r="P247" s="191">
        <f t="shared" si="410"/>
        <v>0.59911878025169396</v>
      </c>
      <c r="Q247" s="191">
        <f t="shared" si="411"/>
        <v>15</v>
      </c>
      <c r="R247" s="191"/>
      <c r="S247" s="152">
        <f t="shared" si="412"/>
        <v>128.80636848928529</v>
      </c>
      <c r="T247" s="152">
        <f t="shared" si="413"/>
        <v>15</v>
      </c>
      <c r="U247" s="191">
        <f t="shared" si="414"/>
        <v>1.0719354622748878</v>
      </c>
      <c r="V247" s="191">
        <f t="shared" si="415"/>
        <v>0.74210916619030698</v>
      </c>
      <c r="W247" s="191">
        <f t="shared" si="416"/>
        <v>1.2594541984952989</v>
      </c>
      <c r="X247" s="175">
        <f t="shared" si="417"/>
        <v>350</v>
      </c>
      <c r="Y247" s="386">
        <f t="shared" si="418"/>
        <v>350</v>
      </c>
      <c r="AA247" s="191">
        <f t="shared" si="419"/>
        <v>1.530140291030901</v>
      </c>
      <c r="AB247" s="153">
        <f t="shared" si="420"/>
        <v>1.7978149633522336</v>
      </c>
      <c r="AC247" s="153">
        <f t="shared" si="421"/>
        <v>0.24070454723380583</v>
      </c>
      <c r="AD247" s="153"/>
      <c r="AE247" s="153">
        <f t="shared" si="422"/>
        <v>0.96344647519582249</v>
      </c>
      <c r="AF247" s="317">
        <f t="shared" si="423"/>
        <v>784.78418930530779</v>
      </c>
      <c r="AG247" s="463">
        <f t="shared" si="424"/>
        <v>6.9127284595300251E-2</v>
      </c>
      <c r="AI247" s="153">
        <f t="shared" si="425"/>
        <v>1.2278772494360093</v>
      </c>
      <c r="AJ247" s="153">
        <f t="shared" si="426"/>
        <v>1.2278772494360093</v>
      </c>
      <c r="AK247" s="153">
        <f t="shared" si="427"/>
        <v>1.4719181662906728</v>
      </c>
      <c r="AM247" s="317">
        <f t="shared" si="428"/>
        <v>155</v>
      </c>
      <c r="AN247" s="147">
        <f t="shared" si="429"/>
        <v>350</v>
      </c>
      <c r="AP247">
        <f t="shared" si="430"/>
        <v>155</v>
      </c>
      <c r="AQ247">
        <f t="shared" si="431"/>
        <v>350</v>
      </c>
      <c r="AS247" s="5">
        <f t="shared" si="364"/>
        <v>2.8571428571428572</v>
      </c>
      <c r="AT247" s="5">
        <f t="shared" si="432"/>
        <v>0.85006886499416034</v>
      </c>
      <c r="AU247" s="5">
        <f t="shared" si="440"/>
        <v>2.0070739921486966</v>
      </c>
      <c r="AV247" s="5"/>
      <c r="AW247" s="153">
        <f t="shared" si="441"/>
        <v>0.2975241027479561</v>
      </c>
      <c r="AX247" s="153"/>
      <c r="BA247" s="147">
        <f t="shared" si="433"/>
        <v>15.792961674237105</v>
      </c>
      <c r="BB247" s="147">
        <f t="shared" si="434"/>
        <v>1.8331837746745561</v>
      </c>
      <c r="BC247" s="5">
        <f t="shared" si="442"/>
        <v>0.71863356152240232</v>
      </c>
      <c r="BD247" s="147">
        <f t="shared" si="435"/>
        <v>0</v>
      </c>
      <c r="BQ247" s="463">
        <f t="shared" si="436"/>
        <v>5.9209999999999999E-2</v>
      </c>
      <c r="CG247" s="59">
        <f t="shared" si="437"/>
        <v>-50</v>
      </c>
      <c r="CH247">
        <f t="shared" si="438"/>
        <v>-50</v>
      </c>
    </row>
    <row r="248" spans="5:86" x14ac:dyDescent="0.25">
      <c r="E248" s="150">
        <v>32</v>
      </c>
      <c r="F248" s="191">
        <f t="shared" si="439"/>
        <v>0.16</v>
      </c>
      <c r="G248" s="191"/>
      <c r="H248" s="191">
        <f t="shared" ref="H248:H279" si="443">F248*Vout</f>
        <v>2.4</v>
      </c>
      <c r="I248" s="472">
        <f t="shared" ref="I248:I279" si="444">VIN_max</f>
        <v>13</v>
      </c>
      <c r="J248" s="386">
        <f t="shared" ref="J248:J279" si="445">(T248+Vfwd1)*Nps</f>
        <v>7.66</v>
      </c>
      <c r="K248" s="386">
        <f t="shared" ref="K248:K279" si="446">(Vout+Vfwd1)*Nps+I248</f>
        <v>20.66</v>
      </c>
      <c r="L248" s="386"/>
      <c r="M248" s="191">
        <f t="shared" ref="M248:M279" si="447">(Vout+Vfwd1)*Nps/((Vout+Vfwd1)*Nps+I248)</f>
        <v>0.37076476282671827</v>
      </c>
      <c r="N248" s="152">
        <f t="shared" ref="N248:N279" si="448">M248*I248*(Isw_max+VIN_max/Lmag*ILIM_delay)*0.5*Efficiency</f>
        <v>8.9867817037754101</v>
      </c>
      <c r="O248" s="152">
        <f t="shared" si="363"/>
        <v>2.4</v>
      </c>
      <c r="P248" s="191">
        <f t="shared" ref="P248:P279" si="449">N248/Vout</f>
        <v>0.59911878025169396</v>
      </c>
      <c r="Q248" s="191">
        <f t="shared" ref="Q248:Q279" si="450">MIN(Vout,N248/F248)</f>
        <v>15</v>
      </c>
      <c r="R248" s="191"/>
      <c r="S248" s="152">
        <f t="shared" ref="S248:S279" si="451">(SQRT(Isw_max^2*Nps^2*I248^2+4*Isw_max*F248/Efficiency*(Nps^2*Vfwd1*I248-Nps*I248^2)+4*(F248/Efficiency)^2*Nps^2*Vfwd1^2+8*(F248/Efficiency)^2*Nps*Vfwd1*I248+4*(F248/Efficiency)^2*I248^2)-2*F248/Efficiency*I248-2*F248/Efficiency*Nps*Vfwd1+Isw_max*Nps*I248)/(4*F248/Efficiency*Nps)</f>
        <v>123.97318850322927</v>
      </c>
      <c r="T248" s="152">
        <f t="shared" ref="T248:T279" si="452">MIN(Vout, S248)</f>
        <v>15</v>
      </c>
      <c r="U248" s="191">
        <f t="shared" ref="U248:U279" si="453">MIN(2*Vout*F248/(Efficiency*I248*M248), Isw_max)</f>
        <v>1.1065140255740777</v>
      </c>
      <c r="V248" s="191">
        <f t="shared" ref="V248:V279" si="454">L*U248/I248*1000000</f>
        <v>0.76604817155128457</v>
      </c>
      <c r="W248" s="191">
        <f t="shared" ref="W248:W279" si="455">L*U248/J248*1000000</f>
        <v>1.3000817532854698</v>
      </c>
      <c r="X248" s="175">
        <f t="shared" ref="X248:X279" si="456">IF(1/((350000*L)*(1/I248+1/J248))&gt;Isw_min, 350, 0.001/((Isw_min*L)*(1/I248+1/J248)))</f>
        <v>350</v>
      </c>
      <c r="Y248" s="386">
        <f t="shared" si="418"/>
        <v>350</v>
      </c>
      <c r="AA248" s="191">
        <f t="shared" ref="AA248:AA279" si="457">1/((X248*1000*L)*(1/I248+1/J248))</f>
        <v>1.530140291030901</v>
      </c>
      <c r="AB248" s="153">
        <f t="shared" ref="AB248:AB279" si="458">L*AA248/J248*1000000</f>
        <v>1.7978149633522336</v>
      </c>
      <c r="AC248" s="153">
        <f t="shared" ref="AC248:AC279" si="459">0.5*AB248*AA248*Nps*X248/1000</f>
        <v>0.24070454723380583</v>
      </c>
      <c r="AD248" s="153"/>
      <c r="AE248" s="153">
        <f t="shared" ref="AE248:AE279" si="460">L*Isw_min/J248*1000000</f>
        <v>0.96344647519582249</v>
      </c>
      <c r="AF248" s="317">
        <f t="shared" ref="AF248:AF279" si="461">MAX(12000,F248/(0.5*AE248/1000000*Isw_min*Nps))/1000</f>
        <v>810.09980831515634</v>
      </c>
      <c r="AG248" s="463">
        <f t="shared" ref="AG248:AG279" si="462">0.5*AE248/1000000*Isw_min*Nps*X248*1000</f>
        <v>6.9127284595300251E-2</v>
      </c>
      <c r="AI248" s="153">
        <f t="shared" ref="AI248:AI279" si="463">SQRT(F248/(0.5*L/J248*Fsw_DCM*Nps))</f>
        <v>1.2475245329521421</v>
      </c>
      <c r="AJ248" s="153">
        <f t="shared" ref="AJ248:AJ279" si="464">MAX(IF(F248&gt;AC248,U248,AI248),Isw_min)</f>
        <v>1.2475245329521421</v>
      </c>
      <c r="AK248" s="153">
        <f t="shared" ref="AK248:AK279" si="465">IF(F248&gt;AG248, (AJ248-Isw_min)/1.2*0.8+1.2, AF248*0.2/350+1)</f>
        <v>1.4850163553014282</v>
      </c>
      <c r="AM248" s="317">
        <f t="shared" ref="AM248:AM279" si="466">F248*1000</f>
        <v>160</v>
      </c>
      <c r="AN248" s="147">
        <f t="shared" ref="AN248:AN279" si="467">IF(F248&gt;AG248, Y248, AF248)</f>
        <v>350</v>
      </c>
      <c r="AP248">
        <f t="shared" ref="AP248:AP279" si="468">IF(H248&gt;N248, "",AM248)</f>
        <v>160</v>
      </c>
      <c r="AQ248">
        <f t="shared" ref="AQ248:AQ279" si="469">IF(H248&gt;N248, "",AN248)</f>
        <v>350</v>
      </c>
      <c r="AS248" s="5">
        <f t="shared" si="364"/>
        <v>2.8571428571428572</v>
      </c>
      <c r="AT248" s="5">
        <f t="shared" ref="AT248:AT279" si="470">L*AJ248/I248*1000000</f>
        <v>0.86367083050532922</v>
      </c>
      <c r="AU248" s="5">
        <f t="shared" si="440"/>
        <v>1.9934720266375279</v>
      </c>
      <c r="AV248" s="5"/>
      <c r="AW248" s="153">
        <f t="shared" si="441"/>
        <v>0.3022847906768652</v>
      </c>
      <c r="AX248" s="153"/>
      <c r="BA248" s="147">
        <f t="shared" ref="BA248:BA279" si="471">L*Isw_max^2/(2*Vout_ripple*Vout)*1000000000*((1+M248)/2)^2</f>
        <v>15.792961674237105</v>
      </c>
      <c r="BB248" s="147">
        <f t="shared" ref="BB248:BB279" si="472">L*F248^2/(2*Cout*Vout*Nps^2)*1000000000*((1+M248)/(1-M248))^2+F248*RCoutEsr</f>
        <v>1.9378774040236688</v>
      </c>
      <c r="BC248" s="5">
        <f t="shared" si="442"/>
        <v>0.73678799783322801</v>
      </c>
      <c r="BD248" s="147">
        <f t="shared" ref="BD248:BD279" si="473">((CB248/I248/Efficiency)*AU248/Cin+(CB248/I248/Efficiency)*RCinEsr)*1000</f>
        <v>0</v>
      </c>
      <c r="BQ248" s="463">
        <f t="shared" ref="BQ248:BQ279" si="474">(Vfwd2*F248+BG248^2*Rdiode)*(1+Diode_TC/1000*(Ta-25))</f>
        <v>6.1120000000000001E-2</v>
      </c>
      <c r="CG248" s="59">
        <f t="shared" ref="CG248:CG279" si="475">IF(ABS(F248-Ioutmax_Vinmax)&lt;Iout/200, AN248, -50)</f>
        <v>-50</v>
      </c>
      <c r="CH248">
        <f t="shared" ref="CH248:CH279" si="476">IF(ABS(F248-Ioutmax_Vinmin)&lt;Iout/200, N248*CC248, -50)</f>
        <v>-50</v>
      </c>
    </row>
    <row r="249" spans="5:86" x14ac:dyDescent="0.25">
      <c r="E249" s="150">
        <v>33</v>
      </c>
      <c r="F249" s="191">
        <f t="shared" ref="F249:F280" si="477">IF(PLOT_TYPE=1, E249/100*Iout_max, min_I*EXP(N249*rr/100))</f>
        <v>0.16500000000000001</v>
      </c>
      <c r="G249" s="191"/>
      <c r="H249" s="191">
        <f t="shared" si="443"/>
        <v>2.4750000000000001</v>
      </c>
      <c r="I249" s="472">
        <f t="shared" si="444"/>
        <v>13</v>
      </c>
      <c r="J249" s="386">
        <f t="shared" si="445"/>
        <v>7.66</v>
      </c>
      <c r="K249" s="386">
        <f t="shared" si="446"/>
        <v>20.66</v>
      </c>
      <c r="L249" s="386"/>
      <c r="M249" s="191">
        <f t="shared" si="447"/>
        <v>0.37076476282671827</v>
      </c>
      <c r="N249" s="152">
        <f t="shared" si="448"/>
        <v>8.9867817037754101</v>
      </c>
      <c r="O249" s="152">
        <f t="shared" si="363"/>
        <v>2.4750000000000001</v>
      </c>
      <c r="P249" s="191">
        <f t="shared" si="449"/>
        <v>0.59911878025169396</v>
      </c>
      <c r="Q249" s="191">
        <f t="shared" si="450"/>
        <v>15</v>
      </c>
      <c r="R249" s="191"/>
      <c r="S249" s="152">
        <f t="shared" si="451"/>
        <v>119.43311263708581</v>
      </c>
      <c r="T249" s="152">
        <f t="shared" si="452"/>
        <v>15</v>
      </c>
      <c r="U249" s="191">
        <f t="shared" si="453"/>
        <v>1.1410925888732677</v>
      </c>
      <c r="V249" s="191">
        <f t="shared" si="454"/>
        <v>0.78998717691226228</v>
      </c>
      <c r="W249" s="191">
        <f t="shared" si="455"/>
        <v>1.3407093080756409</v>
      </c>
      <c r="X249" s="175">
        <f t="shared" si="456"/>
        <v>350</v>
      </c>
      <c r="Y249" s="386">
        <f t="shared" si="418"/>
        <v>350</v>
      </c>
      <c r="AA249" s="191">
        <f t="shared" si="457"/>
        <v>1.530140291030901</v>
      </c>
      <c r="AB249" s="153">
        <f t="shared" si="458"/>
        <v>1.7978149633522336</v>
      </c>
      <c r="AC249" s="153">
        <f t="shared" si="459"/>
        <v>0.24070454723380583</v>
      </c>
      <c r="AD249" s="153"/>
      <c r="AE249" s="153">
        <f t="shared" si="460"/>
        <v>0.96344647519582249</v>
      </c>
      <c r="AF249" s="317">
        <f t="shared" si="461"/>
        <v>835.41542732500511</v>
      </c>
      <c r="AG249" s="463">
        <f t="shared" si="462"/>
        <v>6.9127284595300251E-2</v>
      </c>
      <c r="AI249" s="153">
        <f t="shared" si="463"/>
        <v>1.2668671520535928</v>
      </c>
      <c r="AJ249" s="153">
        <f t="shared" si="464"/>
        <v>1.2668671520535928</v>
      </c>
      <c r="AK249" s="153">
        <f t="shared" si="465"/>
        <v>1.4979114347023952</v>
      </c>
      <c r="AM249" s="317">
        <f t="shared" si="466"/>
        <v>165</v>
      </c>
      <c r="AN249" s="147">
        <f t="shared" si="467"/>
        <v>350</v>
      </c>
      <c r="AP249">
        <f t="shared" si="468"/>
        <v>165</v>
      </c>
      <c r="AQ249">
        <f t="shared" si="469"/>
        <v>350</v>
      </c>
      <c r="AS249" s="5">
        <f t="shared" si="364"/>
        <v>2.8571428571428572</v>
      </c>
      <c r="AT249" s="5">
        <f t="shared" si="470"/>
        <v>0.87706187449864115</v>
      </c>
      <c r="AU249" s="5">
        <f t="shared" si="440"/>
        <v>1.9800809826442161</v>
      </c>
      <c r="AV249" s="5"/>
      <c r="AW249" s="153">
        <f t="shared" si="441"/>
        <v>0.30697165607452437</v>
      </c>
      <c r="AX249" s="153"/>
      <c r="BA249" s="147">
        <f t="shared" si="471"/>
        <v>15.792961674237105</v>
      </c>
      <c r="BB249" s="147">
        <f t="shared" si="472"/>
        <v>2.045418450177515</v>
      </c>
      <c r="BC249" s="5">
        <f t="shared" si="442"/>
        <v>0.75470862124346416</v>
      </c>
      <c r="BD249" s="147">
        <f t="shared" si="473"/>
        <v>0</v>
      </c>
      <c r="BQ249" s="463">
        <f t="shared" si="474"/>
        <v>6.3030000000000003E-2</v>
      </c>
      <c r="CG249" s="59">
        <f t="shared" si="475"/>
        <v>-50</v>
      </c>
      <c r="CH249">
        <f t="shared" si="476"/>
        <v>-50</v>
      </c>
    </row>
    <row r="250" spans="5:86" x14ac:dyDescent="0.25">
      <c r="E250" s="150">
        <v>34</v>
      </c>
      <c r="F250" s="191">
        <f t="shared" si="477"/>
        <v>0.17</v>
      </c>
      <c r="G250" s="191"/>
      <c r="H250" s="191">
        <f t="shared" si="443"/>
        <v>2.5500000000000003</v>
      </c>
      <c r="I250" s="472">
        <f t="shared" si="444"/>
        <v>13</v>
      </c>
      <c r="J250" s="386">
        <f t="shared" si="445"/>
        <v>7.66</v>
      </c>
      <c r="K250" s="386">
        <f t="shared" si="446"/>
        <v>20.66</v>
      </c>
      <c r="L250" s="386"/>
      <c r="M250" s="191">
        <f t="shared" si="447"/>
        <v>0.37076476282671827</v>
      </c>
      <c r="N250" s="152">
        <f t="shared" si="448"/>
        <v>8.9867817037754101</v>
      </c>
      <c r="O250" s="152">
        <f t="shared" si="363"/>
        <v>2.5500000000000003</v>
      </c>
      <c r="P250" s="191">
        <f t="shared" si="449"/>
        <v>0.59911878025169396</v>
      </c>
      <c r="Q250" s="191">
        <f t="shared" si="450"/>
        <v>15</v>
      </c>
      <c r="R250" s="191"/>
      <c r="S250" s="152">
        <f t="shared" si="451"/>
        <v>115.16028222576381</v>
      </c>
      <c r="T250" s="152">
        <f t="shared" si="452"/>
        <v>15</v>
      </c>
      <c r="U250" s="191">
        <f t="shared" si="453"/>
        <v>1.1756711521724577</v>
      </c>
      <c r="V250" s="191">
        <f t="shared" si="454"/>
        <v>0.81392618227323998</v>
      </c>
      <c r="W250" s="191">
        <f t="shared" si="455"/>
        <v>1.381336862865812</v>
      </c>
      <c r="X250" s="175">
        <f t="shared" si="456"/>
        <v>350</v>
      </c>
      <c r="Y250" s="386">
        <f t="shared" si="418"/>
        <v>350</v>
      </c>
      <c r="AA250" s="191">
        <f t="shared" si="457"/>
        <v>1.530140291030901</v>
      </c>
      <c r="AB250" s="153">
        <f t="shared" si="458"/>
        <v>1.7978149633522336</v>
      </c>
      <c r="AC250" s="153">
        <f t="shared" si="459"/>
        <v>0.24070454723380583</v>
      </c>
      <c r="AD250" s="153"/>
      <c r="AE250" s="153">
        <f t="shared" si="460"/>
        <v>0.96344647519582249</v>
      </c>
      <c r="AF250" s="317">
        <f t="shared" si="461"/>
        <v>860.73104633485377</v>
      </c>
      <c r="AG250" s="463">
        <f t="shared" si="462"/>
        <v>6.9127284595300251E-2</v>
      </c>
      <c r="AI250" s="153">
        <f t="shared" si="463"/>
        <v>1.2859188549777554</v>
      </c>
      <c r="AJ250" s="153">
        <f t="shared" si="464"/>
        <v>1.2859188549777554</v>
      </c>
      <c r="AK250" s="153">
        <f t="shared" si="465"/>
        <v>1.5106125699851702</v>
      </c>
      <c r="AM250" s="317">
        <f t="shared" si="466"/>
        <v>170</v>
      </c>
      <c r="AN250" s="147">
        <f t="shared" si="467"/>
        <v>350</v>
      </c>
      <c r="AP250">
        <f t="shared" si="468"/>
        <v>170</v>
      </c>
      <c r="AQ250">
        <f t="shared" si="469"/>
        <v>350</v>
      </c>
      <c r="AS250" s="5">
        <f t="shared" si="364"/>
        <v>2.8571428571428572</v>
      </c>
      <c r="AT250" s="5">
        <f t="shared" si="470"/>
        <v>0.89025151498459987</v>
      </c>
      <c r="AU250" s="5">
        <f t="shared" si="440"/>
        <v>1.9668913421582572</v>
      </c>
      <c r="AV250" s="5"/>
      <c r="AW250" s="153">
        <f t="shared" si="441"/>
        <v>0.31158803024460996</v>
      </c>
      <c r="AX250" s="153"/>
      <c r="BA250" s="147">
        <f t="shared" si="471"/>
        <v>15.792961674237105</v>
      </c>
      <c r="BB250" s="147">
        <f t="shared" si="472"/>
        <v>2.1558069131360948</v>
      </c>
      <c r="BC250" s="5">
        <f t="shared" si="442"/>
        <v>0.77239900246454996</v>
      </c>
      <c r="BD250" s="147">
        <f t="shared" si="473"/>
        <v>0</v>
      </c>
      <c r="BQ250" s="463">
        <f t="shared" si="474"/>
        <v>6.4939999999999998E-2</v>
      </c>
      <c r="CG250" s="59">
        <f t="shared" si="475"/>
        <v>-50</v>
      </c>
      <c r="CH250">
        <f t="shared" si="476"/>
        <v>-50</v>
      </c>
    </row>
    <row r="251" spans="5:86" x14ac:dyDescent="0.25">
      <c r="E251" s="150">
        <v>35</v>
      </c>
      <c r="F251" s="191">
        <f t="shared" si="477"/>
        <v>0.17499999999999999</v>
      </c>
      <c r="G251" s="191"/>
      <c r="H251" s="191">
        <f t="shared" si="443"/>
        <v>2.625</v>
      </c>
      <c r="I251" s="472">
        <f t="shared" si="444"/>
        <v>13</v>
      </c>
      <c r="J251" s="386">
        <f t="shared" si="445"/>
        <v>7.66</v>
      </c>
      <c r="K251" s="386">
        <f t="shared" si="446"/>
        <v>20.66</v>
      </c>
      <c r="L251" s="386"/>
      <c r="M251" s="191">
        <f t="shared" si="447"/>
        <v>0.37076476282671827</v>
      </c>
      <c r="N251" s="152">
        <f t="shared" si="448"/>
        <v>8.9867817037754101</v>
      </c>
      <c r="O251" s="152">
        <f t="shared" si="363"/>
        <v>2.625</v>
      </c>
      <c r="P251" s="191">
        <f t="shared" si="449"/>
        <v>0.59911878025169396</v>
      </c>
      <c r="Q251" s="191">
        <f t="shared" si="450"/>
        <v>15</v>
      </c>
      <c r="R251" s="191"/>
      <c r="S251" s="152">
        <f t="shared" si="451"/>
        <v>111.13179396596702</v>
      </c>
      <c r="T251" s="152">
        <f t="shared" si="452"/>
        <v>15</v>
      </c>
      <c r="U251" s="191">
        <f t="shared" si="453"/>
        <v>1.2102497154716474</v>
      </c>
      <c r="V251" s="191">
        <f t="shared" si="454"/>
        <v>0.83786518763421747</v>
      </c>
      <c r="W251" s="191">
        <f t="shared" si="455"/>
        <v>1.4219644176559827</v>
      </c>
      <c r="X251" s="175">
        <f t="shared" si="456"/>
        <v>350</v>
      </c>
      <c r="Y251" s="386">
        <f t="shared" si="418"/>
        <v>350</v>
      </c>
      <c r="AA251" s="191">
        <f t="shared" si="457"/>
        <v>1.530140291030901</v>
      </c>
      <c r="AB251" s="153">
        <f t="shared" si="458"/>
        <v>1.7978149633522336</v>
      </c>
      <c r="AC251" s="153">
        <f t="shared" si="459"/>
        <v>0.24070454723380583</v>
      </c>
      <c r="AD251" s="153"/>
      <c r="AE251" s="153">
        <f t="shared" si="460"/>
        <v>0.96344647519582249</v>
      </c>
      <c r="AF251" s="317">
        <f t="shared" si="461"/>
        <v>886.04666534470232</v>
      </c>
      <c r="AG251" s="463">
        <f t="shared" si="462"/>
        <v>6.9127284595300251E-2</v>
      </c>
      <c r="AI251" s="153">
        <f t="shared" si="463"/>
        <v>1.3046923860520618</v>
      </c>
      <c r="AJ251" s="153">
        <f t="shared" si="464"/>
        <v>1.3046923860520618</v>
      </c>
      <c r="AK251" s="153">
        <f t="shared" si="465"/>
        <v>1.5231282573680414</v>
      </c>
      <c r="AM251" s="317">
        <f t="shared" si="466"/>
        <v>175</v>
      </c>
      <c r="AN251" s="147">
        <f t="shared" si="467"/>
        <v>350</v>
      </c>
      <c r="AP251">
        <f t="shared" si="468"/>
        <v>175</v>
      </c>
      <c r="AQ251">
        <f t="shared" si="469"/>
        <v>350</v>
      </c>
      <c r="AS251" s="5">
        <f t="shared" si="364"/>
        <v>2.8571428571428572</v>
      </c>
      <c r="AT251" s="5">
        <f t="shared" si="470"/>
        <v>0.90324857495911981</v>
      </c>
      <c r="AU251" s="5">
        <f t="shared" si="440"/>
        <v>1.9538942821837373</v>
      </c>
      <c r="AV251" s="5"/>
      <c r="AW251" s="153">
        <f t="shared" si="441"/>
        <v>0.31613700123569194</v>
      </c>
      <c r="AX251" s="153"/>
      <c r="BA251" s="147">
        <f t="shared" si="471"/>
        <v>15.792961674237105</v>
      </c>
      <c r="BB251" s="147">
        <f t="shared" si="472"/>
        <v>2.2690427928994081</v>
      </c>
      <c r="BC251" s="5">
        <f t="shared" si="442"/>
        <v>0.78986255343532907</v>
      </c>
      <c r="BD251" s="147">
        <f t="shared" si="473"/>
        <v>0</v>
      </c>
      <c r="BQ251" s="463">
        <f t="shared" si="474"/>
        <v>6.6849999999999993E-2</v>
      </c>
      <c r="CG251" s="59">
        <f t="shared" si="475"/>
        <v>-50</v>
      </c>
      <c r="CH251">
        <f t="shared" si="476"/>
        <v>-50</v>
      </c>
    </row>
    <row r="252" spans="5:86" x14ac:dyDescent="0.25">
      <c r="E252" s="150">
        <v>36</v>
      </c>
      <c r="F252" s="191">
        <f t="shared" si="477"/>
        <v>0.18</v>
      </c>
      <c r="G252" s="191"/>
      <c r="H252" s="191">
        <f t="shared" si="443"/>
        <v>2.6999999999999997</v>
      </c>
      <c r="I252" s="472">
        <f t="shared" si="444"/>
        <v>13</v>
      </c>
      <c r="J252" s="386">
        <f t="shared" si="445"/>
        <v>7.66</v>
      </c>
      <c r="K252" s="386">
        <f t="shared" si="446"/>
        <v>20.66</v>
      </c>
      <c r="L252" s="386"/>
      <c r="M252" s="191">
        <f t="shared" si="447"/>
        <v>0.37076476282671827</v>
      </c>
      <c r="N252" s="152">
        <f t="shared" si="448"/>
        <v>8.9867817037754101</v>
      </c>
      <c r="O252" s="152">
        <f t="shared" si="363"/>
        <v>2.6999999999999997</v>
      </c>
      <c r="P252" s="191">
        <f t="shared" si="449"/>
        <v>0.59911878025169396</v>
      </c>
      <c r="Q252" s="191">
        <f t="shared" si="450"/>
        <v>15</v>
      </c>
      <c r="R252" s="191"/>
      <c r="S252" s="152">
        <f t="shared" si="451"/>
        <v>107.32728945189761</v>
      </c>
      <c r="T252" s="152">
        <f t="shared" si="452"/>
        <v>15</v>
      </c>
      <c r="U252" s="191">
        <f t="shared" si="453"/>
        <v>1.2448282787708373</v>
      </c>
      <c r="V252" s="191">
        <f t="shared" si="454"/>
        <v>0.86180419299519506</v>
      </c>
      <c r="W252" s="191">
        <f t="shared" si="455"/>
        <v>1.4625919724461536</v>
      </c>
      <c r="X252" s="175">
        <f t="shared" si="456"/>
        <v>350</v>
      </c>
      <c r="Y252" s="386">
        <f t="shared" si="418"/>
        <v>350</v>
      </c>
      <c r="AA252" s="191">
        <f t="shared" si="457"/>
        <v>1.530140291030901</v>
      </c>
      <c r="AB252" s="153">
        <f t="shared" si="458"/>
        <v>1.7978149633522336</v>
      </c>
      <c r="AC252" s="153">
        <f t="shared" si="459"/>
        <v>0.24070454723380583</v>
      </c>
      <c r="AD252" s="153"/>
      <c r="AE252" s="153">
        <f t="shared" si="460"/>
        <v>0.96344647519582249</v>
      </c>
      <c r="AF252" s="317">
        <f t="shared" si="461"/>
        <v>911.36228435455087</v>
      </c>
      <c r="AG252" s="463">
        <f t="shared" si="462"/>
        <v>6.9127284595300251E-2</v>
      </c>
      <c r="AI252" s="153">
        <f t="shared" si="463"/>
        <v>1.3231995854205605</v>
      </c>
      <c r="AJ252" s="153">
        <f t="shared" si="464"/>
        <v>1.3231995854205605</v>
      </c>
      <c r="AK252" s="153">
        <f t="shared" si="465"/>
        <v>1.5354663902803738</v>
      </c>
      <c r="AM252" s="317">
        <f t="shared" si="466"/>
        <v>180</v>
      </c>
      <c r="AN252" s="147">
        <f t="shared" si="467"/>
        <v>350</v>
      </c>
      <c r="AP252">
        <f t="shared" si="468"/>
        <v>180</v>
      </c>
      <c r="AQ252">
        <f t="shared" si="469"/>
        <v>350</v>
      </c>
      <c r="AS252" s="5">
        <f t="shared" si="364"/>
        <v>2.8571428571428572</v>
      </c>
      <c r="AT252" s="5">
        <f t="shared" si="470"/>
        <v>0.91606125144500339</v>
      </c>
      <c r="AU252" s="5">
        <f t="shared" si="440"/>
        <v>1.9410816056978537</v>
      </c>
      <c r="AV252" s="5"/>
      <c r="AW252" s="153">
        <f t="shared" si="441"/>
        <v>0.32062143800575116</v>
      </c>
      <c r="AX252" s="153"/>
      <c r="BA252" s="147">
        <f t="shared" si="471"/>
        <v>15.792961674237105</v>
      </c>
      <c r="BB252" s="147">
        <f t="shared" si="472"/>
        <v>2.3851260894674553</v>
      </c>
      <c r="BC252" s="5">
        <f t="shared" si="442"/>
        <v>0.80710253875170612</v>
      </c>
      <c r="BD252" s="147">
        <f t="shared" si="473"/>
        <v>0</v>
      </c>
      <c r="BQ252" s="463">
        <f t="shared" si="474"/>
        <v>6.8759999999999988E-2</v>
      </c>
      <c r="CG252" s="59">
        <f t="shared" si="475"/>
        <v>-50</v>
      </c>
      <c r="CH252">
        <f t="shared" si="476"/>
        <v>-50</v>
      </c>
    </row>
    <row r="253" spans="5:86" x14ac:dyDescent="0.25">
      <c r="E253" s="150">
        <v>37</v>
      </c>
      <c r="F253" s="191">
        <f t="shared" si="477"/>
        <v>0.185</v>
      </c>
      <c r="G253" s="191"/>
      <c r="H253" s="191">
        <f t="shared" si="443"/>
        <v>2.7749999999999999</v>
      </c>
      <c r="I253" s="472">
        <f t="shared" si="444"/>
        <v>13</v>
      </c>
      <c r="J253" s="386">
        <f t="shared" si="445"/>
        <v>7.66</v>
      </c>
      <c r="K253" s="386">
        <f t="shared" si="446"/>
        <v>20.66</v>
      </c>
      <c r="L253" s="386"/>
      <c r="M253" s="191">
        <f t="shared" si="447"/>
        <v>0.37076476282671827</v>
      </c>
      <c r="N253" s="152">
        <f t="shared" si="448"/>
        <v>8.9867817037754101</v>
      </c>
      <c r="O253" s="152">
        <f t="shared" si="363"/>
        <v>2.7749999999999999</v>
      </c>
      <c r="P253" s="191">
        <f t="shared" si="449"/>
        <v>0.59911878025169396</v>
      </c>
      <c r="Q253" s="191">
        <f t="shared" si="450"/>
        <v>15</v>
      </c>
      <c r="R253" s="191"/>
      <c r="S253" s="152">
        <f t="shared" si="451"/>
        <v>103.72861127283191</v>
      </c>
      <c r="T253" s="152">
        <f t="shared" si="452"/>
        <v>15</v>
      </c>
      <c r="U253" s="191">
        <f t="shared" si="453"/>
        <v>1.2794068420700273</v>
      </c>
      <c r="V253" s="191">
        <f t="shared" si="454"/>
        <v>0.88574319835617277</v>
      </c>
      <c r="W253" s="191">
        <f t="shared" si="455"/>
        <v>1.5032195272363247</v>
      </c>
      <c r="X253" s="175">
        <f t="shared" si="456"/>
        <v>350</v>
      </c>
      <c r="Y253" s="386">
        <f t="shared" si="418"/>
        <v>350</v>
      </c>
      <c r="AA253" s="191">
        <f t="shared" si="457"/>
        <v>1.530140291030901</v>
      </c>
      <c r="AB253" s="153">
        <f t="shared" si="458"/>
        <v>1.7978149633522336</v>
      </c>
      <c r="AC253" s="153">
        <f t="shared" si="459"/>
        <v>0.24070454723380583</v>
      </c>
      <c r="AD253" s="153"/>
      <c r="AE253" s="153">
        <f t="shared" si="460"/>
        <v>0.96344647519582249</v>
      </c>
      <c r="AF253" s="317">
        <f t="shared" si="461"/>
        <v>936.67790336439953</v>
      </c>
      <c r="AG253" s="463">
        <f t="shared" si="462"/>
        <v>6.9127284595300251E-2</v>
      </c>
      <c r="AI253" s="153">
        <f t="shared" si="463"/>
        <v>1.3414514763837204</v>
      </c>
      <c r="AJ253" s="153">
        <f t="shared" si="464"/>
        <v>1.3414514763837204</v>
      </c>
      <c r="AK253" s="153">
        <f t="shared" si="465"/>
        <v>1.5476343175891469</v>
      </c>
      <c r="AM253" s="317">
        <f t="shared" si="466"/>
        <v>185</v>
      </c>
      <c r="AN253" s="147">
        <f t="shared" si="467"/>
        <v>350</v>
      </c>
      <c r="AP253">
        <f t="shared" si="468"/>
        <v>185</v>
      </c>
      <c r="AQ253">
        <f t="shared" si="469"/>
        <v>350</v>
      </c>
      <c r="AS253" s="5">
        <f t="shared" si="364"/>
        <v>2.8571428571428572</v>
      </c>
      <c r="AT253" s="5">
        <f t="shared" si="470"/>
        <v>0.92869717595796031</v>
      </c>
      <c r="AU253" s="5">
        <f t="shared" si="440"/>
        <v>1.9284456811848969</v>
      </c>
      <c r="AV253" s="5"/>
      <c r="AW253" s="153">
        <f t="shared" si="441"/>
        <v>0.32504401158528612</v>
      </c>
      <c r="AX253" s="153"/>
      <c r="BA253" s="147">
        <f t="shared" si="471"/>
        <v>15.792961674237105</v>
      </c>
      <c r="BB253" s="147">
        <f t="shared" si="472"/>
        <v>2.5040568028402364</v>
      </c>
      <c r="BC253" s="5">
        <f t="shared" si="442"/>
        <v>0.82412208597645153</v>
      </c>
      <c r="BD253" s="147">
        <f t="shared" si="473"/>
        <v>0</v>
      </c>
      <c r="BQ253" s="463">
        <f t="shared" si="474"/>
        <v>7.0669999999999997E-2</v>
      </c>
      <c r="CG253" s="59">
        <f t="shared" si="475"/>
        <v>-50</v>
      </c>
      <c r="CH253">
        <f t="shared" si="476"/>
        <v>-50</v>
      </c>
    </row>
    <row r="254" spans="5:86" x14ac:dyDescent="0.25">
      <c r="E254" s="150">
        <v>38</v>
      </c>
      <c r="F254" s="191">
        <f t="shared" si="477"/>
        <v>0.19</v>
      </c>
      <c r="G254" s="191"/>
      <c r="H254" s="191">
        <f t="shared" si="443"/>
        <v>2.85</v>
      </c>
      <c r="I254" s="472">
        <f t="shared" si="444"/>
        <v>13</v>
      </c>
      <c r="J254" s="386">
        <f t="shared" si="445"/>
        <v>7.66</v>
      </c>
      <c r="K254" s="386">
        <f t="shared" si="446"/>
        <v>20.66</v>
      </c>
      <c r="L254" s="386"/>
      <c r="M254" s="191">
        <f t="shared" si="447"/>
        <v>0.37076476282671827</v>
      </c>
      <c r="N254" s="152">
        <f t="shared" si="448"/>
        <v>8.9867817037754101</v>
      </c>
      <c r="O254" s="152">
        <f t="shared" si="363"/>
        <v>2.85</v>
      </c>
      <c r="P254" s="191">
        <f t="shared" si="449"/>
        <v>0.59911878025169396</v>
      </c>
      <c r="Q254" s="191">
        <f t="shared" si="450"/>
        <v>15</v>
      </c>
      <c r="R254" s="191"/>
      <c r="S254" s="152">
        <f t="shared" si="451"/>
        <v>100.31951341117465</v>
      </c>
      <c r="T254" s="152">
        <f t="shared" si="452"/>
        <v>15</v>
      </c>
      <c r="U254" s="191">
        <f t="shared" si="453"/>
        <v>1.3139854053692173</v>
      </c>
      <c r="V254" s="191">
        <f t="shared" si="454"/>
        <v>0.90968220371715036</v>
      </c>
      <c r="W254" s="191">
        <f t="shared" si="455"/>
        <v>1.5438470820264956</v>
      </c>
      <c r="X254" s="175">
        <f t="shared" si="456"/>
        <v>350</v>
      </c>
      <c r="Y254" s="386">
        <f t="shared" si="418"/>
        <v>350</v>
      </c>
      <c r="AA254" s="191">
        <f t="shared" si="457"/>
        <v>1.530140291030901</v>
      </c>
      <c r="AB254" s="153">
        <f t="shared" si="458"/>
        <v>1.7978149633522336</v>
      </c>
      <c r="AC254" s="153">
        <f t="shared" si="459"/>
        <v>0.24070454723380583</v>
      </c>
      <c r="AD254" s="153"/>
      <c r="AE254" s="153">
        <f t="shared" si="460"/>
        <v>0.96344647519582249</v>
      </c>
      <c r="AF254" s="317">
        <f t="shared" si="461"/>
        <v>961.9935223742483</v>
      </c>
      <c r="AG254" s="463">
        <f t="shared" si="462"/>
        <v>6.9127284595300251E-2</v>
      </c>
      <c r="AI254" s="153">
        <f t="shared" si="463"/>
        <v>1.3594583421815412</v>
      </c>
      <c r="AJ254" s="153">
        <f t="shared" si="464"/>
        <v>1.3594583421815412</v>
      </c>
      <c r="AK254" s="153">
        <f t="shared" si="465"/>
        <v>1.5596388947876942</v>
      </c>
      <c r="AM254" s="317">
        <f t="shared" si="466"/>
        <v>190</v>
      </c>
      <c r="AN254" s="147">
        <f t="shared" si="467"/>
        <v>350</v>
      </c>
      <c r="AP254">
        <f t="shared" si="468"/>
        <v>190</v>
      </c>
      <c r="AQ254">
        <f t="shared" si="469"/>
        <v>350</v>
      </c>
      <c r="AS254" s="5">
        <f t="shared" si="364"/>
        <v>2.8571428571428572</v>
      </c>
      <c r="AT254" s="5">
        <f t="shared" si="470"/>
        <v>0.94116346766414394</v>
      </c>
      <c r="AU254" s="5">
        <f t="shared" si="440"/>
        <v>1.9159793894787134</v>
      </c>
      <c r="AV254" s="5"/>
      <c r="AW254" s="153">
        <f t="shared" si="441"/>
        <v>0.32940721368245035</v>
      </c>
      <c r="AX254" s="153"/>
      <c r="BA254" s="147">
        <f t="shared" si="471"/>
        <v>15.792961674237105</v>
      </c>
      <c r="BB254" s="147">
        <f t="shared" si="472"/>
        <v>2.6258349330177513</v>
      </c>
      <c r="BC254" s="5">
        <f t="shared" si="442"/>
        <v>0.84092419496640214</v>
      </c>
      <c r="BD254" s="147">
        <f t="shared" si="473"/>
        <v>0</v>
      </c>
      <c r="BQ254" s="463">
        <f t="shared" si="474"/>
        <v>7.2580000000000006E-2</v>
      </c>
      <c r="CG254" s="59">
        <f t="shared" si="475"/>
        <v>-50</v>
      </c>
      <c r="CH254">
        <f t="shared" si="476"/>
        <v>-50</v>
      </c>
    </row>
    <row r="255" spans="5:86" x14ac:dyDescent="0.25">
      <c r="E255" s="150">
        <v>39</v>
      </c>
      <c r="F255" s="191">
        <f t="shared" si="477"/>
        <v>0.19500000000000001</v>
      </c>
      <c r="G255" s="191"/>
      <c r="H255" s="191">
        <f t="shared" si="443"/>
        <v>2.9250000000000003</v>
      </c>
      <c r="I255" s="472">
        <f t="shared" si="444"/>
        <v>13</v>
      </c>
      <c r="J255" s="386">
        <f t="shared" si="445"/>
        <v>7.66</v>
      </c>
      <c r="K255" s="386">
        <f t="shared" si="446"/>
        <v>20.66</v>
      </c>
      <c r="L255" s="386"/>
      <c r="M255" s="191">
        <f t="shared" si="447"/>
        <v>0.37076476282671827</v>
      </c>
      <c r="N255" s="152">
        <f t="shared" si="448"/>
        <v>8.9867817037754101</v>
      </c>
      <c r="O255" s="152">
        <f t="shared" si="363"/>
        <v>2.9250000000000003</v>
      </c>
      <c r="P255" s="191">
        <f t="shared" si="449"/>
        <v>0.59911878025169396</v>
      </c>
      <c r="Q255" s="191">
        <f t="shared" si="450"/>
        <v>15</v>
      </c>
      <c r="R255" s="191"/>
      <c r="S255" s="152">
        <f t="shared" si="451"/>
        <v>97.085416194756192</v>
      </c>
      <c r="T255" s="152">
        <f t="shared" si="452"/>
        <v>15</v>
      </c>
      <c r="U255" s="191">
        <f t="shared" si="453"/>
        <v>1.3485639686684072</v>
      </c>
      <c r="V255" s="191">
        <f t="shared" si="454"/>
        <v>0.93362120907812796</v>
      </c>
      <c r="W255" s="191">
        <f t="shared" si="455"/>
        <v>1.5844746368166662</v>
      </c>
      <c r="X255" s="175">
        <f t="shared" si="456"/>
        <v>350</v>
      </c>
      <c r="Y255" s="386">
        <f t="shared" si="418"/>
        <v>350</v>
      </c>
      <c r="AA255" s="191">
        <f t="shared" si="457"/>
        <v>1.530140291030901</v>
      </c>
      <c r="AB255" s="153">
        <f t="shared" si="458"/>
        <v>1.7978149633522336</v>
      </c>
      <c r="AC255" s="153">
        <f t="shared" si="459"/>
        <v>0.24070454723380583</v>
      </c>
      <c r="AD255" s="153"/>
      <c r="AE255" s="153">
        <f t="shared" si="460"/>
        <v>0.96344647519582249</v>
      </c>
      <c r="AF255" s="317">
        <f t="shared" si="461"/>
        <v>987.30914138409696</v>
      </c>
      <c r="AG255" s="463">
        <f t="shared" si="462"/>
        <v>6.9127284595300251E-2</v>
      </c>
      <c r="AI255" s="153">
        <f t="shared" si="463"/>
        <v>1.3772297937388316</v>
      </c>
      <c r="AJ255" s="153">
        <f t="shared" si="464"/>
        <v>1.3772297937388316</v>
      </c>
      <c r="AK255" s="153">
        <f t="shared" si="465"/>
        <v>1.571486529159221</v>
      </c>
      <c r="AM255" s="317">
        <f t="shared" si="466"/>
        <v>195</v>
      </c>
      <c r="AN255" s="147">
        <f t="shared" si="467"/>
        <v>350</v>
      </c>
      <c r="AP255">
        <f t="shared" si="468"/>
        <v>195</v>
      </c>
      <c r="AQ255">
        <f t="shared" si="469"/>
        <v>350</v>
      </c>
      <c r="AS255" s="5">
        <f t="shared" si="364"/>
        <v>2.8571428571428572</v>
      </c>
      <c r="AT255" s="5">
        <f t="shared" si="470"/>
        <v>0.95346678028072962</v>
      </c>
      <c r="AU255" s="5">
        <f t="shared" si="440"/>
        <v>1.9036760768621277</v>
      </c>
      <c r="AV255" s="5"/>
      <c r="AW255" s="153">
        <f t="shared" si="441"/>
        <v>0.33371337309825538</v>
      </c>
      <c r="AX255" s="153"/>
      <c r="BA255" s="147">
        <f t="shared" si="471"/>
        <v>15.792961674237105</v>
      </c>
      <c r="BB255" s="147">
        <f t="shared" si="472"/>
        <v>2.7504604800000005</v>
      </c>
      <c r="BC255" s="5">
        <f t="shared" si="442"/>
        <v>0.85751174633429172</v>
      </c>
      <c r="BD255" s="147">
        <f t="shared" si="473"/>
        <v>0</v>
      </c>
      <c r="BQ255" s="463">
        <f t="shared" si="474"/>
        <v>7.4490000000000015E-2</v>
      </c>
      <c r="CG255" s="59">
        <f t="shared" si="475"/>
        <v>-50</v>
      </c>
      <c r="CH255">
        <f t="shared" si="476"/>
        <v>-50</v>
      </c>
    </row>
    <row r="256" spans="5:86" x14ac:dyDescent="0.25">
      <c r="E256" s="150">
        <v>40</v>
      </c>
      <c r="F256" s="191">
        <f t="shared" si="477"/>
        <v>0.2</v>
      </c>
      <c r="G256" s="191"/>
      <c r="H256" s="191">
        <f t="shared" si="443"/>
        <v>3</v>
      </c>
      <c r="I256" s="472">
        <f t="shared" si="444"/>
        <v>13</v>
      </c>
      <c r="J256" s="386">
        <f t="shared" si="445"/>
        <v>7.66</v>
      </c>
      <c r="K256" s="386">
        <f t="shared" si="446"/>
        <v>20.66</v>
      </c>
      <c r="L256" s="386"/>
      <c r="M256" s="191">
        <f t="shared" si="447"/>
        <v>0.37076476282671827</v>
      </c>
      <c r="N256" s="152">
        <f t="shared" si="448"/>
        <v>8.9867817037754101</v>
      </c>
      <c r="O256" s="152">
        <f t="shared" si="363"/>
        <v>3</v>
      </c>
      <c r="P256" s="191">
        <f t="shared" si="449"/>
        <v>0.59911878025169396</v>
      </c>
      <c r="Q256" s="191">
        <f t="shared" si="450"/>
        <v>15</v>
      </c>
      <c r="R256" s="191"/>
      <c r="S256" s="152">
        <f t="shared" si="451"/>
        <v>94.013198006384087</v>
      </c>
      <c r="T256" s="152">
        <f t="shared" si="452"/>
        <v>15</v>
      </c>
      <c r="U256" s="191">
        <f t="shared" si="453"/>
        <v>1.3831425319675972</v>
      </c>
      <c r="V256" s="191">
        <f t="shared" si="454"/>
        <v>0.95756021443910577</v>
      </c>
      <c r="W256" s="191">
        <f t="shared" si="455"/>
        <v>1.6251021916068376</v>
      </c>
      <c r="X256" s="175">
        <f t="shared" si="456"/>
        <v>350</v>
      </c>
      <c r="Y256" s="386">
        <f t="shared" si="418"/>
        <v>350</v>
      </c>
      <c r="AA256" s="191">
        <f t="shared" si="457"/>
        <v>1.530140291030901</v>
      </c>
      <c r="AB256" s="153">
        <f t="shared" si="458"/>
        <v>1.7978149633522336</v>
      </c>
      <c r="AC256" s="153">
        <f t="shared" si="459"/>
        <v>0.24070454723380583</v>
      </c>
      <c r="AD256" s="153"/>
      <c r="AE256" s="153">
        <f t="shared" si="460"/>
        <v>0.96344647519582249</v>
      </c>
      <c r="AF256" s="317">
        <f t="shared" si="461"/>
        <v>1012.6247603939456</v>
      </c>
      <c r="AG256" s="463">
        <f t="shared" si="462"/>
        <v>6.9127284595300251E-2</v>
      </c>
      <c r="AI256" s="153">
        <f t="shared" si="463"/>
        <v>1.394774829639833</v>
      </c>
      <c r="AJ256" s="153">
        <f t="shared" si="464"/>
        <v>1.394774829639833</v>
      </c>
      <c r="AK256" s="153">
        <f t="shared" si="465"/>
        <v>1.5831832197598887</v>
      </c>
      <c r="AM256" s="317">
        <f t="shared" si="466"/>
        <v>200</v>
      </c>
      <c r="AN256" s="147">
        <f t="shared" si="467"/>
        <v>350</v>
      </c>
      <c r="AP256">
        <f t="shared" si="468"/>
        <v>200</v>
      </c>
      <c r="AQ256">
        <f t="shared" si="469"/>
        <v>350</v>
      </c>
      <c r="AS256" s="5">
        <f t="shared" si="364"/>
        <v>2.8571428571428572</v>
      </c>
      <c r="AT256" s="5">
        <f t="shared" si="470"/>
        <v>0.96561334359680751</v>
      </c>
      <c r="AU256" s="5">
        <f t="shared" si="440"/>
        <v>1.8915295135460497</v>
      </c>
      <c r="AV256" s="5"/>
      <c r="AW256" s="153">
        <f t="shared" si="441"/>
        <v>0.3379646702588826</v>
      </c>
      <c r="AX256" s="153"/>
      <c r="BA256" s="147">
        <f t="shared" si="471"/>
        <v>15.792961674237105</v>
      </c>
      <c r="BB256" s="147">
        <f t="shared" si="472"/>
        <v>2.8779334437869828</v>
      </c>
      <c r="BC256" s="5">
        <f t="shared" si="442"/>
        <v>0.87388750914578395</v>
      </c>
      <c r="BD256" s="147">
        <f t="shared" si="473"/>
        <v>0</v>
      </c>
      <c r="BQ256" s="463">
        <f t="shared" si="474"/>
        <v>7.640000000000001E-2</v>
      </c>
      <c r="CG256" s="59">
        <f t="shared" si="475"/>
        <v>-50</v>
      </c>
      <c r="CH256">
        <f t="shared" si="476"/>
        <v>-50</v>
      </c>
    </row>
    <row r="257" spans="5:86" x14ac:dyDescent="0.25">
      <c r="E257" s="150">
        <v>41</v>
      </c>
      <c r="F257" s="191">
        <f t="shared" si="477"/>
        <v>0.20499999999999999</v>
      </c>
      <c r="G257" s="191"/>
      <c r="H257" s="191">
        <f t="shared" si="443"/>
        <v>3.0749999999999997</v>
      </c>
      <c r="I257" s="472">
        <f t="shared" si="444"/>
        <v>13</v>
      </c>
      <c r="J257" s="386">
        <f t="shared" si="445"/>
        <v>7.66</v>
      </c>
      <c r="K257" s="386">
        <f t="shared" si="446"/>
        <v>20.66</v>
      </c>
      <c r="L257" s="386"/>
      <c r="M257" s="191">
        <f t="shared" si="447"/>
        <v>0.37076476282671827</v>
      </c>
      <c r="N257" s="152">
        <f t="shared" si="448"/>
        <v>8.9867817037754101</v>
      </c>
      <c r="O257" s="152">
        <f t="shared" si="363"/>
        <v>3.0749999999999997</v>
      </c>
      <c r="P257" s="191">
        <f t="shared" si="449"/>
        <v>0.59911878025169396</v>
      </c>
      <c r="Q257" s="191">
        <f t="shared" si="450"/>
        <v>15</v>
      </c>
      <c r="R257" s="191"/>
      <c r="S257" s="152">
        <f t="shared" si="451"/>
        <v>91.091017475024543</v>
      </c>
      <c r="T257" s="152">
        <f t="shared" si="452"/>
        <v>15</v>
      </c>
      <c r="U257" s="191">
        <f t="shared" si="453"/>
        <v>1.4177210952667869</v>
      </c>
      <c r="V257" s="191">
        <f t="shared" si="454"/>
        <v>0.98149921980008326</v>
      </c>
      <c r="W257" s="191">
        <f t="shared" si="455"/>
        <v>1.6657297463970082</v>
      </c>
      <c r="X257" s="175">
        <f t="shared" si="456"/>
        <v>350</v>
      </c>
      <c r="Y257" s="386">
        <f t="shared" si="418"/>
        <v>350</v>
      </c>
      <c r="AA257" s="191">
        <f t="shared" si="457"/>
        <v>1.530140291030901</v>
      </c>
      <c r="AB257" s="153">
        <f t="shared" si="458"/>
        <v>1.7978149633522336</v>
      </c>
      <c r="AC257" s="153">
        <f t="shared" si="459"/>
        <v>0.24070454723380583</v>
      </c>
      <c r="AD257" s="153"/>
      <c r="AE257" s="153">
        <f t="shared" si="460"/>
        <v>0.96344647519582249</v>
      </c>
      <c r="AF257" s="317">
        <f t="shared" si="461"/>
        <v>1037.9403794037942</v>
      </c>
      <c r="AG257" s="463">
        <f t="shared" si="462"/>
        <v>6.9127284595300251E-2</v>
      </c>
      <c r="AI257" s="153">
        <f t="shared" si="463"/>
        <v>1.4121018893945811</v>
      </c>
      <c r="AJ257" s="153">
        <f t="shared" si="464"/>
        <v>1.4121018893945811</v>
      </c>
      <c r="AK257" s="153">
        <f t="shared" si="465"/>
        <v>1.5947345929297208</v>
      </c>
      <c r="AM257" s="317">
        <f t="shared" si="466"/>
        <v>205</v>
      </c>
      <c r="AN257" s="147">
        <f t="shared" si="467"/>
        <v>350</v>
      </c>
      <c r="AP257">
        <f t="shared" si="468"/>
        <v>205</v>
      </c>
      <c r="AQ257">
        <f t="shared" si="469"/>
        <v>350</v>
      </c>
      <c r="AS257" s="5">
        <f t="shared" si="364"/>
        <v>2.8571428571428572</v>
      </c>
      <c r="AT257" s="5">
        <f t="shared" si="470"/>
        <v>0.97760900035009457</v>
      </c>
      <c r="AU257" s="5">
        <f t="shared" si="440"/>
        <v>1.8795338567927626</v>
      </c>
      <c r="AV257" s="5"/>
      <c r="AW257" s="153">
        <f t="shared" si="441"/>
        <v>0.34216315012253307</v>
      </c>
      <c r="AX257" s="153"/>
      <c r="BA257" s="147">
        <f t="shared" si="471"/>
        <v>15.792961674237105</v>
      </c>
      <c r="BB257" s="147">
        <f t="shared" si="472"/>
        <v>3.0082538243786976</v>
      </c>
      <c r="BC257" s="5">
        <f t="shared" si="442"/>
        <v>0.89005414793836046</v>
      </c>
      <c r="BD257" s="147">
        <f t="shared" si="473"/>
        <v>0</v>
      </c>
      <c r="BQ257" s="463">
        <f t="shared" si="474"/>
        <v>7.8310000000000005E-2</v>
      </c>
      <c r="CG257" s="59">
        <f t="shared" si="475"/>
        <v>-50</v>
      </c>
      <c r="CH257">
        <f t="shared" si="476"/>
        <v>-50</v>
      </c>
    </row>
    <row r="258" spans="5:86" x14ac:dyDescent="0.25">
      <c r="E258" s="150">
        <v>42</v>
      </c>
      <c r="F258" s="191">
        <f t="shared" si="477"/>
        <v>0.21</v>
      </c>
      <c r="G258" s="191"/>
      <c r="H258" s="191">
        <f t="shared" si="443"/>
        <v>3.15</v>
      </c>
      <c r="I258" s="472">
        <f t="shared" si="444"/>
        <v>13</v>
      </c>
      <c r="J258" s="386">
        <f t="shared" si="445"/>
        <v>7.66</v>
      </c>
      <c r="K258" s="386">
        <f t="shared" si="446"/>
        <v>20.66</v>
      </c>
      <c r="L258" s="386"/>
      <c r="M258" s="191">
        <f t="shared" si="447"/>
        <v>0.37076476282671827</v>
      </c>
      <c r="N258" s="152">
        <f t="shared" si="448"/>
        <v>8.9867817037754101</v>
      </c>
      <c r="O258" s="152">
        <f t="shared" si="363"/>
        <v>3.15</v>
      </c>
      <c r="P258" s="191">
        <f t="shared" si="449"/>
        <v>0.59911878025169396</v>
      </c>
      <c r="Q258" s="191">
        <f t="shared" si="450"/>
        <v>15</v>
      </c>
      <c r="R258" s="191"/>
      <c r="S258" s="152">
        <f t="shared" si="451"/>
        <v>88.308161068345981</v>
      </c>
      <c r="T258" s="152">
        <f t="shared" si="452"/>
        <v>15</v>
      </c>
      <c r="U258" s="191">
        <f t="shared" si="453"/>
        <v>1.4522996585659769</v>
      </c>
      <c r="V258" s="191">
        <f t="shared" si="454"/>
        <v>1.005438225161061</v>
      </c>
      <c r="W258" s="191">
        <f t="shared" si="455"/>
        <v>1.7063573011871791</v>
      </c>
      <c r="X258" s="175">
        <f t="shared" si="456"/>
        <v>350</v>
      </c>
      <c r="Y258" s="386">
        <f t="shared" si="418"/>
        <v>350</v>
      </c>
      <c r="AA258" s="191">
        <f t="shared" si="457"/>
        <v>1.530140291030901</v>
      </c>
      <c r="AB258" s="153">
        <f t="shared" si="458"/>
        <v>1.7978149633522336</v>
      </c>
      <c r="AC258" s="153">
        <f t="shared" si="459"/>
        <v>0.24070454723380583</v>
      </c>
      <c r="AD258" s="153"/>
      <c r="AE258" s="153">
        <f t="shared" si="460"/>
        <v>0.96344647519582249</v>
      </c>
      <c r="AF258" s="317">
        <f t="shared" si="461"/>
        <v>1063.2559984136428</v>
      </c>
      <c r="AG258" s="463">
        <f t="shared" si="462"/>
        <v>6.9127284595300251E-2</v>
      </c>
      <c r="AI258" s="153">
        <f t="shared" si="463"/>
        <v>1.4292189008919054</v>
      </c>
      <c r="AJ258" s="153">
        <f t="shared" si="464"/>
        <v>1.4292189008919054</v>
      </c>
      <c r="AK258" s="153">
        <f t="shared" si="465"/>
        <v>1.6061459339279369</v>
      </c>
      <c r="AM258" s="317">
        <f t="shared" si="466"/>
        <v>210</v>
      </c>
      <c r="AN258" s="147">
        <f t="shared" si="467"/>
        <v>350</v>
      </c>
      <c r="AP258">
        <f t="shared" si="468"/>
        <v>210</v>
      </c>
      <c r="AQ258">
        <f t="shared" si="469"/>
        <v>350</v>
      </c>
      <c r="AS258" s="5">
        <f t="shared" si="364"/>
        <v>2.8571428571428572</v>
      </c>
      <c r="AT258" s="5">
        <f t="shared" si="470"/>
        <v>0.98945923907901134</v>
      </c>
      <c r="AU258" s="5">
        <f t="shared" si="440"/>
        <v>1.8676836180638459</v>
      </c>
      <c r="AV258" s="5"/>
      <c r="AW258" s="153">
        <f t="shared" si="441"/>
        <v>0.34631073367765397</v>
      </c>
      <c r="AX258" s="153"/>
      <c r="BA258" s="147">
        <f t="shared" si="471"/>
        <v>15.792961674237105</v>
      </c>
      <c r="BB258" s="147">
        <f t="shared" si="472"/>
        <v>3.1414216217751476</v>
      </c>
      <c r="BC258" s="5">
        <f t="shared" si="442"/>
        <v>0.90601422913700069</v>
      </c>
      <c r="BD258" s="147">
        <f t="shared" si="473"/>
        <v>0</v>
      </c>
      <c r="BQ258" s="463">
        <f t="shared" si="474"/>
        <v>8.022E-2</v>
      </c>
      <c r="CG258" s="59">
        <f t="shared" si="475"/>
        <v>-50</v>
      </c>
      <c r="CH258">
        <f t="shared" si="476"/>
        <v>-50</v>
      </c>
    </row>
    <row r="259" spans="5:86" x14ac:dyDescent="0.25">
      <c r="E259" s="150">
        <v>43</v>
      </c>
      <c r="F259" s="191">
        <f t="shared" si="477"/>
        <v>0.215</v>
      </c>
      <c r="G259" s="191"/>
      <c r="H259" s="191">
        <f t="shared" si="443"/>
        <v>3.2250000000000001</v>
      </c>
      <c r="I259" s="472">
        <f t="shared" si="444"/>
        <v>13</v>
      </c>
      <c r="J259" s="386">
        <f t="shared" si="445"/>
        <v>7.66</v>
      </c>
      <c r="K259" s="386">
        <f t="shared" si="446"/>
        <v>20.66</v>
      </c>
      <c r="L259" s="386"/>
      <c r="M259" s="191">
        <f t="shared" si="447"/>
        <v>0.37076476282671827</v>
      </c>
      <c r="N259" s="152">
        <f t="shared" si="448"/>
        <v>8.9867817037754101</v>
      </c>
      <c r="O259" s="152">
        <f t="shared" si="363"/>
        <v>3.2250000000000001</v>
      </c>
      <c r="P259" s="191">
        <f t="shared" si="449"/>
        <v>0.59911878025169396</v>
      </c>
      <c r="Q259" s="191">
        <f t="shared" si="450"/>
        <v>15</v>
      </c>
      <c r="R259" s="191"/>
      <c r="S259" s="152">
        <f t="shared" si="451"/>
        <v>85.654911951524184</v>
      </c>
      <c r="T259" s="152">
        <f t="shared" si="452"/>
        <v>15</v>
      </c>
      <c r="U259" s="191">
        <f t="shared" si="453"/>
        <v>1.486878221865167</v>
      </c>
      <c r="V259" s="191">
        <f t="shared" si="454"/>
        <v>1.0293772305220388</v>
      </c>
      <c r="W259" s="191">
        <f t="shared" si="455"/>
        <v>1.7469848559773502</v>
      </c>
      <c r="X259" s="175">
        <f t="shared" si="456"/>
        <v>350</v>
      </c>
      <c r="Y259" s="386">
        <f t="shared" si="418"/>
        <v>350</v>
      </c>
      <c r="AA259" s="191">
        <f t="shared" si="457"/>
        <v>1.530140291030901</v>
      </c>
      <c r="AB259" s="153">
        <f t="shared" si="458"/>
        <v>1.7978149633522336</v>
      </c>
      <c r="AC259" s="153">
        <f t="shared" si="459"/>
        <v>0.24070454723380583</v>
      </c>
      <c r="AD259" s="153"/>
      <c r="AE259" s="153">
        <f t="shared" si="460"/>
        <v>0.96344647519582249</v>
      </c>
      <c r="AF259" s="317">
        <f t="shared" si="461"/>
        <v>1088.5716174234913</v>
      </c>
      <c r="AG259" s="463">
        <f t="shared" si="462"/>
        <v>6.9127284595300251E-2</v>
      </c>
      <c r="AI259" s="153">
        <f t="shared" si="463"/>
        <v>1.4461333227962032</v>
      </c>
      <c r="AJ259" s="153">
        <f t="shared" si="464"/>
        <v>1.4461333227962032</v>
      </c>
      <c r="AK259" s="153">
        <f t="shared" si="465"/>
        <v>1.6174222151974689</v>
      </c>
      <c r="AM259" s="317">
        <f t="shared" si="466"/>
        <v>215</v>
      </c>
      <c r="AN259" s="147">
        <f t="shared" si="467"/>
        <v>350</v>
      </c>
      <c r="AP259">
        <f t="shared" si="468"/>
        <v>215</v>
      </c>
      <c r="AQ259">
        <f t="shared" si="469"/>
        <v>350</v>
      </c>
      <c r="AS259" s="5">
        <f t="shared" si="364"/>
        <v>2.8571428571428572</v>
      </c>
      <c r="AT259" s="5">
        <f t="shared" si="470"/>
        <v>1.0011692234742946</v>
      </c>
      <c r="AU259" s="5">
        <f t="shared" si="440"/>
        <v>1.8559736336685626</v>
      </c>
      <c r="AV259" s="5"/>
      <c r="AW259" s="153">
        <f t="shared" si="441"/>
        <v>0.35040922821600312</v>
      </c>
      <c r="AX259" s="153"/>
      <c r="BA259" s="147">
        <f t="shared" si="471"/>
        <v>15.792961674237105</v>
      </c>
      <c r="BB259" s="147">
        <f t="shared" si="472"/>
        <v>3.2774368359763311</v>
      </c>
      <c r="BC259" s="5">
        <f t="shared" si="442"/>
        <v>0.92177022693171851</v>
      </c>
      <c r="BD259" s="147">
        <f t="shared" si="473"/>
        <v>0</v>
      </c>
      <c r="BQ259" s="463">
        <f t="shared" si="474"/>
        <v>8.2130000000000009E-2</v>
      </c>
      <c r="CG259" s="59">
        <f t="shared" si="475"/>
        <v>-50</v>
      </c>
      <c r="CH259">
        <f t="shared" si="476"/>
        <v>-50</v>
      </c>
    </row>
    <row r="260" spans="5:86" x14ac:dyDescent="0.25">
      <c r="E260" s="150">
        <v>44</v>
      </c>
      <c r="F260" s="191">
        <f t="shared" si="477"/>
        <v>0.22</v>
      </c>
      <c r="G260" s="191"/>
      <c r="H260" s="191">
        <f t="shared" si="443"/>
        <v>3.3</v>
      </c>
      <c r="I260" s="472">
        <f t="shared" si="444"/>
        <v>13</v>
      </c>
      <c r="J260" s="386">
        <f t="shared" si="445"/>
        <v>7.66</v>
      </c>
      <c r="K260" s="386">
        <f t="shared" si="446"/>
        <v>20.66</v>
      </c>
      <c r="L260" s="386"/>
      <c r="M260" s="191">
        <f t="shared" si="447"/>
        <v>0.37076476282671827</v>
      </c>
      <c r="N260" s="152">
        <f t="shared" si="448"/>
        <v>8.9867817037754101</v>
      </c>
      <c r="O260" s="152">
        <f t="shared" si="363"/>
        <v>3.3</v>
      </c>
      <c r="P260" s="191">
        <f t="shared" si="449"/>
        <v>0.59911878025169396</v>
      </c>
      <c r="Q260" s="191">
        <f t="shared" si="450"/>
        <v>15</v>
      </c>
      <c r="R260" s="191"/>
      <c r="S260" s="152">
        <f t="shared" si="451"/>
        <v>83.122436729044054</v>
      </c>
      <c r="T260" s="152">
        <f t="shared" si="452"/>
        <v>15</v>
      </c>
      <c r="U260" s="191">
        <f t="shared" si="453"/>
        <v>1.5214567851643568</v>
      </c>
      <c r="V260" s="191">
        <f t="shared" si="454"/>
        <v>1.0533162358830161</v>
      </c>
      <c r="W260" s="191">
        <f t="shared" si="455"/>
        <v>1.7876124107675211</v>
      </c>
      <c r="X260" s="175">
        <f t="shared" si="456"/>
        <v>350</v>
      </c>
      <c r="Y260" s="386">
        <f t="shared" si="418"/>
        <v>350</v>
      </c>
      <c r="AA260" s="191">
        <f t="shared" si="457"/>
        <v>1.530140291030901</v>
      </c>
      <c r="AB260" s="153">
        <f t="shared" si="458"/>
        <v>1.7978149633522336</v>
      </c>
      <c r="AC260" s="153">
        <f t="shared" si="459"/>
        <v>0.24070454723380583</v>
      </c>
      <c r="AD260" s="153"/>
      <c r="AE260" s="153">
        <f t="shared" si="460"/>
        <v>0.96344647519582249</v>
      </c>
      <c r="AF260" s="317">
        <f t="shared" si="461"/>
        <v>1113.8872364333399</v>
      </c>
      <c r="AG260" s="463">
        <f t="shared" si="462"/>
        <v>6.9127284595300251E-2</v>
      </c>
      <c r="AI260" s="153">
        <f t="shared" si="463"/>
        <v>1.4628521825312728</v>
      </c>
      <c r="AJ260" s="153">
        <f t="shared" si="464"/>
        <v>1.4628521825312728</v>
      </c>
      <c r="AK260" s="153">
        <f t="shared" si="465"/>
        <v>1.6285681216875152</v>
      </c>
      <c r="AM260" s="317">
        <f t="shared" si="466"/>
        <v>220</v>
      </c>
      <c r="AN260" s="147">
        <f t="shared" si="467"/>
        <v>350</v>
      </c>
      <c r="AP260">
        <f t="shared" si="468"/>
        <v>220</v>
      </c>
      <c r="AQ260">
        <f t="shared" si="469"/>
        <v>350</v>
      </c>
      <c r="AS260" s="5">
        <f t="shared" si="364"/>
        <v>2.8571428571428572</v>
      </c>
      <c r="AT260" s="5">
        <f t="shared" si="470"/>
        <v>1.0127438186754965</v>
      </c>
      <c r="AU260" s="5">
        <f t="shared" si="440"/>
        <v>1.8443990384673608</v>
      </c>
      <c r="AV260" s="5"/>
      <c r="AW260" s="153">
        <f t="shared" si="441"/>
        <v>0.35446033653642373</v>
      </c>
      <c r="AX260" s="153"/>
      <c r="BA260" s="147">
        <f t="shared" si="471"/>
        <v>15.792961674237105</v>
      </c>
      <c r="BB260" s="147">
        <f t="shared" si="472"/>
        <v>3.4162994669822484</v>
      </c>
      <c r="BC260" s="5">
        <f t="shared" si="442"/>
        <v>0.93732452867364124</v>
      </c>
      <c r="BD260" s="147">
        <f t="shared" si="473"/>
        <v>0</v>
      </c>
      <c r="BQ260" s="463">
        <f t="shared" si="474"/>
        <v>8.4040000000000004E-2</v>
      </c>
      <c r="CG260" s="59">
        <f t="shared" si="475"/>
        <v>-50</v>
      </c>
      <c r="CH260">
        <f t="shared" si="476"/>
        <v>-50</v>
      </c>
    </row>
    <row r="261" spans="5:86" x14ac:dyDescent="0.25">
      <c r="E261" s="150">
        <v>45</v>
      </c>
      <c r="F261" s="191">
        <f t="shared" si="477"/>
        <v>0.22500000000000001</v>
      </c>
      <c r="G261" s="191"/>
      <c r="H261" s="191">
        <f t="shared" si="443"/>
        <v>3.375</v>
      </c>
      <c r="I261" s="472">
        <f t="shared" si="444"/>
        <v>13</v>
      </c>
      <c r="J261" s="386">
        <f t="shared" si="445"/>
        <v>7.66</v>
      </c>
      <c r="K261" s="386">
        <f t="shared" si="446"/>
        <v>20.66</v>
      </c>
      <c r="L261" s="386"/>
      <c r="M261" s="191">
        <f t="shared" si="447"/>
        <v>0.37076476282671827</v>
      </c>
      <c r="N261" s="152">
        <f t="shared" si="448"/>
        <v>8.9867817037754101</v>
      </c>
      <c r="O261" s="152">
        <f t="shared" si="363"/>
        <v>3.375</v>
      </c>
      <c r="P261" s="191">
        <f t="shared" si="449"/>
        <v>0.59911878025169396</v>
      </c>
      <c r="Q261" s="191">
        <f t="shared" si="450"/>
        <v>15</v>
      </c>
      <c r="R261" s="191"/>
      <c r="S261" s="152">
        <f t="shared" si="451"/>
        <v>80.702687287703213</v>
      </c>
      <c r="T261" s="152">
        <f t="shared" si="452"/>
        <v>15</v>
      </c>
      <c r="U261" s="191">
        <f t="shared" si="453"/>
        <v>1.5560353484635467</v>
      </c>
      <c r="V261" s="191">
        <f t="shared" si="454"/>
        <v>1.0772552412439937</v>
      </c>
      <c r="W261" s="191">
        <f t="shared" si="455"/>
        <v>1.828239965557692</v>
      </c>
      <c r="X261" s="175">
        <f t="shared" si="456"/>
        <v>350</v>
      </c>
      <c r="Y261" s="386">
        <f t="shared" si="418"/>
        <v>344.17540860471121</v>
      </c>
      <c r="AA261" s="191">
        <f t="shared" si="457"/>
        <v>1.530140291030901</v>
      </c>
      <c r="AB261" s="153">
        <f t="shared" si="458"/>
        <v>1.7978149633522336</v>
      </c>
      <c r="AC261" s="153">
        <f t="shared" si="459"/>
        <v>0.24070454723380583</v>
      </c>
      <c r="AD261" s="153"/>
      <c r="AE261" s="153">
        <f t="shared" si="460"/>
        <v>0.96344647519582249</v>
      </c>
      <c r="AF261" s="317">
        <f t="shared" si="461"/>
        <v>1139.2028554431886</v>
      </c>
      <c r="AG261" s="463">
        <f t="shared" si="462"/>
        <v>6.9127284595300251E-2</v>
      </c>
      <c r="AI261" s="153">
        <f t="shared" si="463"/>
        <v>1.4793821103999563</v>
      </c>
      <c r="AJ261" s="153">
        <f t="shared" si="464"/>
        <v>1.4793821103999563</v>
      </c>
      <c r="AK261" s="153">
        <f t="shared" si="465"/>
        <v>1.6395880735999708</v>
      </c>
      <c r="AM261" s="317">
        <f t="shared" si="466"/>
        <v>225</v>
      </c>
      <c r="AN261" s="147">
        <f t="shared" si="467"/>
        <v>344.17540860471121</v>
      </c>
      <c r="AP261">
        <f t="shared" si="468"/>
        <v>225</v>
      </c>
      <c r="AQ261">
        <f t="shared" si="469"/>
        <v>344.17540860471121</v>
      </c>
      <c r="AS261" s="5">
        <f t="shared" si="364"/>
        <v>2.9054952068016857</v>
      </c>
      <c r="AT261" s="5">
        <f t="shared" si="470"/>
        <v>1.0241876148922775</v>
      </c>
      <c r="AU261" s="5">
        <f t="shared" si="440"/>
        <v>1.8813075919094082</v>
      </c>
      <c r="AV261" s="5"/>
      <c r="AW261" s="153">
        <f t="shared" si="441"/>
        <v>0.3525001908434342</v>
      </c>
      <c r="AX261" s="153"/>
      <c r="BA261" s="147">
        <f t="shared" si="471"/>
        <v>15.792961674237105</v>
      </c>
      <c r="BB261" s="147">
        <f t="shared" si="472"/>
        <v>3.5580095147928992</v>
      </c>
      <c r="BC261" s="5">
        <f t="shared" si="442"/>
        <v>0.97781059870551335</v>
      </c>
      <c r="BD261" s="147">
        <f t="shared" si="473"/>
        <v>0</v>
      </c>
      <c r="BQ261" s="463">
        <f t="shared" si="474"/>
        <v>8.5950000000000013E-2</v>
      </c>
      <c r="CG261" s="59">
        <f t="shared" si="475"/>
        <v>-50</v>
      </c>
      <c r="CH261">
        <f t="shared" si="476"/>
        <v>-50</v>
      </c>
    </row>
    <row r="262" spans="5:86" x14ac:dyDescent="0.25">
      <c r="E262" s="150">
        <v>46</v>
      </c>
      <c r="F262" s="191">
        <f t="shared" si="477"/>
        <v>0.23</v>
      </c>
      <c r="G262" s="191"/>
      <c r="H262" s="191">
        <f t="shared" si="443"/>
        <v>3.45</v>
      </c>
      <c r="I262" s="472">
        <f t="shared" si="444"/>
        <v>13</v>
      </c>
      <c r="J262" s="386">
        <f t="shared" si="445"/>
        <v>7.66</v>
      </c>
      <c r="K262" s="386">
        <f t="shared" si="446"/>
        <v>20.66</v>
      </c>
      <c r="L262" s="386"/>
      <c r="M262" s="191">
        <f t="shared" si="447"/>
        <v>0.37076476282671827</v>
      </c>
      <c r="N262" s="152">
        <f t="shared" si="448"/>
        <v>8.9867817037754101</v>
      </c>
      <c r="O262" s="152">
        <f t="shared" ref="O262:O316" si="478">T262*F262</f>
        <v>3.45</v>
      </c>
      <c r="P262" s="191">
        <f t="shared" si="449"/>
        <v>0.59911878025169396</v>
      </c>
      <c r="Q262" s="191">
        <f t="shared" si="450"/>
        <v>15</v>
      </c>
      <c r="R262" s="191"/>
      <c r="S262" s="152">
        <f t="shared" si="451"/>
        <v>78.388315442813408</v>
      </c>
      <c r="T262" s="152">
        <f t="shared" si="452"/>
        <v>15</v>
      </c>
      <c r="U262" s="191">
        <f t="shared" si="453"/>
        <v>1.5906139117627367</v>
      </c>
      <c r="V262" s="191">
        <f t="shared" si="454"/>
        <v>1.1011942466049718</v>
      </c>
      <c r="W262" s="191">
        <f t="shared" si="455"/>
        <v>1.8688675203478631</v>
      </c>
      <c r="X262" s="175">
        <f t="shared" si="456"/>
        <v>350</v>
      </c>
      <c r="Y262" s="386">
        <f t="shared" si="418"/>
        <v>336.69333450460869</v>
      </c>
      <c r="AA262" s="191">
        <f t="shared" si="457"/>
        <v>1.530140291030901</v>
      </c>
      <c r="AB262" s="153">
        <f t="shared" si="458"/>
        <v>1.7978149633522336</v>
      </c>
      <c r="AC262" s="153">
        <f t="shared" si="459"/>
        <v>0.24070454723380583</v>
      </c>
      <c r="AD262" s="153"/>
      <c r="AE262" s="153">
        <f t="shared" si="460"/>
        <v>0.96344647519582249</v>
      </c>
      <c r="AF262" s="317">
        <f t="shared" si="461"/>
        <v>1164.5184744530375</v>
      </c>
      <c r="AG262" s="463">
        <f t="shared" si="462"/>
        <v>6.9127284595300251E-2</v>
      </c>
      <c r="AI262" s="153">
        <f t="shared" si="463"/>
        <v>1.4957293703094652</v>
      </c>
      <c r="AJ262" s="153">
        <f t="shared" si="464"/>
        <v>1.4957293703094652</v>
      </c>
      <c r="AK262" s="153">
        <f t="shared" si="465"/>
        <v>1.6504862468729768</v>
      </c>
      <c r="AM262" s="317">
        <f t="shared" si="466"/>
        <v>230</v>
      </c>
      <c r="AN262" s="147">
        <f t="shared" si="467"/>
        <v>336.69333450460869</v>
      </c>
      <c r="AP262">
        <f t="shared" si="468"/>
        <v>230</v>
      </c>
      <c r="AQ262">
        <f t="shared" si="469"/>
        <v>336.69333450460869</v>
      </c>
      <c r="AS262" s="5">
        <f t="shared" si="364"/>
        <v>2.9700617669528349</v>
      </c>
      <c r="AT262" s="5">
        <f t="shared" si="470"/>
        <v>1.0355049486757837</v>
      </c>
      <c r="AU262" s="5">
        <f t="shared" si="440"/>
        <v>1.9345568182770512</v>
      </c>
      <c r="AV262" s="5"/>
      <c r="AW262" s="153">
        <f t="shared" si="441"/>
        <v>0.34864761406567329</v>
      </c>
      <c r="AX262" s="153"/>
      <c r="BA262" s="147">
        <f t="shared" si="471"/>
        <v>15.792961674237105</v>
      </c>
      <c r="BB262" s="147">
        <f t="shared" si="472"/>
        <v>3.7025669794082843</v>
      </c>
      <c r="BC262" s="5">
        <f t="shared" si="442"/>
        <v>1.0278310653816625</v>
      </c>
      <c r="BD262" s="147">
        <f t="shared" si="473"/>
        <v>0</v>
      </c>
      <c r="BQ262" s="463">
        <f t="shared" si="474"/>
        <v>8.7860000000000008E-2</v>
      </c>
      <c r="CG262" s="59">
        <f t="shared" si="475"/>
        <v>-50</v>
      </c>
      <c r="CH262">
        <f t="shared" si="476"/>
        <v>-50</v>
      </c>
    </row>
    <row r="263" spans="5:86" x14ac:dyDescent="0.25">
      <c r="E263" s="150">
        <v>47</v>
      </c>
      <c r="F263" s="191">
        <f t="shared" si="477"/>
        <v>0.23499999999999999</v>
      </c>
      <c r="G263" s="191"/>
      <c r="H263" s="191">
        <f t="shared" si="443"/>
        <v>3.5249999999999999</v>
      </c>
      <c r="I263" s="472">
        <f t="shared" si="444"/>
        <v>13</v>
      </c>
      <c r="J263" s="386">
        <f t="shared" si="445"/>
        <v>7.66</v>
      </c>
      <c r="K263" s="386">
        <f t="shared" si="446"/>
        <v>20.66</v>
      </c>
      <c r="L263" s="386"/>
      <c r="M263" s="191">
        <f t="shared" si="447"/>
        <v>0.37076476282671827</v>
      </c>
      <c r="N263" s="152">
        <f t="shared" si="448"/>
        <v>8.9867817037754101</v>
      </c>
      <c r="O263" s="152">
        <f t="shared" si="478"/>
        <v>3.5249999999999999</v>
      </c>
      <c r="P263" s="191">
        <f t="shared" si="449"/>
        <v>0.59911878025169396</v>
      </c>
      <c r="Q263" s="191">
        <f t="shared" si="450"/>
        <v>15</v>
      </c>
      <c r="R263" s="191"/>
      <c r="S263" s="152">
        <f t="shared" si="451"/>
        <v>76.172598480744909</v>
      </c>
      <c r="T263" s="152">
        <f t="shared" si="452"/>
        <v>15</v>
      </c>
      <c r="U263" s="191">
        <f t="shared" si="453"/>
        <v>1.6251924750619267</v>
      </c>
      <c r="V263" s="191">
        <f t="shared" si="454"/>
        <v>1.1251332519659492</v>
      </c>
      <c r="W263" s="191">
        <f t="shared" si="455"/>
        <v>1.909495075138034</v>
      </c>
      <c r="X263" s="175">
        <f t="shared" si="456"/>
        <v>350</v>
      </c>
      <c r="Y263" s="386">
        <f t="shared" si="418"/>
        <v>329.52964653642556</v>
      </c>
      <c r="AA263" s="191">
        <f t="shared" si="457"/>
        <v>1.530140291030901</v>
      </c>
      <c r="AB263" s="153">
        <f t="shared" si="458"/>
        <v>1.7978149633522336</v>
      </c>
      <c r="AC263" s="153">
        <f t="shared" si="459"/>
        <v>0.24070454723380583</v>
      </c>
      <c r="AD263" s="153"/>
      <c r="AE263" s="153">
        <f t="shared" si="460"/>
        <v>0.96344647519582249</v>
      </c>
      <c r="AF263" s="317">
        <f t="shared" si="461"/>
        <v>1189.8340934628859</v>
      </c>
      <c r="AG263" s="463">
        <f t="shared" si="462"/>
        <v>6.9127284595300251E-2</v>
      </c>
      <c r="AI263" s="153">
        <f t="shared" si="463"/>
        <v>1.5118998875062031</v>
      </c>
      <c r="AJ263" s="153">
        <f t="shared" si="464"/>
        <v>1.5118998875062031</v>
      </c>
      <c r="AK263" s="153">
        <f t="shared" si="465"/>
        <v>1.661266591670802</v>
      </c>
      <c r="AM263" s="317">
        <f t="shared" si="466"/>
        <v>235</v>
      </c>
      <c r="AN263" s="147">
        <f t="shared" si="467"/>
        <v>329.52964653642556</v>
      </c>
      <c r="AP263">
        <f t="shared" si="468"/>
        <v>235</v>
      </c>
      <c r="AQ263">
        <f t="shared" si="469"/>
        <v>329.52964653642556</v>
      </c>
      <c r="AS263" s="5">
        <f t="shared" ref="AS263:AS316" si="479">1/AN263*1000</f>
        <v>3.0346283271039836</v>
      </c>
      <c r="AT263" s="5">
        <f t="shared" si="470"/>
        <v>1.0466999221196791</v>
      </c>
      <c r="AU263" s="5">
        <f t="shared" si="440"/>
        <v>1.9879284049843045</v>
      </c>
      <c r="AV263" s="5"/>
      <c r="AW263" s="153">
        <f t="shared" si="441"/>
        <v>0.34491865536580196</v>
      </c>
      <c r="AX263" s="153"/>
      <c r="BA263" s="147">
        <f t="shared" si="471"/>
        <v>15.792961674237105</v>
      </c>
      <c r="BB263" s="147">
        <f t="shared" si="472"/>
        <v>3.8499718608284024</v>
      </c>
      <c r="BC263" s="5">
        <f t="shared" si="442"/>
        <v>1.0791480137937433</v>
      </c>
      <c r="BD263" s="147">
        <f t="shared" si="473"/>
        <v>0</v>
      </c>
      <c r="BQ263" s="463">
        <f t="shared" si="474"/>
        <v>8.9770000000000003E-2</v>
      </c>
      <c r="CG263" s="59">
        <f t="shared" si="475"/>
        <v>-50</v>
      </c>
      <c r="CH263">
        <f t="shared" si="476"/>
        <v>-50</v>
      </c>
    </row>
    <row r="264" spans="5:86" x14ac:dyDescent="0.25">
      <c r="E264" s="150">
        <v>48</v>
      </c>
      <c r="F264" s="191">
        <f t="shared" si="477"/>
        <v>0.24</v>
      </c>
      <c r="G264" s="191"/>
      <c r="H264" s="191">
        <f t="shared" si="443"/>
        <v>3.5999999999999996</v>
      </c>
      <c r="I264" s="472">
        <f t="shared" si="444"/>
        <v>13</v>
      </c>
      <c r="J264" s="386">
        <f t="shared" si="445"/>
        <v>7.66</v>
      </c>
      <c r="K264" s="386">
        <f t="shared" si="446"/>
        <v>20.66</v>
      </c>
      <c r="L264" s="386"/>
      <c r="M264" s="191">
        <f t="shared" si="447"/>
        <v>0.37076476282671827</v>
      </c>
      <c r="N264" s="152">
        <f t="shared" si="448"/>
        <v>8.9867817037754101</v>
      </c>
      <c r="O264" s="152">
        <f t="shared" si="478"/>
        <v>3.5999999999999996</v>
      </c>
      <c r="P264" s="191">
        <f t="shared" si="449"/>
        <v>0.59911878025169396</v>
      </c>
      <c r="Q264" s="191">
        <f t="shared" si="450"/>
        <v>15</v>
      </c>
      <c r="R264" s="191"/>
      <c r="S264" s="152">
        <f t="shared" si="451"/>
        <v>74.049374008768979</v>
      </c>
      <c r="T264" s="152">
        <f t="shared" si="452"/>
        <v>15</v>
      </c>
      <c r="U264" s="191">
        <f t="shared" si="453"/>
        <v>1.6597710383611164</v>
      </c>
      <c r="V264" s="191">
        <f t="shared" si="454"/>
        <v>1.1490722573269267</v>
      </c>
      <c r="W264" s="191">
        <f t="shared" si="455"/>
        <v>1.9501226299282046</v>
      </c>
      <c r="X264" s="175">
        <f t="shared" si="456"/>
        <v>350</v>
      </c>
      <c r="Y264" s="386">
        <f t="shared" si="418"/>
        <v>322.66444556691675</v>
      </c>
      <c r="AA264" s="191">
        <f t="shared" si="457"/>
        <v>1.530140291030901</v>
      </c>
      <c r="AB264" s="153">
        <f t="shared" si="458"/>
        <v>1.7978149633522336</v>
      </c>
      <c r="AC264" s="153">
        <f t="shared" si="459"/>
        <v>0.24070454723380583</v>
      </c>
      <c r="AD264" s="153"/>
      <c r="AE264" s="153">
        <f t="shared" si="460"/>
        <v>0.96344647519582249</v>
      </c>
      <c r="AF264" s="317">
        <f t="shared" si="461"/>
        <v>1215.1497124727346</v>
      </c>
      <c r="AG264" s="463">
        <f t="shared" si="462"/>
        <v>6.9127284595300251E-2</v>
      </c>
      <c r="AI264" s="153">
        <f t="shared" si="463"/>
        <v>1.5278992736683235</v>
      </c>
      <c r="AJ264" s="153">
        <f t="shared" si="464"/>
        <v>1.5278992736683235</v>
      </c>
      <c r="AK264" s="153">
        <f t="shared" si="465"/>
        <v>1.6719328491122156</v>
      </c>
      <c r="AM264" s="317">
        <f t="shared" si="466"/>
        <v>240</v>
      </c>
      <c r="AN264" s="147">
        <f t="shared" si="467"/>
        <v>322.66444556691675</v>
      </c>
      <c r="AP264">
        <f t="shared" si="468"/>
        <v>240</v>
      </c>
      <c r="AQ264">
        <f t="shared" si="469"/>
        <v>322.66444556691675</v>
      </c>
      <c r="AS264" s="5">
        <f t="shared" si="479"/>
        <v>3.0991948872551314</v>
      </c>
      <c r="AT264" s="5">
        <f t="shared" si="470"/>
        <v>1.0577764202319162</v>
      </c>
      <c r="AU264" s="5">
        <f t="shared" si="440"/>
        <v>2.0414184670232149</v>
      </c>
      <c r="AV264" s="5"/>
      <c r="AW264" s="153">
        <f t="shared" si="441"/>
        <v>0.34130684216788915</v>
      </c>
      <c r="AX264" s="153"/>
      <c r="BA264" s="147">
        <f t="shared" si="471"/>
        <v>15.792961674237105</v>
      </c>
      <c r="BB264" s="147">
        <f t="shared" si="472"/>
        <v>4.0002241590532543</v>
      </c>
      <c r="BC264" s="5">
        <f t="shared" si="442"/>
        <v>1.1317635298812001</v>
      </c>
      <c r="BD264" s="147">
        <f t="shared" si="473"/>
        <v>0</v>
      </c>
      <c r="BQ264" s="463">
        <f t="shared" si="474"/>
        <v>9.1679999999999998E-2</v>
      </c>
      <c r="CG264" s="59">
        <f t="shared" si="475"/>
        <v>-50</v>
      </c>
      <c r="CH264">
        <f t="shared" si="476"/>
        <v>-50</v>
      </c>
    </row>
    <row r="265" spans="5:86" x14ac:dyDescent="0.25">
      <c r="E265" s="150">
        <v>49</v>
      </c>
      <c r="F265" s="191">
        <f t="shared" si="477"/>
        <v>0.245</v>
      </c>
      <c r="G265" s="191"/>
      <c r="H265" s="191">
        <f t="shared" si="443"/>
        <v>3.6749999999999998</v>
      </c>
      <c r="I265" s="472">
        <f t="shared" si="444"/>
        <v>13</v>
      </c>
      <c r="J265" s="386">
        <f t="shared" si="445"/>
        <v>7.66</v>
      </c>
      <c r="K265" s="386">
        <f t="shared" si="446"/>
        <v>20.66</v>
      </c>
      <c r="L265" s="386"/>
      <c r="M265" s="191">
        <f t="shared" si="447"/>
        <v>0.37076476282671827</v>
      </c>
      <c r="N265" s="152">
        <f t="shared" si="448"/>
        <v>8.9867817037754101</v>
      </c>
      <c r="O265" s="152">
        <f t="shared" si="478"/>
        <v>3.6749999999999998</v>
      </c>
      <c r="P265" s="191">
        <f t="shared" si="449"/>
        <v>0.59911878025169396</v>
      </c>
      <c r="Q265" s="191">
        <f t="shared" si="450"/>
        <v>15</v>
      </c>
      <c r="R265" s="191"/>
      <c r="S265" s="152">
        <f t="shared" si="451"/>
        <v>72.012982782589702</v>
      </c>
      <c r="T265" s="152">
        <f t="shared" si="452"/>
        <v>15</v>
      </c>
      <c r="U265" s="191">
        <f t="shared" si="453"/>
        <v>1.6943496016603063</v>
      </c>
      <c r="V265" s="191">
        <f t="shared" si="454"/>
        <v>1.1730112626879046</v>
      </c>
      <c r="W265" s="191">
        <f t="shared" si="455"/>
        <v>1.9907501847183757</v>
      </c>
      <c r="X265" s="175">
        <f t="shared" si="456"/>
        <v>350</v>
      </c>
      <c r="Y265" s="386">
        <f t="shared" si="418"/>
        <v>316.0794568818776</v>
      </c>
      <c r="AA265" s="191">
        <f t="shared" si="457"/>
        <v>1.530140291030901</v>
      </c>
      <c r="AB265" s="153">
        <f t="shared" si="458"/>
        <v>1.7978149633522336</v>
      </c>
      <c r="AC265" s="153">
        <f t="shared" si="459"/>
        <v>0.24070454723380583</v>
      </c>
      <c r="AD265" s="153"/>
      <c r="AE265" s="153">
        <f t="shared" si="460"/>
        <v>0.96344647519582249</v>
      </c>
      <c r="AF265" s="317">
        <f t="shared" si="461"/>
        <v>1240.4653314825832</v>
      </c>
      <c r="AG265" s="463">
        <f t="shared" si="462"/>
        <v>6.9127284595300251E-2</v>
      </c>
      <c r="AI265" s="153">
        <f t="shared" si="463"/>
        <v>1.5437328496573204</v>
      </c>
      <c r="AJ265" s="153">
        <f t="shared" si="464"/>
        <v>1.6943496016603063</v>
      </c>
      <c r="AK265" s="153">
        <f t="shared" si="465"/>
        <v>1.7828997344402042</v>
      </c>
      <c r="AM265" s="317">
        <f t="shared" si="466"/>
        <v>245</v>
      </c>
      <c r="AN265" s="147">
        <f t="shared" si="467"/>
        <v>316.0794568818776</v>
      </c>
      <c r="AP265">
        <f t="shared" si="468"/>
        <v>245</v>
      </c>
      <c r="AQ265">
        <f t="shared" si="469"/>
        <v>316.0794568818776</v>
      </c>
      <c r="AS265" s="5">
        <f t="shared" si="479"/>
        <v>3.1637614474062801</v>
      </c>
      <c r="AT265" s="5">
        <f t="shared" si="470"/>
        <v>1.1730112626879046</v>
      </c>
      <c r="AU265" s="5">
        <f t="shared" si="440"/>
        <v>1.9907501847183755</v>
      </c>
      <c r="AV265" s="5"/>
      <c r="AW265" s="153">
        <f t="shared" si="441"/>
        <v>0.37076476282671833</v>
      </c>
      <c r="AX265" s="153"/>
      <c r="BA265" s="147">
        <f t="shared" si="471"/>
        <v>15.792961674237105</v>
      </c>
      <c r="BB265" s="147">
        <f t="shared" si="472"/>
        <v>4.1533238740828402</v>
      </c>
      <c r="BC265" s="5">
        <f t="shared" si="442"/>
        <v>1.1266661937075582</v>
      </c>
      <c r="BD265" s="147">
        <f t="shared" si="473"/>
        <v>0</v>
      </c>
      <c r="BQ265" s="463">
        <f t="shared" si="474"/>
        <v>9.3590000000000007E-2</v>
      </c>
      <c r="CG265" s="59">
        <f t="shared" si="475"/>
        <v>-50</v>
      </c>
      <c r="CH265">
        <f t="shared" si="476"/>
        <v>-50</v>
      </c>
    </row>
    <row r="266" spans="5:86" x14ac:dyDescent="0.25">
      <c r="E266" s="150">
        <v>50</v>
      </c>
      <c r="F266" s="191">
        <f t="shared" si="477"/>
        <v>0.25</v>
      </c>
      <c r="G266" s="191"/>
      <c r="H266" s="191">
        <f t="shared" si="443"/>
        <v>3.75</v>
      </c>
      <c r="I266" s="472">
        <f t="shared" si="444"/>
        <v>13</v>
      </c>
      <c r="J266" s="386">
        <f t="shared" si="445"/>
        <v>7.66</v>
      </c>
      <c r="K266" s="386">
        <f t="shared" si="446"/>
        <v>20.66</v>
      </c>
      <c r="L266" s="386"/>
      <c r="M266" s="191">
        <f t="shared" si="447"/>
        <v>0.37076476282671827</v>
      </c>
      <c r="N266" s="152">
        <f t="shared" si="448"/>
        <v>8.9867817037754101</v>
      </c>
      <c r="O266" s="152">
        <f t="shared" si="478"/>
        <v>3.75</v>
      </c>
      <c r="P266" s="191">
        <f t="shared" si="449"/>
        <v>0.59911878025169396</v>
      </c>
      <c r="Q266" s="191">
        <f t="shared" si="450"/>
        <v>15</v>
      </c>
      <c r="R266" s="191"/>
      <c r="S266" s="152">
        <f t="shared" si="451"/>
        <v>70.05821839469337</v>
      </c>
      <c r="T266" s="152">
        <f t="shared" si="452"/>
        <v>15</v>
      </c>
      <c r="U266" s="191">
        <f t="shared" si="453"/>
        <v>1.7289281649594965</v>
      </c>
      <c r="V266" s="191">
        <f t="shared" si="454"/>
        <v>1.1969502680488822</v>
      </c>
      <c r="W266" s="191">
        <f t="shared" si="455"/>
        <v>2.0313777395085473</v>
      </c>
      <c r="X266" s="175">
        <f t="shared" si="456"/>
        <v>350</v>
      </c>
      <c r="Y266" s="386">
        <f t="shared" si="418"/>
        <v>309.75786774423995</v>
      </c>
      <c r="AA266" s="191">
        <f t="shared" si="457"/>
        <v>1.530140291030901</v>
      </c>
      <c r="AB266" s="153">
        <f t="shared" si="458"/>
        <v>1.7978149633522336</v>
      </c>
      <c r="AC266" s="153">
        <f t="shared" si="459"/>
        <v>0.24070454723380583</v>
      </c>
      <c r="AD266" s="153"/>
      <c r="AE266" s="153">
        <f t="shared" si="460"/>
        <v>0.96344647519582249</v>
      </c>
      <c r="AF266" s="317">
        <f t="shared" si="461"/>
        <v>1265.7809504924319</v>
      </c>
      <c r="AG266" s="463">
        <f t="shared" si="462"/>
        <v>6.9127284595300251E-2</v>
      </c>
      <c r="AI266" s="153">
        <f t="shared" si="463"/>
        <v>1.5594056661901776</v>
      </c>
      <c r="AJ266" s="153">
        <f t="shared" si="464"/>
        <v>1.7289281649594965</v>
      </c>
      <c r="AK266" s="153">
        <f t="shared" si="465"/>
        <v>1.8059521099729978</v>
      </c>
      <c r="AM266" s="317">
        <f t="shared" si="466"/>
        <v>250</v>
      </c>
      <c r="AN266" s="147">
        <f t="shared" si="467"/>
        <v>309.75786774423995</v>
      </c>
      <c r="AP266">
        <f t="shared" si="468"/>
        <v>250</v>
      </c>
      <c r="AQ266">
        <f t="shared" si="469"/>
        <v>309.75786774423995</v>
      </c>
      <c r="AS266" s="5">
        <f t="shared" si="479"/>
        <v>3.2283280075574297</v>
      </c>
      <c r="AT266" s="5">
        <f t="shared" si="470"/>
        <v>1.1969502680488822</v>
      </c>
      <c r="AU266" s="5">
        <f t="shared" si="440"/>
        <v>2.0313777395085477</v>
      </c>
      <c r="AV266" s="5"/>
      <c r="AW266" s="153">
        <f t="shared" si="441"/>
        <v>0.37076476282671822</v>
      </c>
      <c r="AX266" s="153"/>
      <c r="BA266" s="147">
        <f t="shared" si="471"/>
        <v>15.792961674237105</v>
      </c>
      <c r="BB266" s="147">
        <f t="shared" si="472"/>
        <v>4.3092710059171599</v>
      </c>
      <c r="BC266" s="5">
        <f t="shared" si="442"/>
        <v>1.1731218176880041</v>
      </c>
      <c r="BD266" s="147">
        <f t="shared" si="473"/>
        <v>0</v>
      </c>
      <c r="BQ266" s="463">
        <f t="shared" si="474"/>
        <v>9.5500000000000002E-2</v>
      </c>
      <c r="CG266" s="59">
        <f t="shared" si="475"/>
        <v>-50</v>
      </c>
      <c r="CH266">
        <f t="shared" si="476"/>
        <v>-50</v>
      </c>
    </row>
    <row r="267" spans="5:86" x14ac:dyDescent="0.25">
      <c r="E267" s="150">
        <v>51</v>
      </c>
      <c r="F267" s="191">
        <f t="shared" si="477"/>
        <v>0.255</v>
      </c>
      <c r="G267" s="191"/>
      <c r="H267" s="191">
        <f t="shared" si="443"/>
        <v>3.8250000000000002</v>
      </c>
      <c r="I267" s="472">
        <f t="shared" si="444"/>
        <v>13</v>
      </c>
      <c r="J267" s="386">
        <f t="shared" si="445"/>
        <v>7.66</v>
      </c>
      <c r="K267" s="386">
        <f t="shared" si="446"/>
        <v>20.66</v>
      </c>
      <c r="L267" s="386"/>
      <c r="M267" s="191">
        <f t="shared" si="447"/>
        <v>0.37076476282671827</v>
      </c>
      <c r="N267" s="152">
        <f t="shared" si="448"/>
        <v>8.9867817037754101</v>
      </c>
      <c r="O267" s="152">
        <f t="shared" si="478"/>
        <v>3.8250000000000002</v>
      </c>
      <c r="P267" s="191">
        <f t="shared" si="449"/>
        <v>0.59911878025169396</v>
      </c>
      <c r="Q267" s="191">
        <f t="shared" si="450"/>
        <v>15</v>
      </c>
      <c r="R267" s="191"/>
      <c r="S267" s="152">
        <f t="shared" si="451"/>
        <v>68.180282881840313</v>
      </c>
      <c r="T267" s="152">
        <f t="shared" si="452"/>
        <v>15</v>
      </c>
      <c r="U267" s="191">
        <f t="shared" si="453"/>
        <v>1.7635067282586865</v>
      </c>
      <c r="V267" s="191">
        <f t="shared" si="454"/>
        <v>1.22088927340986</v>
      </c>
      <c r="W267" s="191">
        <f t="shared" si="455"/>
        <v>2.0720052942987177</v>
      </c>
      <c r="X267" s="175">
        <f t="shared" si="456"/>
        <v>350</v>
      </c>
      <c r="Y267" s="386">
        <f t="shared" si="418"/>
        <v>303.68418406298042</v>
      </c>
      <c r="AA267" s="191">
        <f t="shared" si="457"/>
        <v>1.530140291030901</v>
      </c>
      <c r="AB267" s="153">
        <f t="shared" si="458"/>
        <v>1.7978149633522336</v>
      </c>
      <c r="AC267" s="153">
        <f t="shared" si="459"/>
        <v>0.24070454723380583</v>
      </c>
      <c r="AD267" s="153"/>
      <c r="AE267" s="153">
        <f t="shared" si="460"/>
        <v>0.96344647519582249</v>
      </c>
      <c r="AF267" s="317">
        <f t="shared" si="461"/>
        <v>1291.0965695022805</v>
      </c>
      <c r="AG267" s="463">
        <f t="shared" si="462"/>
        <v>6.9127284595300251E-2</v>
      </c>
      <c r="AI267" s="153">
        <f t="shared" si="463"/>
        <v>1.5749225226597505</v>
      </c>
      <c r="AJ267" s="153">
        <f t="shared" si="464"/>
        <v>1.7635067282586865</v>
      </c>
      <c r="AK267" s="153">
        <f t="shared" si="465"/>
        <v>1.829004485505791</v>
      </c>
      <c r="AM267" s="317">
        <f t="shared" si="466"/>
        <v>255</v>
      </c>
      <c r="AN267" s="147">
        <f t="shared" si="467"/>
        <v>303.68418406298042</v>
      </c>
      <c r="AP267">
        <f t="shared" si="468"/>
        <v>255</v>
      </c>
      <c r="AQ267">
        <f t="shared" si="469"/>
        <v>303.68418406298042</v>
      </c>
      <c r="AS267" s="5">
        <f t="shared" si="479"/>
        <v>3.2928945677085775</v>
      </c>
      <c r="AT267" s="5">
        <f t="shared" si="470"/>
        <v>1.22088927340986</v>
      </c>
      <c r="AU267" s="5">
        <f t="shared" si="440"/>
        <v>2.0720052942987177</v>
      </c>
      <c r="AV267" s="5"/>
      <c r="AW267" s="153">
        <f t="shared" si="441"/>
        <v>0.37076476282671833</v>
      </c>
      <c r="AX267" s="153"/>
      <c r="BA267" s="147">
        <f t="shared" si="471"/>
        <v>15.792961674237105</v>
      </c>
      <c r="BB267" s="147">
        <f t="shared" si="472"/>
        <v>4.4680655545562127</v>
      </c>
      <c r="BC267" s="5">
        <f t="shared" si="442"/>
        <v>1.2205159391225988</v>
      </c>
      <c r="BD267" s="147">
        <f t="shared" si="473"/>
        <v>0</v>
      </c>
      <c r="BQ267" s="463">
        <f t="shared" si="474"/>
        <v>9.7409999999999997E-2</v>
      </c>
      <c r="CG267" s="59">
        <f t="shared" si="475"/>
        <v>-50</v>
      </c>
      <c r="CH267">
        <f t="shared" si="476"/>
        <v>-50</v>
      </c>
    </row>
    <row r="268" spans="5:86" x14ac:dyDescent="0.25">
      <c r="E268" s="150">
        <v>52</v>
      </c>
      <c r="F268" s="191">
        <f t="shared" si="477"/>
        <v>0.26</v>
      </c>
      <c r="G268" s="191"/>
      <c r="H268" s="191">
        <f t="shared" si="443"/>
        <v>3.9000000000000004</v>
      </c>
      <c r="I268" s="472">
        <f t="shared" si="444"/>
        <v>13</v>
      </c>
      <c r="J268" s="386">
        <f t="shared" si="445"/>
        <v>7.66</v>
      </c>
      <c r="K268" s="386">
        <f t="shared" si="446"/>
        <v>20.66</v>
      </c>
      <c r="L268" s="386"/>
      <c r="M268" s="191">
        <f t="shared" si="447"/>
        <v>0.37076476282671827</v>
      </c>
      <c r="N268" s="152">
        <f t="shared" si="448"/>
        <v>8.9867817037754101</v>
      </c>
      <c r="O268" s="152">
        <f t="shared" si="478"/>
        <v>3.9000000000000004</v>
      </c>
      <c r="P268" s="191">
        <f t="shared" si="449"/>
        <v>0.59911878025169396</v>
      </c>
      <c r="Q268" s="191">
        <f t="shared" si="450"/>
        <v>15</v>
      </c>
      <c r="R268" s="191"/>
      <c r="S268" s="152">
        <f t="shared" si="451"/>
        <v>66.374747454897047</v>
      </c>
      <c r="T268" s="152">
        <f t="shared" si="452"/>
        <v>15</v>
      </c>
      <c r="U268" s="191">
        <f t="shared" si="453"/>
        <v>1.7980852915578764</v>
      </c>
      <c r="V268" s="191">
        <f t="shared" si="454"/>
        <v>1.2448282787708376</v>
      </c>
      <c r="W268" s="191">
        <f t="shared" si="455"/>
        <v>2.112632849088889</v>
      </c>
      <c r="X268" s="175">
        <f t="shared" si="456"/>
        <v>350</v>
      </c>
      <c r="Y268" s="386">
        <f t="shared" si="418"/>
        <v>297.84410360023071</v>
      </c>
      <c r="AA268" s="191">
        <f t="shared" si="457"/>
        <v>1.530140291030901</v>
      </c>
      <c r="AB268" s="153">
        <f t="shared" si="458"/>
        <v>1.7978149633522336</v>
      </c>
      <c r="AC268" s="153">
        <f t="shared" si="459"/>
        <v>0.24070454723380583</v>
      </c>
      <c r="AD268" s="153"/>
      <c r="AE268" s="153">
        <f t="shared" si="460"/>
        <v>0.96344647519582249</v>
      </c>
      <c r="AF268" s="317">
        <f t="shared" si="461"/>
        <v>1316.4121885121292</v>
      </c>
      <c r="AG268" s="463">
        <f t="shared" si="462"/>
        <v>6.9127284595300251E-2</v>
      </c>
      <c r="AI268" s="153">
        <f t="shared" si="463"/>
        <v>1.5902879843021744</v>
      </c>
      <c r="AJ268" s="153">
        <f t="shared" si="464"/>
        <v>1.7980852915578764</v>
      </c>
      <c r="AK268" s="153">
        <f t="shared" si="465"/>
        <v>1.8520568610385844</v>
      </c>
      <c r="AM268" s="317">
        <f t="shared" si="466"/>
        <v>260</v>
      </c>
      <c r="AN268" s="147">
        <f t="shared" si="467"/>
        <v>297.84410360023071</v>
      </c>
      <c r="AP268">
        <f t="shared" si="468"/>
        <v>260</v>
      </c>
      <c r="AQ268">
        <f t="shared" si="469"/>
        <v>297.84410360023071</v>
      </c>
      <c r="AS268" s="5">
        <f t="shared" si="479"/>
        <v>3.3574611278597271</v>
      </c>
      <c r="AT268" s="5">
        <f t="shared" si="470"/>
        <v>1.2448282787708376</v>
      </c>
      <c r="AU268" s="5">
        <f t="shared" si="440"/>
        <v>2.1126328490888895</v>
      </c>
      <c r="AV268" s="5"/>
      <c r="AW268" s="153">
        <f t="shared" si="441"/>
        <v>0.37076476282671822</v>
      </c>
      <c r="AX268" s="153"/>
      <c r="BA268" s="147">
        <f t="shared" si="471"/>
        <v>15.792961674237105</v>
      </c>
      <c r="BB268" s="147">
        <f t="shared" si="472"/>
        <v>4.6297075200000002</v>
      </c>
      <c r="BC268" s="5">
        <f t="shared" si="442"/>
        <v>1.2688485580113451</v>
      </c>
      <c r="BD268" s="147">
        <f t="shared" si="473"/>
        <v>0</v>
      </c>
      <c r="BQ268" s="463">
        <f t="shared" si="474"/>
        <v>9.9320000000000006E-2</v>
      </c>
      <c r="CG268" s="59">
        <f t="shared" si="475"/>
        <v>-50</v>
      </c>
      <c r="CH268">
        <f t="shared" si="476"/>
        <v>-50</v>
      </c>
    </row>
    <row r="269" spans="5:86" x14ac:dyDescent="0.25">
      <c r="E269" s="150">
        <v>53</v>
      </c>
      <c r="F269" s="191">
        <f t="shared" si="477"/>
        <v>0.26500000000000001</v>
      </c>
      <c r="G269" s="191"/>
      <c r="H269" s="191">
        <f t="shared" si="443"/>
        <v>3.9750000000000001</v>
      </c>
      <c r="I269" s="472">
        <f t="shared" si="444"/>
        <v>13</v>
      </c>
      <c r="J269" s="386">
        <f t="shared" si="445"/>
        <v>7.66</v>
      </c>
      <c r="K269" s="386">
        <f t="shared" si="446"/>
        <v>20.66</v>
      </c>
      <c r="L269" s="386"/>
      <c r="M269" s="191">
        <f t="shared" si="447"/>
        <v>0.37076476282671827</v>
      </c>
      <c r="N269" s="152">
        <f t="shared" si="448"/>
        <v>8.9867817037754101</v>
      </c>
      <c r="O269" s="152">
        <f t="shared" si="478"/>
        <v>3.9750000000000001</v>
      </c>
      <c r="P269" s="191">
        <f t="shared" si="449"/>
        <v>0.59911878025169396</v>
      </c>
      <c r="Q269" s="191">
        <f t="shared" si="450"/>
        <v>15</v>
      </c>
      <c r="R269" s="191"/>
      <c r="S269" s="152">
        <f t="shared" si="451"/>
        <v>64.637517674478858</v>
      </c>
      <c r="T269" s="152">
        <f t="shared" si="452"/>
        <v>15</v>
      </c>
      <c r="U269" s="191">
        <f t="shared" si="453"/>
        <v>1.8326638548570662</v>
      </c>
      <c r="V269" s="191">
        <f t="shared" si="454"/>
        <v>1.2687672841318152</v>
      </c>
      <c r="W269" s="191">
        <f t="shared" si="455"/>
        <v>2.1532604038790595</v>
      </c>
      <c r="X269" s="175">
        <f t="shared" si="456"/>
        <v>350</v>
      </c>
      <c r="Y269" s="386">
        <f t="shared" si="418"/>
        <v>292.22440353230189</v>
      </c>
      <c r="AA269" s="191">
        <f t="shared" si="457"/>
        <v>1.530140291030901</v>
      </c>
      <c r="AB269" s="153">
        <f t="shared" si="458"/>
        <v>1.7978149633522336</v>
      </c>
      <c r="AC269" s="153">
        <f t="shared" si="459"/>
        <v>0.24070454723380583</v>
      </c>
      <c r="AD269" s="153"/>
      <c r="AE269" s="153">
        <f t="shared" si="460"/>
        <v>0.96344647519582249</v>
      </c>
      <c r="AF269" s="317">
        <f t="shared" si="461"/>
        <v>1341.7278075219779</v>
      </c>
      <c r="AG269" s="463">
        <f t="shared" si="462"/>
        <v>6.9127284595300251E-2</v>
      </c>
      <c r="AI269" s="153">
        <f t="shared" si="463"/>
        <v>1.6055063978853505</v>
      </c>
      <c r="AJ269" s="153">
        <f t="shared" si="464"/>
        <v>1.8326638548570662</v>
      </c>
      <c r="AK269" s="153">
        <f t="shared" si="465"/>
        <v>1.8751092365713775</v>
      </c>
      <c r="AM269" s="317">
        <f t="shared" si="466"/>
        <v>265</v>
      </c>
      <c r="AN269" s="147">
        <f t="shared" si="467"/>
        <v>292.22440353230189</v>
      </c>
      <c r="AP269">
        <f t="shared" si="468"/>
        <v>265</v>
      </c>
      <c r="AQ269">
        <f t="shared" si="469"/>
        <v>292.22440353230189</v>
      </c>
      <c r="AS269" s="5">
        <f t="shared" si="479"/>
        <v>3.4220276880108749</v>
      </c>
      <c r="AT269" s="5">
        <f t="shared" si="470"/>
        <v>1.2687672841318152</v>
      </c>
      <c r="AU269" s="5">
        <f t="shared" si="440"/>
        <v>2.1532604038790595</v>
      </c>
      <c r="AV269" s="5"/>
      <c r="AW269" s="153">
        <f t="shared" si="441"/>
        <v>0.37076476282671827</v>
      </c>
      <c r="AX269" s="153"/>
      <c r="BA269" s="147">
        <f t="shared" si="471"/>
        <v>15.792961674237105</v>
      </c>
      <c r="BB269" s="147">
        <f t="shared" si="472"/>
        <v>4.7941969022485216</v>
      </c>
      <c r="BC269" s="5">
        <f t="shared" si="442"/>
        <v>1.3181196743542405</v>
      </c>
      <c r="BD269" s="147">
        <f t="shared" si="473"/>
        <v>0</v>
      </c>
      <c r="BQ269" s="463">
        <f t="shared" si="474"/>
        <v>0.10123</v>
      </c>
      <c r="CG269" s="59">
        <f t="shared" si="475"/>
        <v>-50</v>
      </c>
      <c r="CH269">
        <f t="shared" si="476"/>
        <v>-50</v>
      </c>
    </row>
    <row r="270" spans="5:86" x14ac:dyDescent="0.25">
      <c r="E270" s="150">
        <v>54</v>
      </c>
      <c r="F270" s="191">
        <f t="shared" si="477"/>
        <v>0.27</v>
      </c>
      <c r="G270" s="191"/>
      <c r="H270" s="191">
        <f t="shared" si="443"/>
        <v>4.0500000000000007</v>
      </c>
      <c r="I270" s="472">
        <f t="shared" si="444"/>
        <v>13</v>
      </c>
      <c r="J270" s="386">
        <f t="shared" si="445"/>
        <v>7.66</v>
      </c>
      <c r="K270" s="386">
        <f t="shared" si="446"/>
        <v>20.66</v>
      </c>
      <c r="L270" s="386"/>
      <c r="M270" s="191">
        <f t="shared" si="447"/>
        <v>0.37076476282671827</v>
      </c>
      <c r="N270" s="152">
        <f t="shared" si="448"/>
        <v>8.9867817037754101</v>
      </c>
      <c r="O270" s="152">
        <f t="shared" si="478"/>
        <v>4.0500000000000007</v>
      </c>
      <c r="P270" s="191">
        <f t="shared" si="449"/>
        <v>0.59911878025169396</v>
      </c>
      <c r="Q270" s="191">
        <f t="shared" si="450"/>
        <v>15</v>
      </c>
      <c r="R270" s="191"/>
      <c r="S270" s="152">
        <f t="shared" si="451"/>
        <v>62.964802496099743</v>
      </c>
      <c r="T270" s="152">
        <f t="shared" si="452"/>
        <v>15</v>
      </c>
      <c r="U270" s="191">
        <f t="shared" si="453"/>
        <v>1.8672424181562564</v>
      </c>
      <c r="V270" s="191">
        <f t="shared" si="454"/>
        <v>1.292706289492793</v>
      </c>
      <c r="W270" s="191">
        <f t="shared" si="455"/>
        <v>2.1938879586692304</v>
      </c>
      <c r="X270" s="175">
        <f t="shared" si="456"/>
        <v>350</v>
      </c>
      <c r="Y270" s="386">
        <f t="shared" si="418"/>
        <v>286.81284050392594</v>
      </c>
      <c r="AA270" s="191">
        <f t="shared" si="457"/>
        <v>1.530140291030901</v>
      </c>
      <c r="AB270" s="153">
        <f t="shared" si="458"/>
        <v>1.7978149633522336</v>
      </c>
      <c r="AC270" s="153">
        <f t="shared" si="459"/>
        <v>0.24070454723380583</v>
      </c>
      <c r="AD270" s="153"/>
      <c r="AE270" s="153">
        <f t="shared" si="460"/>
        <v>0.96344647519582249</v>
      </c>
      <c r="AF270" s="317">
        <f t="shared" si="461"/>
        <v>1367.0434265318265</v>
      </c>
      <c r="AG270" s="463">
        <f t="shared" si="462"/>
        <v>6.9127284595300251E-2</v>
      </c>
      <c r="AI270" s="153">
        <f t="shared" si="463"/>
        <v>1.6205819060713083</v>
      </c>
      <c r="AJ270" s="153">
        <f t="shared" si="464"/>
        <v>1.8672424181562564</v>
      </c>
      <c r="AK270" s="153">
        <f t="shared" si="465"/>
        <v>1.8981616121041711</v>
      </c>
      <c r="AM270" s="317">
        <f t="shared" si="466"/>
        <v>270</v>
      </c>
      <c r="AN270" s="147">
        <f t="shared" si="467"/>
        <v>286.81284050392594</v>
      </c>
      <c r="AP270">
        <f t="shared" si="468"/>
        <v>270</v>
      </c>
      <c r="AQ270">
        <f t="shared" si="469"/>
        <v>286.81284050392594</v>
      </c>
      <c r="AS270" s="5">
        <f t="shared" si="479"/>
        <v>3.4865942481620236</v>
      </c>
      <c r="AT270" s="5">
        <f t="shared" si="470"/>
        <v>1.292706289492793</v>
      </c>
      <c r="AU270" s="5">
        <f t="shared" si="440"/>
        <v>2.1938879586692304</v>
      </c>
      <c r="AV270" s="5"/>
      <c r="AW270" s="153">
        <f t="shared" si="441"/>
        <v>0.37076476282671833</v>
      </c>
      <c r="AX270" s="153"/>
      <c r="BA270" s="147">
        <f t="shared" si="471"/>
        <v>15.792961674237105</v>
      </c>
      <c r="BB270" s="147">
        <f t="shared" si="472"/>
        <v>4.9615337013017751</v>
      </c>
      <c r="BC270" s="5">
        <f t="shared" si="442"/>
        <v>1.3683292881512872</v>
      </c>
      <c r="BD270" s="147">
        <f t="shared" si="473"/>
        <v>0</v>
      </c>
      <c r="BQ270" s="463">
        <f t="shared" si="474"/>
        <v>0.10314000000000001</v>
      </c>
      <c r="CG270" s="59">
        <f t="shared" si="475"/>
        <v>-50</v>
      </c>
      <c r="CH270">
        <f t="shared" si="476"/>
        <v>-50</v>
      </c>
    </row>
    <row r="271" spans="5:86" x14ac:dyDescent="0.25">
      <c r="E271" s="150">
        <v>55</v>
      </c>
      <c r="F271" s="191">
        <f t="shared" si="477"/>
        <v>0.27500000000000002</v>
      </c>
      <c r="G271" s="191"/>
      <c r="H271" s="191">
        <f t="shared" si="443"/>
        <v>4.125</v>
      </c>
      <c r="I271" s="472">
        <f t="shared" si="444"/>
        <v>13</v>
      </c>
      <c r="J271" s="386">
        <f t="shared" si="445"/>
        <v>7.66</v>
      </c>
      <c r="K271" s="386">
        <f t="shared" si="446"/>
        <v>20.66</v>
      </c>
      <c r="L271" s="386"/>
      <c r="M271" s="191">
        <f t="shared" si="447"/>
        <v>0.37076476282671827</v>
      </c>
      <c r="N271" s="152">
        <f t="shared" si="448"/>
        <v>8.9867817037754101</v>
      </c>
      <c r="O271" s="152">
        <f t="shared" si="478"/>
        <v>4.125</v>
      </c>
      <c r="P271" s="191">
        <f t="shared" si="449"/>
        <v>0.59911878025169396</v>
      </c>
      <c r="Q271" s="191">
        <f t="shared" si="450"/>
        <v>15</v>
      </c>
      <c r="R271" s="191"/>
      <c r="S271" s="152">
        <f t="shared" si="451"/>
        <v>61.353086692353315</v>
      </c>
      <c r="T271" s="152">
        <f t="shared" si="452"/>
        <v>15</v>
      </c>
      <c r="U271" s="191">
        <f t="shared" si="453"/>
        <v>1.9018209814554461</v>
      </c>
      <c r="V271" s="191">
        <f t="shared" si="454"/>
        <v>1.3166452948537704</v>
      </c>
      <c r="W271" s="191">
        <f t="shared" si="455"/>
        <v>2.2345155134594017</v>
      </c>
      <c r="X271" s="175">
        <f t="shared" si="456"/>
        <v>350</v>
      </c>
      <c r="Y271" s="386">
        <f t="shared" si="418"/>
        <v>281.59806158567272</v>
      </c>
      <c r="AA271" s="191">
        <f t="shared" si="457"/>
        <v>1.530140291030901</v>
      </c>
      <c r="AB271" s="153">
        <f t="shared" si="458"/>
        <v>1.7978149633522336</v>
      </c>
      <c r="AC271" s="153">
        <f t="shared" si="459"/>
        <v>0.24070454723380583</v>
      </c>
      <c r="AD271" s="153"/>
      <c r="AE271" s="153">
        <f t="shared" si="460"/>
        <v>0.96344647519582249</v>
      </c>
      <c r="AF271" s="317">
        <f t="shared" si="461"/>
        <v>1392.3590455416752</v>
      </c>
      <c r="AG271" s="463">
        <f t="shared" si="462"/>
        <v>6.9127284595300251E-2</v>
      </c>
      <c r="AI271" s="153">
        <f t="shared" si="463"/>
        <v>1.635518460586928</v>
      </c>
      <c r="AJ271" s="153">
        <f t="shared" si="464"/>
        <v>1.9018209814554461</v>
      </c>
      <c r="AK271" s="153">
        <f t="shared" si="465"/>
        <v>1.9212139876369643</v>
      </c>
      <c r="AM271" s="317">
        <f t="shared" si="466"/>
        <v>275</v>
      </c>
      <c r="AN271" s="147">
        <f t="shared" si="467"/>
        <v>281.59806158567272</v>
      </c>
      <c r="AP271">
        <f t="shared" si="468"/>
        <v>275</v>
      </c>
      <c r="AQ271">
        <f t="shared" si="469"/>
        <v>281.59806158567272</v>
      </c>
      <c r="AS271" s="5">
        <f t="shared" si="479"/>
        <v>3.5511608083131723</v>
      </c>
      <c r="AT271" s="5">
        <f t="shared" si="470"/>
        <v>1.3166452948537704</v>
      </c>
      <c r="AU271" s="5">
        <f t="shared" si="440"/>
        <v>2.2345155134594021</v>
      </c>
      <c r="AV271" s="5"/>
      <c r="AW271" s="153">
        <f t="shared" si="441"/>
        <v>0.37076476282671822</v>
      </c>
      <c r="AX271" s="153"/>
      <c r="BA271" s="147">
        <f t="shared" si="471"/>
        <v>15.792961674237105</v>
      </c>
      <c r="BB271" s="147">
        <f t="shared" si="472"/>
        <v>5.1317179171597642</v>
      </c>
      <c r="BC271" s="5">
        <f t="shared" si="442"/>
        <v>1.4194773994024845</v>
      </c>
      <c r="BD271" s="147">
        <f t="shared" si="473"/>
        <v>0</v>
      </c>
      <c r="BQ271" s="463">
        <f t="shared" si="474"/>
        <v>0.10505</v>
      </c>
      <c r="CG271" s="59">
        <f t="shared" si="475"/>
        <v>-50</v>
      </c>
      <c r="CH271">
        <f t="shared" si="476"/>
        <v>-50</v>
      </c>
    </row>
    <row r="272" spans="5:86" x14ac:dyDescent="0.25">
      <c r="E272" s="150">
        <v>56</v>
      </c>
      <c r="F272" s="191">
        <f t="shared" si="477"/>
        <v>0.28000000000000003</v>
      </c>
      <c r="G272" s="191"/>
      <c r="H272" s="191">
        <f t="shared" si="443"/>
        <v>4.2</v>
      </c>
      <c r="I272" s="472">
        <f t="shared" si="444"/>
        <v>13</v>
      </c>
      <c r="J272" s="386">
        <f t="shared" si="445"/>
        <v>7.66</v>
      </c>
      <c r="K272" s="386">
        <f t="shared" si="446"/>
        <v>20.66</v>
      </c>
      <c r="L272" s="386"/>
      <c r="M272" s="191">
        <f t="shared" si="447"/>
        <v>0.37076476282671827</v>
      </c>
      <c r="N272" s="152">
        <f t="shared" si="448"/>
        <v>8.9867817037754101</v>
      </c>
      <c r="O272" s="152">
        <f t="shared" si="478"/>
        <v>4.2</v>
      </c>
      <c r="P272" s="191">
        <f t="shared" si="449"/>
        <v>0.59911878025169396</v>
      </c>
      <c r="Q272" s="191">
        <f t="shared" si="450"/>
        <v>15</v>
      </c>
      <c r="R272" s="191"/>
      <c r="S272" s="152">
        <f t="shared" si="451"/>
        <v>59.799106230001833</v>
      </c>
      <c r="T272" s="152">
        <f t="shared" si="452"/>
        <v>15</v>
      </c>
      <c r="U272" s="191">
        <f t="shared" si="453"/>
        <v>1.936399544754636</v>
      </c>
      <c r="V272" s="191">
        <f t="shared" si="454"/>
        <v>1.3405843002147482</v>
      </c>
      <c r="W272" s="191">
        <f t="shared" si="455"/>
        <v>2.2751430682495721</v>
      </c>
      <c r="X272" s="175">
        <f t="shared" si="456"/>
        <v>350</v>
      </c>
      <c r="Y272" s="386">
        <f t="shared" si="418"/>
        <v>276.56952477164293</v>
      </c>
      <c r="AA272" s="191">
        <f t="shared" si="457"/>
        <v>1.530140291030901</v>
      </c>
      <c r="AB272" s="153">
        <f t="shared" si="458"/>
        <v>1.7978149633522336</v>
      </c>
      <c r="AC272" s="153">
        <f t="shared" si="459"/>
        <v>0.24070454723380583</v>
      </c>
      <c r="AD272" s="153"/>
      <c r="AE272" s="153">
        <f t="shared" si="460"/>
        <v>0.96344647519582249</v>
      </c>
      <c r="AF272" s="317">
        <f t="shared" si="461"/>
        <v>1417.6746645515238</v>
      </c>
      <c r="AG272" s="463">
        <f t="shared" si="462"/>
        <v>6.9127284595300251E-2</v>
      </c>
      <c r="AI272" s="153">
        <f t="shared" si="463"/>
        <v>1.6503198343216856</v>
      </c>
      <c r="AJ272" s="153">
        <f t="shared" si="464"/>
        <v>1.936399544754636</v>
      </c>
      <c r="AK272" s="153">
        <f t="shared" si="465"/>
        <v>1.9442663631697574</v>
      </c>
      <c r="AM272" s="317">
        <f t="shared" si="466"/>
        <v>280</v>
      </c>
      <c r="AN272" s="147">
        <f t="shared" si="467"/>
        <v>276.56952477164293</v>
      </c>
      <c r="AP272">
        <f t="shared" si="468"/>
        <v>280</v>
      </c>
      <c r="AQ272">
        <f t="shared" si="469"/>
        <v>276.56952477164293</v>
      </c>
      <c r="AS272" s="5">
        <f t="shared" si="479"/>
        <v>3.6157273684643196</v>
      </c>
      <c r="AT272" s="5">
        <f t="shared" si="470"/>
        <v>1.3405843002147482</v>
      </c>
      <c r="AU272" s="5">
        <f t="shared" si="440"/>
        <v>2.2751430682495712</v>
      </c>
      <c r="AV272" s="5"/>
      <c r="AW272" s="153">
        <f t="shared" si="441"/>
        <v>0.37076476282671844</v>
      </c>
      <c r="AX272" s="153"/>
      <c r="BA272" s="147">
        <f t="shared" si="471"/>
        <v>15.792961674237105</v>
      </c>
      <c r="BB272" s="147">
        <f t="shared" si="472"/>
        <v>5.3047495498224855</v>
      </c>
      <c r="BC272" s="5">
        <f t="shared" si="442"/>
        <v>1.4715640081078307</v>
      </c>
      <c r="BD272" s="147">
        <f t="shared" si="473"/>
        <v>0</v>
      </c>
      <c r="BQ272" s="463">
        <f t="shared" si="474"/>
        <v>0.10696000000000001</v>
      </c>
      <c r="CG272" s="59">
        <f t="shared" si="475"/>
        <v>-50</v>
      </c>
      <c r="CH272">
        <f t="shared" si="476"/>
        <v>-50</v>
      </c>
    </row>
    <row r="273" spans="5:86" x14ac:dyDescent="0.25">
      <c r="E273" s="150">
        <v>57</v>
      </c>
      <c r="F273" s="191">
        <f t="shared" si="477"/>
        <v>0.28499999999999998</v>
      </c>
      <c r="G273" s="191"/>
      <c r="H273" s="191">
        <f t="shared" si="443"/>
        <v>4.2749999999999995</v>
      </c>
      <c r="I273" s="472">
        <f t="shared" si="444"/>
        <v>13</v>
      </c>
      <c r="J273" s="386">
        <f t="shared" si="445"/>
        <v>7.66</v>
      </c>
      <c r="K273" s="386">
        <f t="shared" si="446"/>
        <v>20.66</v>
      </c>
      <c r="L273" s="386"/>
      <c r="M273" s="191">
        <f t="shared" si="447"/>
        <v>0.37076476282671827</v>
      </c>
      <c r="N273" s="152">
        <f t="shared" si="448"/>
        <v>8.9867817037754101</v>
      </c>
      <c r="O273" s="152">
        <f t="shared" si="478"/>
        <v>4.2749999999999995</v>
      </c>
      <c r="P273" s="191">
        <f t="shared" si="449"/>
        <v>0.59911878025169396</v>
      </c>
      <c r="Q273" s="191">
        <f t="shared" si="450"/>
        <v>15</v>
      </c>
      <c r="R273" s="191"/>
      <c r="S273" s="152">
        <f t="shared" si="451"/>
        <v>58.29982623909639</v>
      </c>
      <c r="T273" s="152">
        <f t="shared" si="452"/>
        <v>15</v>
      </c>
      <c r="U273" s="191">
        <f t="shared" si="453"/>
        <v>1.9709781080538256</v>
      </c>
      <c r="V273" s="191">
        <f t="shared" si="454"/>
        <v>1.3645233055757255</v>
      </c>
      <c r="W273" s="191">
        <f t="shared" si="455"/>
        <v>2.315770623039743</v>
      </c>
      <c r="X273" s="175">
        <f t="shared" si="456"/>
        <v>350</v>
      </c>
      <c r="Y273" s="386">
        <f t="shared" si="418"/>
        <v>271.7174278458246</v>
      </c>
      <c r="AA273" s="191">
        <f t="shared" si="457"/>
        <v>1.530140291030901</v>
      </c>
      <c r="AB273" s="153">
        <f t="shared" si="458"/>
        <v>1.7978149633522336</v>
      </c>
      <c r="AC273" s="153">
        <f t="shared" si="459"/>
        <v>0.24070454723380583</v>
      </c>
      <c r="AD273" s="153"/>
      <c r="AE273" s="153">
        <f t="shared" si="460"/>
        <v>0.96344647519582249</v>
      </c>
      <c r="AF273" s="317">
        <f t="shared" si="461"/>
        <v>1442.9902835613723</v>
      </c>
      <c r="AG273" s="463">
        <f t="shared" si="462"/>
        <v>6.9127284595300251E-2</v>
      </c>
      <c r="AI273" s="153">
        <f t="shared" si="463"/>
        <v>1.6649896324573543</v>
      </c>
      <c r="AJ273" s="153">
        <f t="shared" si="464"/>
        <v>1.9709781080538256</v>
      </c>
      <c r="AK273" s="153">
        <f t="shared" si="465"/>
        <v>1.9673187387025506</v>
      </c>
      <c r="AM273" s="317">
        <f t="shared" si="466"/>
        <v>285</v>
      </c>
      <c r="AN273" s="147">
        <f t="shared" si="467"/>
        <v>271.7174278458246</v>
      </c>
      <c r="AP273">
        <f t="shared" si="468"/>
        <v>285</v>
      </c>
      <c r="AQ273">
        <f t="shared" si="469"/>
        <v>271.7174278458246</v>
      </c>
      <c r="AS273" s="5">
        <f t="shared" si="479"/>
        <v>3.6802939286154688</v>
      </c>
      <c r="AT273" s="5">
        <f t="shared" si="470"/>
        <v>1.3645233055757255</v>
      </c>
      <c r="AU273" s="5">
        <f t="shared" si="440"/>
        <v>2.315770623039743</v>
      </c>
      <c r="AV273" s="5"/>
      <c r="AW273" s="153">
        <f t="shared" si="441"/>
        <v>0.37076476282671827</v>
      </c>
      <c r="AX273" s="153"/>
      <c r="BA273" s="147">
        <f t="shared" si="471"/>
        <v>15.792961674237105</v>
      </c>
      <c r="BB273" s="147">
        <f t="shared" si="472"/>
        <v>5.4806285992899397</v>
      </c>
      <c r="BC273" s="5">
        <f t="shared" si="442"/>
        <v>1.5245891142673287</v>
      </c>
      <c r="BD273" s="147">
        <f t="shared" si="473"/>
        <v>0</v>
      </c>
      <c r="BQ273" s="463">
        <f t="shared" si="474"/>
        <v>0.10886999999999998</v>
      </c>
      <c r="CG273" s="59">
        <f t="shared" si="475"/>
        <v>-50</v>
      </c>
      <c r="CH273">
        <f t="shared" si="476"/>
        <v>-50</v>
      </c>
    </row>
    <row r="274" spans="5:86" x14ac:dyDescent="0.25">
      <c r="E274" s="150">
        <v>58</v>
      </c>
      <c r="F274" s="191">
        <f t="shared" si="477"/>
        <v>0.28999999999999998</v>
      </c>
      <c r="G274" s="191"/>
      <c r="H274" s="191">
        <f t="shared" si="443"/>
        <v>4.3499999999999996</v>
      </c>
      <c r="I274" s="472">
        <f t="shared" si="444"/>
        <v>13</v>
      </c>
      <c r="J274" s="386">
        <f t="shared" si="445"/>
        <v>7.66</v>
      </c>
      <c r="K274" s="386">
        <f t="shared" si="446"/>
        <v>20.66</v>
      </c>
      <c r="L274" s="386"/>
      <c r="M274" s="191">
        <f t="shared" si="447"/>
        <v>0.37076476282671827</v>
      </c>
      <c r="N274" s="152">
        <f t="shared" si="448"/>
        <v>8.9867817037754101</v>
      </c>
      <c r="O274" s="152">
        <f t="shared" si="478"/>
        <v>4.3499999999999996</v>
      </c>
      <c r="P274" s="191">
        <f t="shared" si="449"/>
        <v>0.59911878025169396</v>
      </c>
      <c r="Q274" s="191">
        <f t="shared" si="450"/>
        <v>15</v>
      </c>
      <c r="R274" s="191"/>
      <c r="S274" s="152">
        <f t="shared" si="451"/>
        <v>56.852421261303512</v>
      </c>
      <c r="T274" s="152">
        <f t="shared" si="452"/>
        <v>15</v>
      </c>
      <c r="U274" s="191">
        <f t="shared" si="453"/>
        <v>2.0055566713530157</v>
      </c>
      <c r="V274" s="191">
        <f t="shared" si="454"/>
        <v>1.3884623109367031</v>
      </c>
      <c r="W274" s="191">
        <f t="shared" si="455"/>
        <v>2.3563981778299139</v>
      </c>
      <c r="X274" s="175">
        <f t="shared" si="456"/>
        <v>350</v>
      </c>
      <c r="Y274" s="386">
        <f t="shared" si="418"/>
        <v>267.03264460710352</v>
      </c>
      <c r="AA274" s="191">
        <f t="shared" si="457"/>
        <v>1.530140291030901</v>
      </c>
      <c r="AB274" s="153">
        <f t="shared" si="458"/>
        <v>1.7978149633522336</v>
      </c>
      <c r="AC274" s="153">
        <f t="shared" si="459"/>
        <v>0.24070454723380583</v>
      </c>
      <c r="AD274" s="153"/>
      <c r="AE274" s="153">
        <f t="shared" si="460"/>
        <v>0.96344647519582249</v>
      </c>
      <c r="AF274" s="317">
        <f t="shared" si="461"/>
        <v>1468.3059025712209</v>
      </c>
      <c r="AG274" s="463">
        <f t="shared" si="462"/>
        <v>6.9127284595300251E-2</v>
      </c>
      <c r="AI274" s="153">
        <f t="shared" si="463"/>
        <v>1.6795313027226961</v>
      </c>
      <c r="AJ274" s="153">
        <f t="shared" si="464"/>
        <v>2.0055566713530157</v>
      </c>
      <c r="AK274" s="153">
        <f t="shared" si="465"/>
        <v>1.990371114235344</v>
      </c>
      <c r="AM274" s="317">
        <f t="shared" si="466"/>
        <v>290</v>
      </c>
      <c r="AN274" s="147">
        <f t="shared" si="467"/>
        <v>267.03264460710352</v>
      </c>
      <c r="AP274">
        <f t="shared" si="468"/>
        <v>290</v>
      </c>
      <c r="AQ274">
        <f t="shared" si="469"/>
        <v>267.03264460710352</v>
      </c>
      <c r="AS274" s="5">
        <f t="shared" si="479"/>
        <v>3.744860488766617</v>
      </c>
      <c r="AT274" s="5">
        <f t="shared" si="470"/>
        <v>1.3884623109367031</v>
      </c>
      <c r="AU274" s="5">
        <f t="shared" si="440"/>
        <v>2.3563981778299139</v>
      </c>
      <c r="AV274" s="5"/>
      <c r="AW274" s="153">
        <f t="shared" si="441"/>
        <v>0.37076476282671827</v>
      </c>
      <c r="AX274" s="153"/>
      <c r="BA274" s="147">
        <f t="shared" si="471"/>
        <v>15.792961674237105</v>
      </c>
      <c r="BB274" s="147">
        <f t="shared" si="472"/>
        <v>5.6593550655621305</v>
      </c>
      <c r="BC274" s="5">
        <f t="shared" si="442"/>
        <v>1.5785527178809768</v>
      </c>
      <c r="BD274" s="147">
        <f t="shared" si="473"/>
        <v>0</v>
      </c>
      <c r="BQ274" s="463">
        <f t="shared" si="474"/>
        <v>0.11077999999999999</v>
      </c>
      <c r="CG274" s="59">
        <f t="shared" si="475"/>
        <v>-50</v>
      </c>
      <c r="CH274">
        <f t="shared" si="476"/>
        <v>-50</v>
      </c>
    </row>
    <row r="275" spans="5:86" x14ac:dyDescent="0.25">
      <c r="E275" s="150">
        <v>59</v>
      </c>
      <c r="F275" s="191">
        <f t="shared" si="477"/>
        <v>0.29499999999999998</v>
      </c>
      <c r="G275" s="191"/>
      <c r="H275" s="191">
        <f t="shared" si="443"/>
        <v>4.4249999999999998</v>
      </c>
      <c r="I275" s="472">
        <f t="shared" si="444"/>
        <v>13</v>
      </c>
      <c r="J275" s="386">
        <f t="shared" si="445"/>
        <v>7.66</v>
      </c>
      <c r="K275" s="386">
        <f t="shared" si="446"/>
        <v>20.66</v>
      </c>
      <c r="L275" s="386"/>
      <c r="M275" s="191">
        <f t="shared" si="447"/>
        <v>0.37076476282671827</v>
      </c>
      <c r="N275" s="152">
        <f t="shared" si="448"/>
        <v>8.9867817037754101</v>
      </c>
      <c r="O275" s="152">
        <f t="shared" si="478"/>
        <v>4.4249999999999998</v>
      </c>
      <c r="P275" s="191">
        <f t="shared" si="449"/>
        <v>0.59911878025169396</v>
      </c>
      <c r="Q275" s="191">
        <f t="shared" si="450"/>
        <v>15</v>
      </c>
      <c r="R275" s="191"/>
      <c r="S275" s="152">
        <f t="shared" si="451"/>
        <v>55.454257507030775</v>
      </c>
      <c r="T275" s="152">
        <f t="shared" si="452"/>
        <v>15</v>
      </c>
      <c r="U275" s="191">
        <f t="shared" si="453"/>
        <v>2.0401352346522055</v>
      </c>
      <c r="V275" s="191">
        <f t="shared" si="454"/>
        <v>1.4124013162976807</v>
      </c>
      <c r="W275" s="191">
        <f t="shared" si="455"/>
        <v>2.3970257326200848</v>
      </c>
      <c r="X275" s="175">
        <f t="shared" si="456"/>
        <v>350</v>
      </c>
      <c r="Y275" s="386">
        <f t="shared" si="418"/>
        <v>262.50666757986454</v>
      </c>
      <c r="AA275" s="191">
        <f t="shared" si="457"/>
        <v>1.530140291030901</v>
      </c>
      <c r="AB275" s="153">
        <f t="shared" si="458"/>
        <v>1.7978149633522336</v>
      </c>
      <c r="AC275" s="153">
        <f t="shared" si="459"/>
        <v>0.24070454723380583</v>
      </c>
      <c r="AD275" s="153"/>
      <c r="AE275" s="153">
        <f t="shared" si="460"/>
        <v>0.96344647519582249</v>
      </c>
      <c r="AF275" s="317">
        <f t="shared" si="461"/>
        <v>1493.6215215810696</v>
      </c>
      <c r="AG275" s="463">
        <f t="shared" si="462"/>
        <v>6.9127284595300251E-2</v>
      </c>
      <c r="AI275" s="153">
        <f t="shared" si="463"/>
        <v>1.6939481448557736</v>
      </c>
      <c r="AJ275" s="153">
        <f t="shared" si="464"/>
        <v>2.0401352346522055</v>
      </c>
      <c r="AK275" s="153">
        <f t="shared" si="465"/>
        <v>2.0134234897681371</v>
      </c>
      <c r="AM275" s="317">
        <f t="shared" si="466"/>
        <v>295</v>
      </c>
      <c r="AN275" s="147">
        <f t="shared" si="467"/>
        <v>262.50666757986454</v>
      </c>
      <c r="AP275">
        <f t="shared" si="468"/>
        <v>295</v>
      </c>
      <c r="AQ275">
        <f t="shared" si="469"/>
        <v>262.50666757986454</v>
      </c>
      <c r="AS275" s="5">
        <f t="shared" si="479"/>
        <v>3.8094270489177644</v>
      </c>
      <c r="AT275" s="5">
        <f t="shared" si="470"/>
        <v>1.4124013162976807</v>
      </c>
      <c r="AU275" s="5">
        <f t="shared" si="440"/>
        <v>2.3970257326200839</v>
      </c>
      <c r="AV275" s="5"/>
      <c r="AW275" s="153">
        <f t="shared" si="441"/>
        <v>0.37076476282671839</v>
      </c>
      <c r="AX275" s="153"/>
      <c r="BA275" s="147">
        <f t="shared" si="471"/>
        <v>15.792961674237105</v>
      </c>
      <c r="BB275" s="147">
        <f t="shared" si="472"/>
        <v>5.8409289486390517</v>
      </c>
      <c r="BC275" s="5">
        <f t="shared" si="442"/>
        <v>1.6334548189487748</v>
      </c>
      <c r="BD275" s="147">
        <f t="shared" si="473"/>
        <v>0</v>
      </c>
      <c r="BQ275" s="463">
        <f t="shared" si="474"/>
        <v>0.11268999999999998</v>
      </c>
      <c r="CG275" s="59">
        <f t="shared" si="475"/>
        <v>-50</v>
      </c>
      <c r="CH275">
        <f t="shared" si="476"/>
        <v>-50</v>
      </c>
    </row>
    <row r="276" spans="5:86" x14ac:dyDescent="0.25">
      <c r="E276" s="150">
        <v>60</v>
      </c>
      <c r="F276" s="191">
        <f t="shared" si="477"/>
        <v>0.3</v>
      </c>
      <c r="G276" s="191"/>
      <c r="H276" s="191">
        <f t="shared" si="443"/>
        <v>4.5</v>
      </c>
      <c r="I276" s="472">
        <f t="shared" si="444"/>
        <v>13</v>
      </c>
      <c r="J276" s="386">
        <f t="shared" si="445"/>
        <v>7.66</v>
      </c>
      <c r="K276" s="386">
        <f t="shared" si="446"/>
        <v>20.66</v>
      </c>
      <c r="L276" s="386"/>
      <c r="M276" s="191">
        <f t="shared" si="447"/>
        <v>0.37076476282671827</v>
      </c>
      <c r="N276" s="152">
        <f t="shared" si="448"/>
        <v>8.9867817037754101</v>
      </c>
      <c r="O276" s="152">
        <f t="shared" si="478"/>
        <v>4.5</v>
      </c>
      <c r="P276" s="191">
        <f t="shared" si="449"/>
        <v>0.59911878025169396</v>
      </c>
      <c r="Q276" s="191">
        <f t="shared" si="450"/>
        <v>15</v>
      </c>
      <c r="R276" s="191"/>
      <c r="S276" s="152">
        <f t="shared" si="451"/>
        <v>54.102876886998743</v>
      </c>
      <c r="T276" s="152">
        <f t="shared" si="452"/>
        <v>15</v>
      </c>
      <c r="U276" s="191">
        <f t="shared" si="453"/>
        <v>2.0747137979513957</v>
      </c>
      <c r="V276" s="191">
        <f t="shared" si="454"/>
        <v>1.4363403216586588</v>
      </c>
      <c r="W276" s="191">
        <f t="shared" si="455"/>
        <v>2.4376532874102561</v>
      </c>
      <c r="X276" s="175">
        <f t="shared" si="456"/>
        <v>350</v>
      </c>
      <c r="Y276" s="386">
        <f t="shared" ref="Y276:Y316" si="480">MIN(1/(V276+W276)*1000, 350)</f>
        <v>258.13155645353334</v>
      </c>
      <c r="AA276" s="191">
        <f t="shared" si="457"/>
        <v>1.530140291030901</v>
      </c>
      <c r="AB276" s="153">
        <f t="shared" si="458"/>
        <v>1.7978149633522336</v>
      </c>
      <c r="AC276" s="153">
        <f t="shared" si="459"/>
        <v>0.24070454723380583</v>
      </c>
      <c r="AD276" s="153"/>
      <c r="AE276" s="153">
        <f t="shared" si="460"/>
        <v>0.96344647519582249</v>
      </c>
      <c r="AF276" s="317">
        <f t="shared" si="461"/>
        <v>1518.9371405909183</v>
      </c>
      <c r="AG276" s="463">
        <f t="shared" si="462"/>
        <v>6.9127284595300251E-2</v>
      </c>
      <c r="AI276" s="153">
        <f t="shared" si="463"/>
        <v>1.7082433193474629</v>
      </c>
      <c r="AJ276" s="153">
        <f t="shared" si="464"/>
        <v>2.0747137979513957</v>
      </c>
      <c r="AK276" s="153">
        <f t="shared" si="465"/>
        <v>2.0364758653009307</v>
      </c>
      <c r="AM276" s="317">
        <f t="shared" si="466"/>
        <v>300</v>
      </c>
      <c r="AN276" s="147">
        <f t="shared" si="467"/>
        <v>258.13155645353334</v>
      </c>
      <c r="AP276">
        <f t="shared" si="468"/>
        <v>300</v>
      </c>
      <c r="AQ276">
        <f t="shared" si="469"/>
        <v>258.13155645353334</v>
      </c>
      <c r="AS276" s="5">
        <f t="shared" si="479"/>
        <v>3.8739936090689153</v>
      </c>
      <c r="AT276" s="5">
        <f t="shared" si="470"/>
        <v>1.4363403216586588</v>
      </c>
      <c r="AU276" s="5">
        <f t="shared" si="440"/>
        <v>2.4376532874102566</v>
      </c>
      <c r="AV276" s="5"/>
      <c r="AW276" s="153">
        <f t="shared" si="441"/>
        <v>0.37076476282671827</v>
      </c>
      <c r="AX276" s="153"/>
      <c r="BA276" s="147">
        <f t="shared" si="471"/>
        <v>15.792961674237105</v>
      </c>
      <c r="BB276" s="147">
        <f t="shared" si="472"/>
        <v>6.0253502485207111</v>
      </c>
      <c r="BC276" s="5">
        <f t="shared" si="442"/>
        <v>1.6892954174707251</v>
      </c>
      <c r="BD276" s="147">
        <f t="shared" si="473"/>
        <v>0</v>
      </c>
      <c r="BQ276" s="463">
        <f t="shared" si="474"/>
        <v>0.11459999999999999</v>
      </c>
      <c r="CG276" s="59">
        <f t="shared" si="475"/>
        <v>-50</v>
      </c>
      <c r="CH276">
        <f t="shared" si="476"/>
        <v>-50</v>
      </c>
    </row>
    <row r="277" spans="5:86" x14ac:dyDescent="0.25">
      <c r="E277" s="150">
        <v>61</v>
      </c>
      <c r="F277" s="191">
        <f t="shared" si="477"/>
        <v>0.30499999999999999</v>
      </c>
      <c r="G277" s="191"/>
      <c r="H277" s="191">
        <f t="shared" si="443"/>
        <v>4.5750000000000002</v>
      </c>
      <c r="I277" s="472">
        <f t="shared" si="444"/>
        <v>13</v>
      </c>
      <c r="J277" s="386">
        <f t="shared" si="445"/>
        <v>7.66</v>
      </c>
      <c r="K277" s="386">
        <f t="shared" si="446"/>
        <v>20.66</v>
      </c>
      <c r="L277" s="386"/>
      <c r="M277" s="191">
        <f t="shared" si="447"/>
        <v>0.37076476282671827</v>
      </c>
      <c r="N277" s="152">
        <f t="shared" si="448"/>
        <v>8.9867817037754101</v>
      </c>
      <c r="O277" s="152">
        <f t="shared" si="478"/>
        <v>4.5750000000000002</v>
      </c>
      <c r="P277" s="191">
        <f t="shared" si="449"/>
        <v>0.59911878025169396</v>
      </c>
      <c r="Q277" s="191">
        <f t="shared" si="450"/>
        <v>15</v>
      </c>
      <c r="R277" s="191"/>
      <c r="S277" s="152">
        <f t="shared" si="451"/>
        <v>52.795982614641154</v>
      </c>
      <c r="T277" s="152">
        <f t="shared" si="452"/>
        <v>15</v>
      </c>
      <c r="U277" s="191">
        <f t="shared" si="453"/>
        <v>2.1092923612505858</v>
      </c>
      <c r="V277" s="191">
        <f t="shared" si="454"/>
        <v>1.4602793270196361</v>
      </c>
      <c r="W277" s="191">
        <f t="shared" si="455"/>
        <v>2.4782808422004274</v>
      </c>
      <c r="X277" s="175">
        <f t="shared" si="456"/>
        <v>350</v>
      </c>
      <c r="Y277" s="386">
        <f t="shared" si="480"/>
        <v>253.89989159363935</v>
      </c>
      <c r="AA277" s="191">
        <f t="shared" si="457"/>
        <v>1.530140291030901</v>
      </c>
      <c r="AB277" s="153">
        <f t="shared" si="458"/>
        <v>1.7978149633522336</v>
      </c>
      <c r="AC277" s="153">
        <f t="shared" si="459"/>
        <v>0.24070454723380583</v>
      </c>
      <c r="AD277" s="153"/>
      <c r="AE277" s="153">
        <f t="shared" si="460"/>
        <v>0.96344647519582249</v>
      </c>
      <c r="AF277" s="317">
        <f t="shared" si="461"/>
        <v>1544.2527596007669</v>
      </c>
      <c r="AG277" s="463">
        <f t="shared" si="462"/>
        <v>6.9127284595300251E-2</v>
      </c>
      <c r="AI277" s="153">
        <f t="shared" si="463"/>
        <v>1.7224198555317918</v>
      </c>
      <c r="AJ277" s="153">
        <f t="shared" si="464"/>
        <v>2.1092923612505858</v>
      </c>
      <c r="AK277" s="153">
        <f t="shared" si="465"/>
        <v>2.0595282408337239</v>
      </c>
      <c r="AM277" s="317">
        <f t="shared" si="466"/>
        <v>305</v>
      </c>
      <c r="AN277" s="147">
        <f t="shared" si="467"/>
        <v>253.89989159363935</v>
      </c>
      <c r="AP277">
        <f t="shared" si="468"/>
        <v>305</v>
      </c>
      <c r="AQ277">
        <f t="shared" si="469"/>
        <v>253.89989159363935</v>
      </c>
      <c r="AS277" s="5">
        <f t="shared" si="479"/>
        <v>3.9385601692200631</v>
      </c>
      <c r="AT277" s="5">
        <f t="shared" si="470"/>
        <v>1.4602793270196361</v>
      </c>
      <c r="AU277" s="5">
        <f t="shared" si="440"/>
        <v>2.478280842200427</v>
      </c>
      <c r="AV277" s="5"/>
      <c r="AW277" s="153">
        <f t="shared" si="441"/>
        <v>0.37076476282671827</v>
      </c>
      <c r="AX277" s="153"/>
      <c r="BA277" s="147">
        <f t="shared" si="471"/>
        <v>15.792961674237105</v>
      </c>
      <c r="BB277" s="147">
        <f t="shared" si="472"/>
        <v>6.2126189652071009</v>
      </c>
      <c r="BC277" s="5">
        <f t="shared" si="442"/>
        <v>1.7460745134468241</v>
      </c>
      <c r="BD277" s="147">
        <f t="shared" si="473"/>
        <v>0</v>
      </c>
      <c r="BQ277" s="463">
        <f t="shared" si="474"/>
        <v>0.11650999999999999</v>
      </c>
      <c r="CG277" s="59">
        <f t="shared" si="475"/>
        <v>-50</v>
      </c>
      <c r="CH277">
        <f t="shared" si="476"/>
        <v>-50</v>
      </c>
    </row>
    <row r="278" spans="5:86" x14ac:dyDescent="0.25">
      <c r="E278" s="150">
        <v>62</v>
      </c>
      <c r="F278" s="191">
        <f t="shared" si="477"/>
        <v>0.31</v>
      </c>
      <c r="G278" s="191"/>
      <c r="H278" s="191">
        <f t="shared" si="443"/>
        <v>4.6500000000000004</v>
      </c>
      <c r="I278" s="472">
        <f t="shared" si="444"/>
        <v>13</v>
      </c>
      <c r="J278" s="386">
        <f t="shared" si="445"/>
        <v>7.66</v>
      </c>
      <c r="K278" s="386">
        <f t="shared" si="446"/>
        <v>20.66</v>
      </c>
      <c r="L278" s="386"/>
      <c r="M278" s="191">
        <f t="shared" si="447"/>
        <v>0.37076476282671827</v>
      </c>
      <c r="N278" s="152">
        <f t="shared" si="448"/>
        <v>8.9867817037754101</v>
      </c>
      <c r="O278" s="152">
        <f t="shared" si="478"/>
        <v>4.6500000000000004</v>
      </c>
      <c r="P278" s="191">
        <f t="shared" si="449"/>
        <v>0.59911878025169396</v>
      </c>
      <c r="Q278" s="191">
        <f t="shared" si="450"/>
        <v>15</v>
      </c>
      <c r="R278" s="191"/>
      <c r="S278" s="152">
        <f t="shared" si="451"/>
        <v>51.531426201989966</v>
      </c>
      <c r="T278" s="152">
        <f t="shared" si="452"/>
        <v>15</v>
      </c>
      <c r="U278" s="191">
        <f t="shared" si="453"/>
        <v>2.1438709245497756</v>
      </c>
      <c r="V278" s="191">
        <f t="shared" si="454"/>
        <v>1.484218332380614</v>
      </c>
      <c r="W278" s="191">
        <f t="shared" si="455"/>
        <v>2.5189083969905979</v>
      </c>
      <c r="X278" s="175">
        <f t="shared" si="456"/>
        <v>350</v>
      </c>
      <c r="Y278" s="386">
        <f t="shared" si="480"/>
        <v>249.80473205180644</v>
      </c>
      <c r="AA278" s="191">
        <f t="shared" si="457"/>
        <v>1.530140291030901</v>
      </c>
      <c r="AB278" s="153">
        <f t="shared" si="458"/>
        <v>1.7978149633522336</v>
      </c>
      <c r="AC278" s="153">
        <f t="shared" si="459"/>
        <v>0.24070454723380583</v>
      </c>
      <c r="AD278" s="153"/>
      <c r="AE278" s="153">
        <f t="shared" si="460"/>
        <v>0.96344647519582249</v>
      </c>
      <c r="AF278" s="317">
        <f t="shared" si="461"/>
        <v>1569.5683786106156</v>
      </c>
      <c r="AG278" s="463">
        <f t="shared" si="462"/>
        <v>6.9127284595300251E-2</v>
      </c>
      <c r="AI278" s="153">
        <f t="shared" si="463"/>
        <v>1.7364806590817761</v>
      </c>
      <c r="AJ278" s="153">
        <f t="shared" si="464"/>
        <v>2.1438709245497756</v>
      </c>
      <c r="AK278" s="153">
        <f t="shared" si="465"/>
        <v>2.082580616366517</v>
      </c>
      <c r="AM278" s="317">
        <f t="shared" si="466"/>
        <v>310</v>
      </c>
      <c r="AN278" s="147">
        <f t="shared" si="467"/>
        <v>249.80473205180644</v>
      </c>
      <c r="AP278">
        <f t="shared" si="468"/>
        <v>310</v>
      </c>
      <c r="AQ278">
        <f t="shared" si="469"/>
        <v>249.80473205180644</v>
      </c>
      <c r="AS278" s="5">
        <f t="shared" si="479"/>
        <v>4.0031267293712132</v>
      </c>
      <c r="AT278" s="5">
        <f t="shared" si="470"/>
        <v>1.484218332380614</v>
      </c>
      <c r="AU278" s="5">
        <f t="shared" si="440"/>
        <v>2.5189083969905992</v>
      </c>
      <c r="AV278" s="5"/>
      <c r="AW278" s="153">
        <f t="shared" si="441"/>
        <v>0.37076476282671822</v>
      </c>
      <c r="AX278" s="153"/>
      <c r="BA278" s="147">
        <f t="shared" si="471"/>
        <v>15.792961674237105</v>
      </c>
      <c r="BB278" s="147">
        <f t="shared" si="472"/>
        <v>6.4027350986982245</v>
      </c>
      <c r="BC278" s="5">
        <f t="shared" si="442"/>
        <v>1.803792106877075</v>
      </c>
      <c r="BD278" s="147">
        <f t="shared" si="473"/>
        <v>0</v>
      </c>
      <c r="BQ278" s="463">
        <f t="shared" si="474"/>
        <v>0.11842</v>
      </c>
      <c r="CG278" s="59">
        <f t="shared" si="475"/>
        <v>-50</v>
      </c>
      <c r="CH278">
        <f t="shared" si="476"/>
        <v>-50</v>
      </c>
    </row>
    <row r="279" spans="5:86" x14ac:dyDescent="0.25">
      <c r="E279" s="150">
        <v>63</v>
      </c>
      <c r="F279" s="191">
        <f t="shared" si="477"/>
        <v>0.315</v>
      </c>
      <c r="G279" s="191"/>
      <c r="H279" s="191">
        <f t="shared" si="443"/>
        <v>4.7249999999999996</v>
      </c>
      <c r="I279" s="472">
        <f t="shared" si="444"/>
        <v>13</v>
      </c>
      <c r="J279" s="386">
        <f t="shared" si="445"/>
        <v>7.66</v>
      </c>
      <c r="K279" s="386">
        <f t="shared" si="446"/>
        <v>20.66</v>
      </c>
      <c r="L279" s="386"/>
      <c r="M279" s="191">
        <f t="shared" si="447"/>
        <v>0.37076476282671827</v>
      </c>
      <c r="N279" s="152">
        <f t="shared" si="448"/>
        <v>8.9867817037754101</v>
      </c>
      <c r="O279" s="152">
        <f t="shared" si="478"/>
        <v>4.7249999999999996</v>
      </c>
      <c r="P279" s="191">
        <f t="shared" si="449"/>
        <v>0.59911878025169396</v>
      </c>
      <c r="Q279" s="191">
        <f t="shared" si="450"/>
        <v>15</v>
      </c>
      <c r="R279" s="191"/>
      <c r="S279" s="152">
        <f t="shared" si="451"/>
        <v>50.307195694220951</v>
      </c>
      <c r="T279" s="152">
        <f t="shared" si="452"/>
        <v>15</v>
      </c>
      <c r="U279" s="191">
        <f t="shared" si="453"/>
        <v>2.1784494878489653</v>
      </c>
      <c r="V279" s="191">
        <f t="shared" si="454"/>
        <v>1.5081573377415913</v>
      </c>
      <c r="W279" s="191">
        <f t="shared" si="455"/>
        <v>2.5595359517807688</v>
      </c>
      <c r="X279" s="175">
        <f t="shared" si="456"/>
        <v>350</v>
      </c>
      <c r="Y279" s="386">
        <f t="shared" si="480"/>
        <v>245.83957757479368</v>
      </c>
      <c r="AA279" s="191">
        <f t="shared" si="457"/>
        <v>1.530140291030901</v>
      </c>
      <c r="AB279" s="153">
        <f t="shared" si="458"/>
        <v>1.7978149633522336</v>
      </c>
      <c r="AC279" s="153">
        <f t="shared" si="459"/>
        <v>0.24070454723380583</v>
      </c>
      <c r="AD279" s="153"/>
      <c r="AE279" s="153">
        <f t="shared" si="460"/>
        <v>0.96344647519582249</v>
      </c>
      <c r="AF279" s="317">
        <f t="shared" si="461"/>
        <v>1594.8839976204642</v>
      </c>
      <c r="AG279" s="463">
        <f t="shared" si="462"/>
        <v>6.9127284595300251E-2</v>
      </c>
      <c r="AI279" s="153">
        <f t="shared" si="463"/>
        <v>1.7504285189632851</v>
      </c>
      <c r="AJ279" s="153">
        <f t="shared" si="464"/>
        <v>2.1784494878489653</v>
      </c>
      <c r="AK279" s="153">
        <f t="shared" si="465"/>
        <v>2.1056329918993102</v>
      </c>
      <c r="AM279" s="317">
        <f t="shared" si="466"/>
        <v>315</v>
      </c>
      <c r="AN279" s="147">
        <f t="shared" si="467"/>
        <v>245.83957757479368</v>
      </c>
      <c r="AP279">
        <f t="shared" si="468"/>
        <v>315</v>
      </c>
      <c r="AQ279">
        <f t="shared" si="469"/>
        <v>245.83957757479368</v>
      </c>
      <c r="AS279" s="5">
        <f t="shared" si="479"/>
        <v>4.067693289522361</v>
      </c>
      <c r="AT279" s="5">
        <f t="shared" si="470"/>
        <v>1.5081573377415913</v>
      </c>
      <c r="AU279" s="5">
        <f t="shared" si="440"/>
        <v>2.5595359517807696</v>
      </c>
      <c r="AV279" s="5"/>
      <c r="AW279" s="153">
        <f t="shared" si="441"/>
        <v>0.37076476282671822</v>
      </c>
      <c r="AX279" s="153"/>
      <c r="BA279" s="147">
        <f t="shared" si="471"/>
        <v>15.792961674237105</v>
      </c>
      <c r="BB279" s="147">
        <f t="shared" si="472"/>
        <v>6.5956986489940848</v>
      </c>
      <c r="BC279" s="5">
        <f t="shared" si="442"/>
        <v>1.8624481977614744</v>
      </c>
      <c r="BD279" s="147">
        <f t="shared" si="473"/>
        <v>0</v>
      </c>
      <c r="BQ279" s="463">
        <f t="shared" si="474"/>
        <v>0.12032999999999999</v>
      </c>
      <c r="CG279" s="59">
        <f t="shared" si="475"/>
        <v>-50</v>
      </c>
      <c r="CH279">
        <f t="shared" si="476"/>
        <v>-50</v>
      </c>
    </row>
    <row r="280" spans="5:86" x14ac:dyDescent="0.25">
      <c r="E280" s="150">
        <v>64</v>
      </c>
      <c r="F280" s="191">
        <f t="shared" si="477"/>
        <v>0.32</v>
      </c>
      <c r="G280" s="191"/>
      <c r="H280" s="191">
        <f t="shared" ref="H280:H311" si="481">F280*Vout</f>
        <v>4.8</v>
      </c>
      <c r="I280" s="472">
        <f t="shared" ref="I280:I316" si="482">VIN_max</f>
        <v>13</v>
      </c>
      <c r="J280" s="386">
        <f t="shared" ref="J280:J316" si="483">(T280+Vfwd1)*Nps</f>
        <v>7.66</v>
      </c>
      <c r="K280" s="386">
        <f t="shared" ref="K280:K316" si="484">(Vout+Vfwd1)*Nps+I280</f>
        <v>20.66</v>
      </c>
      <c r="L280" s="386"/>
      <c r="M280" s="191">
        <f t="shared" ref="M280:M316" si="485">(Vout+Vfwd1)*Nps/((Vout+Vfwd1)*Nps+I280)</f>
        <v>0.37076476282671827</v>
      </c>
      <c r="N280" s="152">
        <f t="shared" ref="N280:N311" si="486">M280*I280*(Isw_max+VIN_max/Lmag*ILIM_delay)*0.5*Efficiency</f>
        <v>8.9867817037754101</v>
      </c>
      <c r="O280" s="152">
        <f t="shared" si="478"/>
        <v>4.8</v>
      </c>
      <c r="P280" s="191">
        <f t="shared" ref="P280:P311" si="487">N280/Vout</f>
        <v>0.59911878025169396</v>
      </c>
      <c r="Q280" s="191">
        <f t="shared" ref="Q280:Q316" si="488">MIN(Vout,N280/F280)</f>
        <v>15</v>
      </c>
      <c r="R280" s="191"/>
      <c r="S280" s="152">
        <f t="shared" ref="S280:S316" si="489">(SQRT(Isw_max^2*Nps^2*I280^2+4*Isw_max*F280/Efficiency*(Nps^2*Vfwd1*I280-Nps*I280^2)+4*(F280/Efficiency)^2*Nps^2*Vfwd1^2+8*(F280/Efficiency)^2*Nps*Vfwd1*I280+4*(F280/Efficiency)^2*I280^2)-2*F280/Efficiency*I280-2*F280/Efficiency*Nps*Vfwd1+Isw_max*Nps*I280)/(4*F280/Efficiency*Nps)</f>
        <v>49.121405007389683</v>
      </c>
      <c r="T280" s="152">
        <f t="shared" ref="T280:T311" si="490">MIN(Vout, S280)</f>
        <v>15</v>
      </c>
      <c r="U280" s="191">
        <f t="shared" ref="U280:U316" si="491">MIN(2*Vout*F280/(Efficiency*I280*M280), Isw_max)</f>
        <v>2.2130280511481555</v>
      </c>
      <c r="V280" s="191">
        <f t="shared" ref="V280:V311" si="492">L*U280/I280*1000000</f>
        <v>1.5320963431025691</v>
      </c>
      <c r="W280" s="191">
        <f t="shared" ref="W280:W316" si="493">L*U280/J280*1000000</f>
        <v>2.6001635065709396</v>
      </c>
      <c r="X280" s="175">
        <f t="shared" ref="X280:X316" si="494">IF(1/((350000*L)*(1/I280+1/J280))&gt;Isw_min, 350, 0.001/((Isw_min*L)*(1/I280+1/J280)))</f>
        <v>350</v>
      </c>
      <c r="Y280" s="386">
        <f t="shared" si="480"/>
        <v>241.99833417518755</v>
      </c>
      <c r="AA280" s="191">
        <f t="shared" ref="AA280:AA316" si="495">1/((X280*1000*L)*(1/I280+1/J280))</f>
        <v>1.530140291030901</v>
      </c>
      <c r="AB280" s="153">
        <f t="shared" ref="AB280:AB311" si="496">L*AA280/J280*1000000</f>
        <v>1.7978149633522336</v>
      </c>
      <c r="AC280" s="153">
        <f t="shared" ref="AC280:AC311" si="497">0.5*AB280*AA280*Nps*X280/1000</f>
        <v>0.24070454723380583</v>
      </c>
      <c r="AD280" s="153"/>
      <c r="AE280" s="153">
        <f t="shared" ref="AE280:AE316" si="498">L*Isw_min/J280*1000000</f>
        <v>0.96344647519582249</v>
      </c>
      <c r="AF280" s="317">
        <f t="shared" ref="AF280:AF311" si="499">MAX(12000,F280/(0.5*AE280/1000000*Isw_min*Nps))/1000</f>
        <v>1620.1996166303127</v>
      </c>
      <c r="AG280" s="463">
        <f t="shared" ref="AG280:AG316" si="500">0.5*AE280/1000000*Isw_min*Nps*X280*1000</f>
        <v>6.9127284595300251E-2</v>
      </c>
      <c r="AI280" s="153">
        <f t="shared" ref="AI280:AI316" si="501">SQRT(F280/(0.5*L/J280*Fsw_DCM*Nps))</f>
        <v>1.7642661138940805</v>
      </c>
      <c r="AJ280" s="153">
        <f t="shared" ref="AJ280:AJ311" si="502">MAX(IF(F280&gt;AC280,U280,AI280),Isw_min)</f>
        <v>2.2130280511481555</v>
      </c>
      <c r="AK280" s="153">
        <f t="shared" ref="AK280:AK311" si="503">IF(F280&gt;AG280, (AJ280-Isw_min)/1.2*0.8+1.2, AF280*0.2/350+1)</f>
        <v>2.1286853674321038</v>
      </c>
      <c r="AM280" s="317">
        <f t="shared" ref="AM280:AM316" si="504">F280*1000</f>
        <v>320</v>
      </c>
      <c r="AN280" s="147">
        <f t="shared" ref="AN280:AN316" si="505">IF(F280&gt;AG280, Y280, AF280)</f>
        <v>241.99833417518755</v>
      </c>
      <c r="AP280">
        <f t="shared" ref="AP280:AP316" si="506">IF(H280&gt;N280, "",AM280)</f>
        <v>320</v>
      </c>
      <c r="AQ280">
        <f t="shared" ref="AQ280:AQ316" si="507">IF(H280&gt;N280, "",AN280)</f>
        <v>241.99833417518755</v>
      </c>
      <c r="AS280" s="5">
        <f t="shared" si="479"/>
        <v>4.1322598496735088</v>
      </c>
      <c r="AT280" s="5">
        <f t="shared" ref="AT280:AT316" si="508">L*AJ280/I280*1000000</f>
        <v>1.5320963431025691</v>
      </c>
      <c r="AU280" s="5">
        <f t="shared" si="440"/>
        <v>2.6001635065709396</v>
      </c>
      <c r="AV280" s="5"/>
      <c r="AW280" s="153">
        <f t="shared" si="441"/>
        <v>0.37076476282671833</v>
      </c>
      <c r="AX280" s="153"/>
      <c r="BA280" s="147">
        <f t="shared" ref="BA280:BA316" si="509">L*Isw_max^2/(2*Vout_ripple*Vout)*1000000000*((1+M280)/2)^2</f>
        <v>15.792961674237105</v>
      </c>
      <c r="BB280" s="147">
        <f t="shared" ref="BB280:BB316" si="510">L*F280^2/(2*Cout*Vout*Nps^2)*1000000000*((1+M280)/(1-M280))^2+F280*RCoutEsr</f>
        <v>6.7915096160946753</v>
      </c>
      <c r="BC280" s="5">
        <f t="shared" si="442"/>
        <v>1.9220427861000247</v>
      </c>
      <c r="BD280" s="147">
        <f t="shared" ref="BD280:BD316" si="511">((CB280/I280/Efficiency)*AU280/Cin+(CB280/I280/Efficiency)*RCinEsr)*1000</f>
        <v>0</v>
      </c>
      <c r="BQ280" s="463">
        <f t="shared" ref="BQ280:BQ316" si="512">(Vfwd2*F280+BG280^2*Rdiode)*(1+Diode_TC/1000*(Ta-25))</f>
        <v>0.12224</v>
      </c>
      <c r="CG280" s="59">
        <f t="shared" ref="CG280:CG316" si="513">IF(ABS(F280-Ioutmax_Vinmax)&lt;Iout/200, AN280, -50)</f>
        <v>-50</v>
      </c>
      <c r="CH280">
        <f t="shared" ref="CH280:CH316" si="514">IF(ABS(F280-Ioutmax_Vinmin)&lt;Iout/200, N280*CC280, -50)</f>
        <v>-50</v>
      </c>
    </row>
    <row r="281" spans="5:86" x14ac:dyDescent="0.25">
      <c r="E281" s="150">
        <v>65</v>
      </c>
      <c r="F281" s="191">
        <f t="shared" ref="F281:F312" si="515">IF(PLOT_TYPE=1, E281/100*Iout_max, min_I*EXP(N281*rr/100))</f>
        <v>0.32500000000000001</v>
      </c>
      <c r="G281" s="191"/>
      <c r="H281" s="191">
        <f t="shared" si="481"/>
        <v>4.875</v>
      </c>
      <c r="I281" s="472">
        <f t="shared" si="482"/>
        <v>13</v>
      </c>
      <c r="J281" s="386">
        <f t="shared" si="483"/>
        <v>7.66</v>
      </c>
      <c r="K281" s="386">
        <f t="shared" si="484"/>
        <v>20.66</v>
      </c>
      <c r="L281" s="386"/>
      <c r="M281" s="191">
        <f t="shared" si="485"/>
        <v>0.37076476282671827</v>
      </c>
      <c r="N281" s="152">
        <f t="shared" si="486"/>
        <v>8.9867817037754101</v>
      </c>
      <c r="O281" s="152">
        <f t="shared" si="478"/>
        <v>4.875</v>
      </c>
      <c r="P281" s="191">
        <f t="shared" si="487"/>
        <v>0.59911878025169396</v>
      </c>
      <c r="Q281" s="191">
        <f t="shared" si="488"/>
        <v>15</v>
      </c>
      <c r="R281" s="191"/>
      <c r="S281" s="152">
        <f t="shared" si="489"/>
        <v>47.972284250561273</v>
      </c>
      <c r="T281" s="152">
        <f t="shared" si="490"/>
        <v>15</v>
      </c>
      <c r="U281" s="191">
        <f t="shared" si="491"/>
        <v>2.2476066144473452</v>
      </c>
      <c r="V281" s="191">
        <f t="shared" si="492"/>
        <v>1.5560353484635467</v>
      </c>
      <c r="W281" s="191">
        <f t="shared" si="493"/>
        <v>2.640791061361111</v>
      </c>
      <c r="X281" s="175">
        <f t="shared" si="494"/>
        <v>350</v>
      </c>
      <c r="Y281" s="386">
        <f t="shared" si="480"/>
        <v>238.27528288018465</v>
      </c>
      <c r="AA281" s="191">
        <f t="shared" si="495"/>
        <v>1.530140291030901</v>
      </c>
      <c r="AB281" s="153">
        <f t="shared" si="496"/>
        <v>1.7978149633522336</v>
      </c>
      <c r="AC281" s="153">
        <f t="shared" si="497"/>
        <v>0.24070454723380583</v>
      </c>
      <c r="AD281" s="153"/>
      <c r="AE281" s="153">
        <f t="shared" si="498"/>
        <v>0.96344647519582249</v>
      </c>
      <c r="AF281" s="317">
        <f t="shared" si="499"/>
        <v>1645.5152356401613</v>
      </c>
      <c r="AG281" s="463">
        <f t="shared" si="500"/>
        <v>6.9127284595300251E-2</v>
      </c>
      <c r="AI281" s="153">
        <f t="shared" si="501"/>
        <v>1.7779960183503902</v>
      </c>
      <c r="AJ281" s="153">
        <f t="shared" si="502"/>
        <v>2.2476066144473452</v>
      </c>
      <c r="AK281" s="153">
        <f t="shared" si="503"/>
        <v>2.1517377429648969</v>
      </c>
      <c r="AM281" s="317">
        <f t="shared" si="504"/>
        <v>325</v>
      </c>
      <c r="AN281" s="147">
        <f t="shared" si="505"/>
        <v>238.27528288018465</v>
      </c>
      <c r="AP281">
        <f t="shared" si="506"/>
        <v>325</v>
      </c>
      <c r="AQ281">
        <f t="shared" si="507"/>
        <v>238.27528288018465</v>
      </c>
      <c r="AS281" s="5">
        <f t="shared" si="479"/>
        <v>4.1968264098246575</v>
      </c>
      <c r="AT281" s="5">
        <f t="shared" si="508"/>
        <v>1.5560353484635467</v>
      </c>
      <c r="AU281" s="5">
        <f t="shared" si="440"/>
        <v>2.640791061361111</v>
      </c>
      <c r="AV281" s="5"/>
      <c r="AW281" s="153">
        <f t="shared" si="441"/>
        <v>0.37076476282671827</v>
      </c>
      <c r="AX281" s="153"/>
      <c r="BA281" s="147">
        <f t="shared" si="509"/>
        <v>15.792961674237105</v>
      </c>
      <c r="BB281" s="147">
        <f t="shared" si="510"/>
        <v>6.9901680000000006</v>
      </c>
      <c r="BC281" s="5">
        <f t="shared" si="442"/>
        <v>1.982575871892726</v>
      </c>
      <c r="BD281" s="147">
        <f t="shared" si="511"/>
        <v>0</v>
      </c>
      <c r="BQ281" s="463">
        <f t="shared" si="512"/>
        <v>0.12415</v>
      </c>
      <c r="CG281" s="59">
        <f t="shared" si="513"/>
        <v>-50</v>
      </c>
      <c r="CH281">
        <f t="shared" si="514"/>
        <v>-50</v>
      </c>
    </row>
    <row r="282" spans="5:86" x14ac:dyDescent="0.25">
      <c r="E282" s="150">
        <v>66</v>
      </c>
      <c r="F282" s="191">
        <f t="shared" si="515"/>
        <v>0.33</v>
      </c>
      <c r="G282" s="191"/>
      <c r="H282" s="191">
        <f t="shared" si="481"/>
        <v>4.95</v>
      </c>
      <c r="I282" s="472">
        <f t="shared" si="482"/>
        <v>13</v>
      </c>
      <c r="J282" s="386">
        <f t="shared" si="483"/>
        <v>7.66</v>
      </c>
      <c r="K282" s="386">
        <f t="shared" si="484"/>
        <v>20.66</v>
      </c>
      <c r="L282" s="386"/>
      <c r="M282" s="191">
        <f t="shared" si="485"/>
        <v>0.37076476282671827</v>
      </c>
      <c r="N282" s="152">
        <f t="shared" si="486"/>
        <v>8.9867817037754101</v>
      </c>
      <c r="O282" s="152">
        <f t="shared" si="478"/>
        <v>4.95</v>
      </c>
      <c r="P282" s="191">
        <f t="shared" si="487"/>
        <v>0.59911878025169396</v>
      </c>
      <c r="Q282" s="191">
        <f t="shared" si="488"/>
        <v>15</v>
      </c>
      <c r="R282" s="191"/>
      <c r="S282" s="152">
        <f t="shared" si="489"/>
        <v>46.858170927936897</v>
      </c>
      <c r="T282" s="152">
        <f t="shared" si="490"/>
        <v>15</v>
      </c>
      <c r="U282" s="191">
        <f t="shared" si="491"/>
        <v>2.2821851777465354</v>
      </c>
      <c r="V282" s="191">
        <f t="shared" si="492"/>
        <v>1.5799743538245246</v>
      </c>
      <c r="W282" s="191">
        <f t="shared" si="493"/>
        <v>2.6814186161512819</v>
      </c>
      <c r="X282" s="175">
        <f t="shared" si="494"/>
        <v>350</v>
      </c>
      <c r="Y282" s="386">
        <f t="shared" si="480"/>
        <v>234.66505132139395</v>
      </c>
      <c r="AA282" s="191">
        <f t="shared" si="495"/>
        <v>1.530140291030901</v>
      </c>
      <c r="AB282" s="153">
        <f t="shared" si="496"/>
        <v>1.7978149633522336</v>
      </c>
      <c r="AC282" s="153">
        <f t="shared" si="497"/>
        <v>0.24070454723380583</v>
      </c>
      <c r="AD282" s="153"/>
      <c r="AE282" s="153">
        <f t="shared" si="498"/>
        <v>0.96344647519582249</v>
      </c>
      <c r="AF282" s="317">
        <f t="shared" si="499"/>
        <v>1670.8308546500102</v>
      </c>
      <c r="AG282" s="463">
        <f t="shared" si="500"/>
        <v>6.9127284595300251E-2</v>
      </c>
      <c r="AI282" s="153">
        <f t="shared" si="501"/>
        <v>1.7916207081591691</v>
      </c>
      <c r="AJ282" s="153">
        <f t="shared" si="502"/>
        <v>2.2821851777465354</v>
      </c>
      <c r="AK282" s="153">
        <f t="shared" si="503"/>
        <v>2.1747901184976905</v>
      </c>
      <c r="AM282" s="317">
        <f t="shared" si="504"/>
        <v>330</v>
      </c>
      <c r="AN282" s="147">
        <f t="shared" si="505"/>
        <v>234.66505132139395</v>
      </c>
      <c r="AP282">
        <f t="shared" si="506"/>
        <v>330</v>
      </c>
      <c r="AQ282">
        <f t="shared" si="507"/>
        <v>234.66505132139395</v>
      </c>
      <c r="AS282" s="5">
        <f t="shared" si="479"/>
        <v>4.2613929699758062</v>
      </c>
      <c r="AT282" s="5">
        <f t="shared" si="508"/>
        <v>1.5799743538245246</v>
      </c>
      <c r="AU282" s="5">
        <f t="shared" si="440"/>
        <v>2.6814186161512819</v>
      </c>
      <c r="AV282" s="5"/>
      <c r="AW282" s="153">
        <f t="shared" si="441"/>
        <v>0.37076476282671833</v>
      </c>
      <c r="AX282" s="153"/>
      <c r="BA282" s="147">
        <f t="shared" si="509"/>
        <v>15.792961674237105</v>
      </c>
      <c r="BB282" s="147">
        <f t="shared" si="510"/>
        <v>7.1916738007100598</v>
      </c>
      <c r="BC282" s="5">
        <f t="shared" si="442"/>
        <v>2.0440474551395771</v>
      </c>
      <c r="BD282" s="147">
        <f t="shared" si="511"/>
        <v>0</v>
      </c>
      <c r="BQ282" s="463">
        <f t="shared" si="512"/>
        <v>0.12606000000000001</v>
      </c>
      <c r="CG282" s="59">
        <f t="shared" si="513"/>
        <v>-50</v>
      </c>
      <c r="CH282">
        <f t="shared" si="514"/>
        <v>-50</v>
      </c>
    </row>
    <row r="283" spans="5:86" x14ac:dyDescent="0.25">
      <c r="E283" s="150">
        <v>67</v>
      </c>
      <c r="F283" s="191">
        <f t="shared" si="515"/>
        <v>0.33500000000000002</v>
      </c>
      <c r="G283" s="191"/>
      <c r="H283" s="191">
        <f t="shared" si="481"/>
        <v>5.0250000000000004</v>
      </c>
      <c r="I283" s="472">
        <f t="shared" si="482"/>
        <v>13</v>
      </c>
      <c r="J283" s="386">
        <f t="shared" si="483"/>
        <v>7.66</v>
      </c>
      <c r="K283" s="386">
        <f t="shared" si="484"/>
        <v>20.66</v>
      </c>
      <c r="L283" s="386"/>
      <c r="M283" s="191">
        <f t="shared" si="485"/>
        <v>0.37076476282671827</v>
      </c>
      <c r="N283" s="152">
        <f t="shared" si="486"/>
        <v>8.9867817037754101</v>
      </c>
      <c r="O283" s="152">
        <f t="shared" si="478"/>
        <v>5.0250000000000004</v>
      </c>
      <c r="P283" s="191">
        <f t="shared" si="487"/>
        <v>0.59911878025169396</v>
      </c>
      <c r="Q283" s="191">
        <f t="shared" si="488"/>
        <v>15</v>
      </c>
      <c r="R283" s="191"/>
      <c r="S283" s="152">
        <f t="shared" si="489"/>
        <v>45.777501929046487</v>
      </c>
      <c r="T283" s="152">
        <f t="shared" si="490"/>
        <v>15</v>
      </c>
      <c r="U283" s="191">
        <f t="shared" si="491"/>
        <v>2.3167637410457256</v>
      </c>
      <c r="V283" s="191">
        <f t="shared" si="492"/>
        <v>1.6039133591855024</v>
      </c>
      <c r="W283" s="191">
        <f t="shared" si="493"/>
        <v>2.7220461709414527</v>
      </c>
      <c r="X283" s="175">
        <f t="shared" si="494"/>
        <v>350</v>
      </c>
      <c r="Y283" s="386">
        <f t="shared" si="480"/>
        <v>231.16258786883583</v>
      </c>
      <c r="AA283" s="191">
        <f t="shared" si="495"/>
        <v>1.530140291030901</v>
      </c>
      <c r="AB283" s="153">
        <f t="shared" si="496"/>
        <v>1.7978149633522336</v>
      </c>
      <c r="AC283" s="153">
        <f t="shared" si="497"/>
        <v>0.24070454723380583</v>
      </c>
      <c r="AD283" s="153"/>
      <c r="AE283" s="153">
        <f t="shared" si="498"/>
        <v>0.96344647519582249</v>
      </c>
      <c r="AF283" s="317">
        <f t="shared" si="499"/>
        <v>1696.1464736598589</v>
      </c>
      <c r="AG283" s="463">
        <f t="shared" si="500"/>
        <v>6.9127284595300251E-2</v>
      </c>
      <c r="AI283" s="153">
        <f t="shared" si="501"/>
        <v>1.8051425657104434</v>
      </c>
      <c r="AJ283" s="153">
        <f t="shared" si="502"/>
        <v>2.3167637410457256</v>
      </c>
      <c r="AK283" s="153">
        <f t="shared" si="503"/>
        <v>2.1978424940304837</v>
      </c>
      <c r="AM283" s="317">
        <f t="shared" si="504"/>
        <v>335</v>
      </c>
      <c r="AN283" s="147">
        <f t="shared" si="505"/>
        <v>231.16258786883583</v>
      </c>
      <c r="AP283">
        <f t="shared" si="506"/>
        <v>335</v>
      </c>
      <c r="AQ283">
        <f t="shared" si="507"/>
        <v>231.16258786883583</v>
      </c>
      <c r="AS283" s="5">
        <f t="shared" si="479"/>
        <v>4.3259595301269549</v>
      </c>
      <c r="AT283" s="5">
        <f t="shared" si="508"/>
        <v>1.6039133591855024</v>
      </c>
      <c r="AU283" s="5">
        <f t="shared" si="440"/>
        <v>2.7220461709414527</v>
      </c>
      <c r="AV283" s="5"/>
      <c r="AW283" s="153">
        <f t="shared" si="441"/>
        <v>0.37076476282671833</v>
      </c>
      <c r="AX283" s="153"/>
      <c r="BA283" s="147">
        <f t="shared" si="509"/>
        <v>15.792961674237105</v>
      </c>
      <c r="BB283" s="147">
        <f t="shared" si="510"/>
        <v>7.396027018224852</v>
      </c>
      <c r="BC283" s="5">
        <f t="shared" si="442"/>
        <v>2.1064575358405788</v>
      </c>
      <c r="BD283" s="147">
        <f t="shared" si="511"/>
        <v>0</v>
      </c>
      <c r="BQ283" s="463">
        <f t="shared" si="512"/>
        <v>0.12797</v>
      </c>
      <c r="CG283" s="59">
        <f t="shared" si="513"/>
        <v>-50</v>
      </c>
      <c r="CH283">
        <f t="shared" si="514"/>
        <v>-50</v>
      </c>
    </row>
    <row r="284" spans="5:86" x14ac:dyDescent="0.25">
      <c r="E284" s="150">
        <v>68</v>
      </c>
      <c r="F284" s="191">
        <f t="shared" si="515"/>
        <v>0.34</v>
      </c>
      <c r="G284" s="191"/>
      <c r="H284" s="191">
        <f t="shared" si="481"/>
        <v>5.1000000000000005</v>
      </c>
      <c r="I284" s="472">
        <f t="shared" si="482"/>
        <v>13</v>
      </c>
      <c r="J284" s="386">
        <f t="shared" si="483"/>
        <v>7.66</v>
      </c>
      <c r="K284" s="386">
        <f t="shared" si="484"/>
        <v>20.66</v>
      </c>
      <c r="L284" s="386"/>
      <c r="M284" s="191">
        <f t="shared" si="485"/>
        <v>0.37076476282671827</v>
      </c>
      <c r="N284" s="152">
        <f t="shared" si="486"/>
        <v>8.9867817037754101</v>
      </c>
      <c r="O284" s="152">
        <f t="shared" si="478"/>
        <v>5.1000000000000005</v>
      </c>
      <c r="P284" s="191">
        <f t="shared" si="487"/>
        <v>0.59911878025169396</v>
      </c>
      <c r="Q284" s="191">
        <f t="shared" si="488"/>
        <v>15</v>
      </c>
      <c r="R284" s="191"/>
      <c r="S284" s="152">
        <f t="shared" si="489"/>
        <v>44.728806225892193</v>
      </c>
      <c r="T284" s="152">
        <f t="shared" si="490"/>
        <v>15</v>
      </c>
      <c r="U284" s="191">
        <f t="shared" si="491"/>
        <v>2.3513423043449153</v>
      </c>
      <c r="V284" s="191">
        <f t="shared" si="492"/>
        <v>1.62785236454648</v>
      </c>
      <c r="W284" s="191">
        <f t="shared" si="493"/>
        <v>2.7626737257316241</v>
      </c>
      <c r="X284" s="175">
        <f t="shared" si="494"/>
        <v>350</v>
      </c>
      <c r="Y284" s="386">
        <f t="shared" si="480"/>
        <v>227.76313804723526</v>
      </c>
      <c r="AA284" s="191">
        <f t="shared" si="495"/>
        <v>1.530140291030901</v>
      </c>
      <c r="AB284" s="153">
        <f t="shared" si="496"/>
        <v>1.7978149633522336</v>
      </c>
      <c r="AC284" s="153">
        <f t="shared" si="497"/>
        <v>0.24070454723380583</v>
      </c>
      <c r="AD284" s="153"/>
      <c r="AE284" s="153">
        <f t="shared" si="498"/>
        <v>0.96344647519582249</v>
      </c>
      <c r="AF284" s="317">
        <f t="shared" si="499"/>
        <v>1721.4620926697075</v>
      </c>
      <c r="AG284" s="463">
        <f t="shared" si="500"/>
        <v>6.9127284595300251E-2</v>
      </c>
      <c r="AI284" s="153">
        <f t="shared" si="501"/>
        <v>1.818563884820823</v>
      </c>
      <c r="AJ284" s="153">
        <f t="shared" si="502"/>
        <v>2.3513423043449153</v>
      </c>
      <c r="AK284" s="153">
        <f t="shared" si="503"/>
        <v>2.2208948695632769</v>
      </c>
      <c r="AM284" s="317">
        <f t="shared" si="504"/>
        <v>340</v>
      </c>
      <c r="AN284" s="147">
        <f t="shared" si="505"/>
        <v>227.76313804723526</v>
      </c>
      <c r="AP284">
        <f t="shared" si="506"/>
        <v>340</v>
      </c>
      <c r="AQ284">
        <f t="shared" si="507"/>
        <v>227.76313804723526</v>
      </c>
      <c r="AS284" s="5">
        <f t="shared" si="479"/>
        <v>4.3905260902781045</v>
      </c>
      <c r="AT284" s="5">
        <f t="shared" si="508"/>
        <v>1.62785236454648</v>
      </c>
      <c r="AU284" s="5">
        <f t="shared" si="440"/>
        <v>2.7626737257316245</v>
      </c>
      <c r="AV284" s="5"/>
      <c r="AW284" s="153">
        <f t="shared" si="441"/>
        <v>0.37076476282671827</v>
      </c>
      <c r="AX284" s="153"/>
      <c r="BA284" s="147">
        <f t="shared" si="509"/>
        <v>15.792961674237105</v>
      </c>
      <c r="BB284" s="147">
        <f t="shared" si="510"/>
        <v>7.6032276525443798</v>
      </c>
      <c r="BC284" s="5">
        <f t="shared" si="442"/>
        <v>2.1698061139957314</v>
      </c>
      <c r="BD284" s="147">
        <f t="shared" si="511"/>
        <v>0</v>
      </c>
      <c r="BQ284" s="463">
        <f t="shared" si="512"/>
        <v>0.12988</v>
      </c>
      <c r="CG284" s="59">
        <f t="shared" si="513"/>
        <v>-50</v>
      </c>
      <c r="CH284">
        <f t="shared" si="514"/>
        <v>-50</v>
      </c>
    </row>
    <row r="285" spans="5:86" x14ac:dyDescent="0.25">
      <c r="E285" s="150">
        <v>69</v>
      </c>
      <c r="F285" s="191">
        <f t="shared" si="515"/>
        <v>0.34499999999999997</v>
      </c>
      <c r="G285" s="191"/>
      <c r="H285" s="191">
        <f t="shared" si="481"/>
        <v>5.1749999999999998</v>
      </c>
      <c r="I285" s="472">
        <f t="shared" si="482"/>
        <v>13</v>
      </c>
      <c r="J285" s="386">
        <f t="shared" si="483"/>
        <v>7.66</v>
      </c>
      <c r="K285" s="386">
        <f t="shared" si="484"/>
        <v>20.66</v>
      </c>
      <c r="L285" s="386"/>
      <c r="M285" s="191">
        <f t="shared" si="485"/>
        <v>0.37076476282671827</v>
      </c>
      <c r="N285" s="152">
        <f t="shared" si="486"/>
        <v>8.9867817037754101</v>
      </c>
      <c r="O285" s="152">
        <f t="shared" si="478"/>
        <v>5.1749999999999998</v>
      </c>
      <c r="P285" s="191">
        <f t="shared" si="487"/>
        <v>0.59911878025169396</v>
      </c>
      <c r="Q285" s="191">
        <f t="shared" si="488"/>
        <v>15</v>
      </c>
      <c r="R285" s="191"/>
      <c r="S285" s="152">
        <f t="shared" si="489"/>
        <v>43.710698205332953</v>
      </c>
      <c r="T285" s="152">
        <f t="shared" si="490"/>
        <v>15</v>
      </c>
      <c r="U285" s="191">
        <f t="shared" si="491"/>
        <v>2.385920867644105</v>
      </c>
      <c r="V285" s="191">
        <f t="shared" si="492"/>
        <v>1.6517913699074576</v>
      </c>
      <c r="W285" s="191">
        <f t="shared" si="493"/>
        <v>2.8033012805217945</v>
      </c>
      <c r="X285" s="175">
        <f t="shared" si="494"/>
        <v>350</v>
      </c>
      <c r="Y285" s="386">
        <f t="shared" si="480"/>
        <v>224.46222300307247</v>
      </c>
      <c r="AA285" s="191">
        <f t="shared" si="495"/>
        <v>1.530140291030901</v>
      </c>
      <c r="AB285" s="153">
        <f t="shared" si="496"/>
        <v>1.7978149633522336</v>
      </c>
      <c r="AC285" s="153">
        <f t="shared" si="497"/>
        <v>0.24070454723380583</v>
      </c>
      <c r="AD285" s="153"/>
      <c r="AE285" s="153">
        <f t="shared" si="498"/>
        <v>0.96344647519582249</v>
      </c>
      <c r="AF285" s="317">
        <f t="shared" si="499"/>
        <v>1746.777711679556</v>
      </c>
      <c r="AG285" s="463">
        <f t="shared" si="500"/>
        <v>6.9127284595300251E-2</v>
      </c>
      <c r="AI285" s="153">
        <f t="shared" si="501"/>
        <v>1.8318868752762882</v>
      </c>
      <c r="AJ285" s="153">
        <f t="shared" si="502"/>
        <v>2.385920867644105</v>
      </c>
      <c r="AK285" s="153">
        <f t="shared" si="503"/>
        <v>2.24394724509607</v>
      </c>
      <c r="AM285" s="317">
        <f t="shared" si="504"/>
        <v>345</v>
      </c>
      <c r="AN285" s="147">
        <f t="shared" si="505"/>
        <v>224.46222300307247</v>
      </c>
      <c r="AP285">
        <f t="shared" si="506"/>
        <v>345</v>
      </c>
      <c r="AQ285">
        <f t="shared" si="507"/>
        <v>224.46222300307247</v>
      </c>
      <c r="AS285" s="5">
        <f t="shared" si="479"/>
        <v>4.4550926504292523</v>
      </c>
      <c r="AT285" s="5">
        <f t="shared" si="508"/>
        <v>1.6517913699074576</v>
      </c>
      <c r="AU285" s="5">
        <f t="shared" si="440"/>
        <v>2.8033012805217945</v>
      </c>
      <c r="AV285" s="5"/>
      <c r="AW285" s="153">
        <f t="shared" si="441"/>
        <v>0.37076476282671833</v>
      </c>
      <c r="AX285" s="153"/>
      <c r="BA285" s="147">
        <f t="shared" si="509"/>
        <v>15.792961674237105</v>
      </c>
      <c r="BB285" s="147">
        <f t="shared" si="510"/>
        <v>7.813275703668638</v>
      </c>
      <c r="BC285" s="5">
        <f t="shared" si="442"/>
        <v>2.2340931896050336</v>
      </c>
      <c r="BD285" s="147">
        <f t="shared" si="511"/>
        <v>0</v>
      </c>
      <c r="BQ285" s="463">
        <f t="shared" si="512"/>
        <v>0.13178999999999999</v>
      </c>
      <c r="CG285" s="59">
        <f t="shared" si="513"/>
        <v>-50</v>
      </c>
      <c r="CH285">
        <f t="shared" si="514"/>
        <v>-50</v>
      </c>
    </row>
    <row r="286" spans="5:86" x14ac:dyDescent="0.25">
      <c r="E286" s="150">
        <v>70</v>
      </c>
      <c r="F286" s="191">
        <f t="shared" si="515"/>
        <v>0.35</v>
      </c>
      <c r="G286" s="191"/>
      <c r="H286" s="191">
        <f t="shared" si="481"/>
        <v>5.25</v>
      </c>
      <c r="I286" s="472">
        <f t="shared" si="482"/>
        <v>13</v>
      </c>
      <c r="J286" s="386">
        <f t="shared" si="483"/>
        <v>7.66</v>
      </c>
      <c r="K286" s="386">
        <f t="shared" si="484"/>
        <v>20.66</v>
      </c>
      <c r="L286" s="386"/>
      <c r="M286" s="191">
        <f t="shared" si="485"/>
        <v>0.37076476282671827</v>
      </c>
      <c r="N286" s="152">
        <f t="shared" si="486"/>
        <v>8.9867817037754101</v>
      </c>
      <c r="O286" s="152">
        <f t="shared" si="478"/>
        <v>5.25</v>
      </c>
      <c r="P286" s="191">
        <f t="shared" si="487"/>
        <v>0.59911878025169396</v>
      </c>
      <c r="Q286" s="191">
        <f t="shared" si="488"/>
        <v>15</v>
      </c>
      <c r="R286" s="191"/>
      <c r="S286" s="152">
        <f t="shared" si="489"/>
        <v>42.721871573195756</v>
      </c>
      <c r="T286" s="152">
        <f t="shared" si="490"/>
        <v>15</v>
      </c>
      <c r="U286" s="191">
        <f t="shared" si="491"/>
        <v>2.4204994309432948</v>
      </c>
      <c r="V286" s="191">
        <f t="shared" si="492"/>
        <v>1.6757303752684349</v>
      </c>
      <c r="W286" s="191">
        <f t="shared" si="493"/>
        <v>2.8439288353119654</v>
      </c>
      <c r="X286" s="175">
        <f t="shared" si="494"/>
        <v>350</v>
      </c>
      <c r="Y286" s="386">
        <f t="shared" si="480"/>
        <v>221.25561981731431</v>
      </c>
      <c r="AA286" s="191">
        <f t="shared" si="495"/>
        <v>1.530140291030901</v>
      </c>
      <c r="AB286" s="153">
        <f t="shared" si="496"/>
        <v>1.7978149633522336</v>
      </c>
      <c r="AC286" s="153">
        <f t="shared" si="497"/>
        <v>0.24070454723380583</v>
      </c>
      <c r="AD286" s="153"/>
      <c r="AE286" s="153">
        <f t="shared" si="498"/>
        <v>0.96344647519582249</v>
      </c>
      <c r="AF286" s="317">
        <f t="shared" si="499"/>
        <v>1772.0933306894046</v>
      </c>
      <c r="AG286" s="463">
        <f t="shared" si="500"/>
        <v>6.9127284595300251E-2</v>
      </c>
      <c r="AI286" s="153">
        <f t="shared" si="501"/>
        <v>1.8451136670797397</v>
      </c>
      <c r="AJ286" s="153">
        <f t="shared" si="502"/>
        <v>2.4204994309432948</v>
      </c>
      <c r="AK286" s="153">
        <f t="shared" si="503"/>
        <v>2.2669996206288632</v>
      </c>
      <c r="AM286" s="317">
        <f t="shared" si="504"/>
        <v>350</v>
      </c>
      <c r="AN286" s="147">
        <f t="shared" si="505"/>
        <v>221.25561981731431</v>
      </c>
      <c r="AP286">
        <f t="shared" si="506"/>
        <v>350</v>
      </c>
      <c r="AQ286">
        <f t="shared" si="507"/>
        <v>221.25561981731431</v>
      </c>
      <c r="AS286" s="5">
        <f t="shared" si="479"/>
        <v>4.5196592105804001</v>
      </c>
      <c r="AT286" s="5">
        <f t="shared" si="508"/>
        <v>1.6757303752684349</v>
      </c>
      <c r="AU286" s="5">
        <f t="shared" si="440"/>
        <v>2.8439288353119654</v>
      </c>
      <c r="AV286" s="5"/>
      <c r="AW286" s="153">
        <f t="shared" si="441"/>
        <v>0.37076476282671833</v>
      </c>
      <c r="AX286" s="153"/>
      <c r="BA286" s="147">
        <f t="shared" si="509"/>
        <v>15.792961674237105</v>
      </c>
      <c r="BB286" s="147">
        <f t="shared" si="510"/>
        <v>8.0261711715976318</v>
      </c>
      <c r="BC286" s="5">
        <f t="shared" si="442"/>
        <v>2.2993187626684861</v>
      </c>
      <c r="BD286" s="147">
        <f t="shared" si="511"/>
        <v>0</v>
      </c>
      <c r="BQ286" s="463">
        <f t="shared" si="512"/>
        <v>0.13369999999999999</v>
      </c>
      <c r="CG286" s="59">
        <f t="shared" si="513"/>
        <v>-50</v>
      </c>
      <c r="CH286">
        <f t="shared" si="514"/>
        <v>-50</v>
      </c>
    </row>
    <row r="287" spans="5:86" x14ac:dyDescent="0.25">
      <c r="E287" s="150">
        <v>71</v>
      </c>
      <c r="F287" s="191">
        <f t="shared" si="515"/>
        <v>0.35499999999999998</v>
      </c>
      <c r="G287" s="191"/>
      <c r="H287" s="191">
        <f t="shared" si="481"/>
        <v>5.3249999999999993</v>
      </c>
      <c r="I287" s="472">
        <f t="shared" si="482"/>
        <v>13</v>
      </c>
      <c r="J287" s="386">
        <f t="shared" si="483"/>
        <v>7.66</v>
      </c>
      <c r="K287" s="386">
        <f t="shared" si="484"/>
        <v>20.66</v>
      </c>
      <c r="L287" s="386"/>
      <c r="M287" s="191">
        <f t="shared" si="485"/>
        <v>0.37076476282671827</v>
      </c>
      <c r="N287" s="152">
        <f t="shared" si="486"/>
        <v>8.9867817037754101</v>
      </c>
      <c r="O287" s="152">
        <f t="shared" si="478"/>
        <v>5.3249999999999993</v>
      </c>
      <c r="P287" s="191">
        <f t="shared" si="487"/>
        <v>0.59911878025169396</v>
      </c>
      <c r="Q287" s="191">
        <f t="shared" si="488"/>
        <v>15</v>
      </c>
      <c r="R287" s="191"/>
      <c r="S287" s="152">
        <f t="shared" si="489"/>
        <v>41.761093773756947</v>
      </c>
      <c r="T287" s="152">
        <f t="shared" si="490"/>
        <v>15</v>
      </c>
      <c r="U287" s="191">
        <f t="shared" si="491"/>
        <v>2.4550779942424845</v>
      </c>
      <c r="V287" s="191">
        <f t="shared" si="492"/>
        <v>1.6996693806294123</v>
      </c>
      <c r="W287" s="191">
        <f t="shared" si="493"/>
        <v>2.8845563901021358</v>
      </c>
      <c r="X287" s="175">
        <f t="shared" si="494"/>
        <v>350</v>
      </c>
      <c r="Y287" s="386">
        <f t="shared" si="480"/>
        <v>218.13934348185924</v>
      </c>
      <c r="AA287" s="191">
        <f t="shared" si="495"/>
        <v>1.530140291030901</v>
      </c>
      <c r="AB287" s="153">
        <f t="shared" si="496"/>
        <v>1.7978149633522336</v>
      </c>
      <c r="AC287" s="153">
        <f t="shared" si="497"/>
        <v>0.24070454723380583</v>
      </c>
      <c r="AD287" s="153"/>
      <c r="AE287" s="153">
        <f t="shared" si="498"/>
        <v>0.96344647519582249</v>
      </c>
      <c r="AF287" s="317">
        <f t="shared" si="499"/>
        <v>1797.4089496992533</v>
      </c>
      <c r="AG287" s="463">
        <f t="shared" si="500"/>
        <v>6.9127284595300251E-2</v>
      </c>
      <c r="AI287" s="153">
        <f t="shared" si="501"/>
        <v>1.8582463144264176</v>
      </c>
      <c r="AJ287" s="153">
        <f t="shared" si="502"/>
        <v>2.4550779942424845</v>
      </c>
      <c r="AK287" s="153">
        <f t="shared" si="503"/>
        <v>2.2900519961616563</v>
      </c>
      <c r="AM287" s="317">
        <f t="shared" si="504"/>
        <v>355</v>
      </c>
      <c r="AN287" s="147">
        <f t="shared" si="505"/>
        <v>218.13934348185924</v>
      </c>
      <c r="AP287">
        <f t="shared" si="506"/>
        <v>355</v>
      </c>
      <c r="AQ287">
        <f t="shared" si="507"/>
        <v>218.13934348185924</v>
      </c>
      <c r="AS287" s="5">
        <f t="shared" si="479"/>
        <v>4.5842257707315479</v>
      </c>
      <c r="AT287" s="5">
        <f t="shared" si="508"/>
        <v>1.6996693806294123</v>
      </c>
      <c r="AU287" s="5">
        <f t="shared" si="440"/>
        <v>2.8845563901021354</v>
      </c>
      <c r="AV287" s="5"/>
      <c r="AW287" s="153">
        <f t="shared" si="441"/>
        <v>0.37076476282671833</v>
      </c>
      <c r="AX287" s="153"/>
      <c r="BA287" s="147">
        <f t="shared" si="509"/>
        <v>15.792961674237105</v>
      </c>
      <c r="BB287" s="147">
        <f t="shared" si="510"/>
        <v>8.2419140563313604</v>
      </c>
      <c r="BC287" s="5">
        <f t="shared" si="442"/>
        <v>2.3654828331860887</v>
      </c>
      <c r="BD287" s="147">
        <f t="shared" si="511"/>
        <v>0</v>
      </c>
      <c r="BQ287" s="463">
        <f t="shared" si="512"/>
        <v>0.13560999999999998</v>
      </c>
      <c r="CG287" s="59">
        <f t="shared" si="513"/>
        <v>-50</v>
      </c>
      <c r="CH287">
        <f t="shared" si="514"/>
        <v>-50</v>
      </c>
    </row>
    <row r="288" spans="5:86" x14ac:dyDescent="0.25">
      <c r="E288" s="150">
        <v>72</v>
      </c>
      <c r="F288" s="191">
        <f t="shared" si="515"/>
        <v>0.36</v>
      </c>
      <c r="G288" s="191"/>
      <c r="H288" s="191">
        <f t="shared" si="481"/>
        <v>5.3999999999999995</v>
      </c>
      <c r="I288" s="472">
        <f t="shared" si="482"/>
        <v>13</v>
      </c>
      <c r="J288" s="386">
        <f t="shared" si="483"/>
        <v>7.66</v>
      </c>
      <c r="K288" s="386">
        <f t="shared" si="484"/>
        <v>20.66</v>
      </c>
      <c r="L288" s="386"/>
      <c r="M288" s="191">
        <f t="shared" si="485"/>
        <v>0.37076476282671827</v>
      </c>
      <c r="N288" s="152">
        <f t="shared" si="486"/>
        <v>8.9867817037754101</v>
      </c>
      <c r="O288" s="152">
        <f t="shared" si="478"/>
        <v>5.3999999999999995</v>
      </c>
      <c r="P288" s="191">
        <f t="shared" si="487"/>
        <v>0.59911878025169396</v>
      </c>
      <c r="Q288" s="191">
        <f t="shared" si="488"/>
        <v>15</v>
      </c>
      <c r="R288" s="191"/>
      <c r="S288" s="152">
        <f t="shared" si="489"/>
        <v>40.827200874498772</v>
      </c>
      <c r="T288" s="152">
        <f t="shared" si="490"/>
        <v>15</v>
      </c>
      <c r="U288" s="191">
        <f t="shared" si="491"/>
        <v>2.4896565575416747</v>
      </c>
      <c r="V288" s="191">
        <f t="shared" si="492"/>
        <v>1.7236083859903901</v>
      </c>
      <c r="W288" s="191">
        <f t="shared" si="493"/>
        <v>2.9251839448923072</v>
      </c>
      <c r="X288" s="175">
        <f t="shared" si="494"/>
        <v>350</v>
      </c>
      <c r="Y288" s="386">
        <f t="shared" si="480"/>
        <v>215.10963037794448</v>
      </c>
      <c r="AA288" s="191">
        <f t="shared" si="495"/>
        <v>1.530140291030901</v>
      </c>
      <c r="AB288" s="153">
        <f t="shared" si="496"/>
        <v>1.7978149633522336</v>
      </c>
      <c r="AC288" s="153">
        <f t="shared" si="497"/>
        <v>0.24070454723380583</v>
      </c>
      <c r="AD288" s="153"/>
      <c r="AE288" s="153">
        <f t="shared" si="498"/>
        <v>0.96344647519582249</v>
      </c>
      <c r="AF288" s="317">
        <f t="shared" si="499"/>
        <v>1822.7245687091017</v>
      </c>
      <c r="AG288" s="463">
        <f t="shared" si="500"/>
        <v>6.9127284595300251E-2</v>
      </c>
      <c r="AI288" s="153">
        <f t="shared" si="501"/>
        <v>1.8712867994282132</v>
      </c>
      <c r="AJ288" s="153">
        <f t="shared" si="502"/>
        <v>2.4896565575416747</v>
      </c>
      <c r="AK288" s="153">
        <f t="shared" si="503"/>
        <v>2.3131043716944499</v>
      </c>
      <c r="AM288" s="317">
        <f t="shared" si="504"/>
        <v>360</v>
      </c>
      <c r="AN288" s="147">
        <f t="shared" si="505"/>
        <v>215.10963037794448</v>
      </c>
      <c r="AP288">
        <f t="shared" si="506"/>
        <v>360</v>
      </c>
      <c r="AQ288">
        <f t="shared" si="507"/>
        <v>215.10963037794448</v>
      </c>
      <c r="AS288" s="5">
        <f t="shared" si="479"/>
        <v>4.6487923308826975</v>
      </c>
      <c r="AT288" s="5">
        <f t="shared" si="508"/>
        <v>1.7236083859903901</v>
      </c>
      <c r="AU288" s="5">
        <f t="shared" si="440"/>
        <v>2.9251839448923072</v>
      </c>
      <c r="AV288" s="5"/>
      <c r="AW288" s="153">
        <f t="shared" si="441"/>
        <v>0.37076476282671827</v>
      </c>
      <c r="AX288" s="153"/>
      <c r="BA288" s="147">
        <f t="shared" si="509"/>
        <v>15.792961674237105</v>
      </c>
      <c r="BB288" s="147">
        <f t="shared" si="510"/>
        <v>8.4605043578698229</v>
      </c>
      <c r="BC288" s="5">
        <f t="shared" si="442"/>
        <v>2.4325854011578429</v>
      </c>
      <c r="BD288" s="147">
        <f t="shared" si="511"/>
        <v>0</v>
      </c>
      <c r="BQ288" s="463">
        <f t="shared" si="512"/>
        <v>0.13751999999999998</v>
      </c>
      <c r="CG288" s="59">
        <f t="shared" si="513"/>
        <v>-50</v>
      </c>
      <c r="CH288">
        <f t="shared" si="514"/>
        <v>-50</v>
      </c>
    </row>
    <row r="289" spans="5:86" x14ac:dyDescent="0.25">
      <c r="E289" s="150">
        <v>73</v>
      </c>
      <c r="F289" s="191">
        <f t="shared" si="515"/>
        <v>0.36499999999999999</v>
      </c>
      <c r="G289" s="191"/>
      <c r="H289" s="191">
        <f t="shared" si="481"/>
        <v>5.4749999999999996</v>
      </c>
      <c r="I289" s="472">
        <f t="shared" si="482"/>
        <v>13</v>
      </c>
      <c r="J289" s="386">
        <f t="shared" si="483"/>
        <v>7.66</v>
      </c>
      <c r="K289" s="386">
        <f t="shared" si="484"/>
        <v>20.66</v>
      </c>
      <c r="L289" s="386"/>
      <c r="M289" s="191">
        <f t="shared" si="485"/>
        <v>0.37076476282671827</v>
      </c>
      <c r="N289" s="152">
        <f t="shared" si="486"/>
        <v>8.9867817037754101</v>
      </c>
      <c r="O289" s="152">
        <f t="shared" si="478"/>
        <v>5.4749999999999996</v>
      </c>
      <c r="P289" s="191">
        <f t="shared" si="487"/>
        <v>0.59911878025169396</v>
      </c>
      <c r="Q289" s="191">
        <f t="shared" si="488"/>
        <v>15</v>
      </c>
      <c r="R289" s="191"/>
      <c r="S289" s="152">
        <f t="shared" si="489"/>
        <v>39.919092871536911</v>
      </c>
      <c r="T289" s="152">
        <f t="shared" si="490"/>
        <v>15</v>
      </c>
      <c r="U289" s="191">
        <f t="shared" si="491"/>
        <v>2.5242351208408644</v>
      </c>
      <c r="V289" s="191">
        <f t="shared" si="492"/>
        <v>1.7475473913513677</v>
      </c>
      <c r="W289" s="191">
        <f t="shared" si="493"/>
        <v>2.9658114996824776</v>
      </c>
      <c r="X289" s="175">
        <f t="shared" si="494"/>
        <v>350</v>
      </c>
      <c r="Y289" s="386">
        <f t="shared" si="480"/>
        <v>212.16292311249322</v>
      </c>
      <c r="AA289" s="191">
        <f t="shared" si="495"/>
        <v>1.530140291030901</v>
      </c>
      <c r="AB289" s="153">
        <f t="shared" si="496"/>
        <v>1.7978149633522336</v>
      </c>
      <c r="AC289" s="153">
        <f t="shared" si="497"/>
        <v>0.24070454723380583</v>
      </c>
      <c r="AD289" s="153"/>
      <c r="AE289" s="153">
        <f t="shared" si="498"/>
        <v>0.96344647519582249</v>
      </c>
      <c r="AF289" s="317">
        <f t="shared" si="499"/>
        <v>1848.0401877189504</v>
      </c>
      <c r="AG289" s="463">
        <f t="shared" si="500"/>
        <v>6.9127284595300251E-2</v>
      </c>
      <c r="AI289" s="153">
        <f t="shared" si="501"/>
        <v>1.8842370356059788</v>
      </c>
      <c r="AJ289" s="153">
        <f t="shared" si="502"/>
        <v>2.5242351208408644</v>
      </c>
      <c r="AK289" s="153">
        <f t="shared" si="503"/>
        <v>2.3361567472272431</v>
      </c>
      <c r="AM289" s="317">
        <f t="shared" si="504"/>
        <v>365</v>
      </c>
      <c r="AN289" s="147">
        <f t="shared" si="505"/>
        <v>212.16292311249322</v>
      </c>
      <c r="AP289">
        <f t="shared" si="506"/>
        <v>365</v>
      </c>
      <c r="AQ289">
        <f t="shared" si="507"/>
        <v>212.16292311249322</v>
      </c>
      <c r="AS289" s="5">
        <f t="shared" si="479"/>
        <v>4.7133588910338453</v>
      </c>
      <c r="AT289" s="5">
        <f t="shared" si="508"/>
        <v>1.7475473913513677</v>
      </c>
      <c r="AU289" s="5">
        <f t="shared" si="440"/>
        <v>2.9658114996824776</v>
      </c>
      <c r="AV289" s="5"/>
      <c r="AW289" s="153">
        <f t="shared" si="441"/>
        <v>0.37076476282671833</v>
      </c>
      <c r="AX289" s="153"/>
      <c r="BA289" s="147">
        <f t="shared" si="509"/>
        <v>15.792961674237105</v>
      </c>
      <c r="BB289" s="147">
        <f t="shared" si="510"/>
        <v>8.6819420762130175</v>
      </c>
      <c r="BC289" s="5">
        <f t="shared" si="442"/>
        <v>2.5006264665837472</v>
      </c>
      <c r="BD289" s="147">
        <f t="shared" si="511"/>
        <v>0</v>
      </c>
      <c r="BQ289" s="463">
        <f t="shared" si="512"/>
        <v>0.13943</v>
      </c>
      <c r="CG289" s="59">
        <f t="shared" si="513"/>
        <v>-50</v>
      </c>
      <c r="CH289">
        <f t="shared" si="514"/>
        <v>-50</v>
      </c>
    </row>
    <row r="290" spans="5:86" x14ac:dyDescent="0.25">
      <c r="E290" s="150">
        <v>74</v>
      </c>
      <c r="F290" s="191">
        <f t="shared" si="515"/>
        <v>0.37</v>
      </c>
      <c r="G290" s="191"/>
      <c r="H290" s="191">
        <f t="shared" si="481"/>
        <v>5.55</v>
      </c>
      <c r="I290" s="472">
        <f t="shared" si="482"/>
        <v>13</v>
      </c>
      <c r="J290" s="386">
        <f t="shared" si="483"/>
        <v>7.66</v>
      </c>
      <c r="K290" s="386">
        <f t="shared" si="484"/>
        <v>20.66</v>
      </c>
      <c r="L290" s="386"/>
      <c r="M290" s="191">
        <f t="shared" si="485"/>
        <v>0.37076476282671827</v>
      </c>
      <c r="N290" s="152">
        <f t="shared" si="486"/>
        <v>8.9867817037754101</v>
      </c>
      <c r="O290" s="152">
        <f t="shared" si="478"/>
        <v>5.55</v>
      </c>
      <c r="P290" s="191">
        <f t="shared" si="487"/>
        <v>0.59911878025169396</v>
      </c>
      <c r="Q290" s="191">
        <f t="shared" si="488"/>
        <v>15</v>
      </c>
      <c r="R290" s="191"/>
      <c r="S290" s="152">
        <f t="shared" si="489"/>
        <v>39.035729375937649</v>
      </c>
      <c r="T290" s="152">
        <f t="shared" si="490"/>
        <v>15</v>
      </c>
      <c r="U290" s="191">
        <f t="shared" si="491"/>
        <v>2.5588136841400546</v>
      </c>
      <c r="V290" s="191">
        <f t="shared" si="492"/>
        <v>1.7714863967123455</v>
      </c>
      <c r="W290" s="191">
        <f t="shared" si="493"/>
        <v>3.0064390544726494</v>
      </c>
      <c r="X290" s="175">
        <f t="shared" si="494"/>
        <v>350</v>
      </c>
      <c r="Y290" s="386">
        <f t="shared" si="480"/>
        <v>209.29585658394595</v>
      </c>
      <c r="AA290" s="191">
        <f t="shared" si="495"/>
        <v>1.530140291030901</v>
      </c>
      <c r="AB290" s="153">
        <f t="shared" si="496"/>
        <v>1.7978149633522336</v>
      </c>
      <c r="AC290" s="153">
        <f t="shared" si="497"/>
        <v>0.24070454723380583</v>
      </c>
      <c r="AD290" s="153"/>
      <c r="AE290" s="153">
        <f t="shared" si="498"/>
        <v>0.96344647519582249</v>
      </c>
      <c r="AF290" s="317">
        <f t="shared" si="499"/>
        <v>1873.3558067287991</v>
      </c>
      <c r="AG290" s="463">
        <f t="shared" si="500"/>
        <v>6.9127284595300251E-2</v>
      </c>
      <c r="AI290" s="153">
        <f t="shared" si="501"/>
        <v>1.8970988711672692</v>
      </c>
      <c r="AJ290" s="153">
        <f t="shared" si="502"/>
        <v>2.5588136841400546</v>
      </c>
      <c r="AK290" s="153">
        <f t="shared" si="503"/>
        <v>2.3592091227600367</v>
      </c>
      <c r="AM290" s="317">
        <f t="shared" si="504"/>
        <v>370</v>
      </c>
      <c r="AN290" s="147">
        <f t="shared" si="505"/>
        <v>209.29585658394595</v>
      </c>
      <c r="AP290">
        <f t="shared" si="506"/>
        <v>370</v>
      </c>
      <c r="AQ290">
        <f t="shared" si="507"/>
        <v>209.29585658394595</v>
      </c>
      <c r="AS290" s="5">
        <f t="shared" si="479"/>
        <v>4.7779254511849949</v>
      </c>
      <c r="AT290" s="5">
        <f t="shared" si="508"/>
        <v>1.7714863967123455</v>
      </c>
      <c r="AU290" s="5">
        <f t="shared" si="440"/>
        <v>3.0064390544726494</v>
      </c>
      <c r="AV290" s="5"/>
      <c r="AW290" s="153">
        <f t="shared" si="441"/>
        <v>0.37076476282671827</v>
      </c>
      <c r="AX290" s="153"/>
      <c r="BA290" s="147">
        <f t="shared" si="509"/>
        <v>15.792961674237105</v>
      </c>
      <c r="BB290" s="147">
        <f t="shared" si="510"/>
        <v>8.906227211360946</v>
      </c>
      <c r="BC290" s="5">
        <f t="shared" si="442"/>
        <v>2.5696060294638028</v>
      </c>
      <c r="BD290" s="147">
        <f t="shared" si="511"/>
        <v>0</v>
      </c>
      <c r="BQ290" s="463">
        <f t="shared" si="512"/>
        <v>0.14133999999999999</v>
      </c>
      <c r="CG290" s="59">
        <f t="shared" si="513"/>
        <v>-50</v>
      </c>
      <c r="CH290">
        <f t="shared" si="514"/>
        <v>-50</v>
      </c>
    </row>
    <row r="291" spans="5:86" x14ac:dyDescent="0.25">
      <c r="E291" s="150">
        <v>75</v>
      </c>
      <c r="F291" s="191">
        <f t="shared" si="515"/>
        <v>0.375</v>
      </c>
      <c r="G291" s="191"/>
      <c r="H291" s="191">
        <f t="shared" si="481"/>
        <v>5.625</v>
      </c>
      <c r="I291" s="472">
        <f t="shared" si="482"/>
        <v>13</v>
      </c>
      <c r="J291" s="386">
        <f t="shared" si="483"/>
        <v>7.66</v>
      </c>
      <c r="K291" s="386">
        <f t="shared" si="484"/>
        <v>20.66</v>
      </c>
      <c r="L291" s="386"/>
      <c r="M291" s="191">
        <f t="shared" si="485"/>
        <v>0.37076476282671827</v>
      </c>
      <c r="N291" s="152">
        <f t="shared" si="486"/>
        <v>8.9867817037754101</v>
      </c>
      <c r="O291" s="152">
        <f t="shared" si="478"/>
        <v>5.625</v>
      </c>
      <c r="P291" s="191">
        <f t="shared" si="487"/>
        <v>0.59911878025169396</v>
      </c>
      <c r="Q291" s="191">
        <f t="shared" si="488"/>
        <v>15</v>
      </c>
      <c r="R291" s="191"/>
      <c r="S291" s="152">
        <f t="shared" si="489"/>
        <v>38.17612564538679</v>
      </c>
      <c r="T291" s="152">
        <f t="shared" si="490"/>
        <v>15</v>
      </c>
      <c r="U291" s="191">
        <f t="shared" si="491"/>
        <v>2.5933922474392448</v>
      </c>
      <c r="V291" s="191">
        <f t="shared" si="492"/>
        <v>1.7954254020733234</v>
      </c>
      <c r="W291" s="191">
        <f t="shared" si="493"/>
        <v>3.0470666092628202</v>
      </c>
      <c r="X291" s="175">
        <f t="shared" si="494"/>
        <v>350</v>
      </c>
      <c r="Y291" s="386">
        <f t="shared" si="480"/>
        <v>206.50524516282667</v>
      </c>
      <c r="AA291" s="191">
        <f t="shared" si="495"/>
        <v>1.530140291030901</v>
      </c>
      <c r="AB291" s="153">
        <f t="shared" si="496"/>
        <v>1.7978149633522336</v>
      </c>
      <c r="AC291" s="153">
        <f t="shared" si="497"/>
        <v>0.24070454723380583</v>
      </c>
      <c r="AD291" s="153"/>
      <c r="AE291" s="153">
        <f t="shared" si="498"/>
        <v>0.96344647519582249</v>
      </c>
      <c r="AF291" s="317">
        <f t="shared" si="499"/>
        <v>1898.6714257386477</v>
      </c>
      <c r="AG291" s="463">
        <f t="shared" si="500"/>
        <v>6.9127284595300251E-2</v>
      </c>
      <c r="AI291" s="153">
        <f t="shared" si="501"/>
        <v>1.9098740920854043</v>
      </c>
      <c r="AJ291" s="153">
        <f t="shared" si="502"/>
        <v>2.5933922474392448</v>
      </c>
      <c r="AK291" s="153">
        <f t="shared" si="503"/>
        <v>2.3822614982928298</v>
      </c>
      <c r="AM291" s="317">
        <f t="shared" si="504"/>
        <v>375</v>
      </c>
      <c r="AN291" s="147">
        <f t="shared" si="505"/>
        <v>206.50524516282667</v>
      </c>
      <c r="AP291">
        <f t="shared" si="506"/>
        <v>375</v>
      </c>
      <c r="AQ291">
        <f t="shared" si="507"/>
        <v>206.50524516282667</v>
      </c>
      <c r="AS291" s="5">
        <f t="shared" si="479"/>
        <v>4.8424920113361445</v>
      </c>
      <c r="AT291" s="5">
        <f t="shared" si="508"/>
        <v>1.7954254020733234</v>
      </c>
      <c r="AU291" s="5">
        <f t="shared" si="440"/>
        <v>3.0470666092628211</v>
      </c>
      <c r="AV291" s="5"/>
      <c r="AW291" s="153">
        <f t="shared" si="441"/>
        <v>0.37076476282671822</v>
      </c>
      <c r="AX291" s="153"/>
      <c r="BA291" s="147">
        <f t="shared" si="509"/>
        <v>15.792961674237105</v>
      </c>
      <c r="BB291" s="147">
        <f t="shared" si="510"/>
        <v>9.1333597633136101</v>
      </c>
      <c r="BC291" s="5">
        <f t="shared" si="442"/>
        <v>2.6395240897980088</v>
      </c>
      <c r="BD291" s="147">
        <f t="shared" si="511"/>
        <v>0</v>
      </c>
      <c r="BQ291" s="463">
        <f t="shared" si="512"/>
        <v>0.14325000000000002</v>
      </c>
      <c r="CG291" s="59">
        <f t="shared" si="513"/>
        <v>-50</v>
      </c>
      <c r="CH291">
        <f t="shared" si="514"/>
        <v>-50</v>
      </c>
    </row>
    <row r="292" spans="5:86" x14ac:dyDescent="0.25">
      <c r="E292" s="150">
        <v>76</v>
      </c>
      <c r="F292" s="191">
        <f t="shared" si="515"/>
        <v>0.38</v>
      </c>
      <c r="G292" s="191"/>
      <c r="H292" s="191">
        <f t="shared" si="481"/>
        <v>5.7</v>
      </c>
      <c r="I292" s="472">
        <f t="shared" si="482"/>
        <v>13</v>
      </c>
      <c r="J292" s="386">
        <f t="shared" si="483"/>
        <v>7.66</v>
      </c>
      <c r="K292" s="386">
        <f t="shared" si="484"/>
        <v>20.66</v>
      </c>
      <c r="L292" s="386"/>
      <c r="M292" s="191">
        <f t="shared" si="485"/>
        <v>0.37076476282671827</v>
      </c>
      <c r="N292" s="152">
        <f t="shared" si="486"/>
        <v>8.9867817037754101</v>
      </c>
      <c r="O292" s="152">
        <f t="shared" si="478"/>
        <v>5.7</v>
      </c>
      <c r="P292" s="191">
        <f t="shared" si="487"/>
        <v>0.59911878025169396</v>
      </c>
      <c r="Q292" s="191">
        <f t="shared" si="488"/>
        <v>15</v>
      </c>
      <c r="R292" s="191"/>
      <c r="S292" s="152">
        <f t="shared" si="489"/>
        <v>37.339348929414427</v>
      </c>
      <c r="T292" s="152">
        <f t="shared" si="490"/>
        <v>15</v>
      </c>
      <c r="U292" s="191">
        <f t="shared" si="491"/>
        <v>2.6279708107384345</v>
      </c>
      <c r="V292" s="191">
        <f t="shared" si="492"/>
        <v>1.8193644074343007</v>
      </c>
      <c r="W292" s="191">
        <f t="shared" si="493"/>
        <v>3.0876941640529911</v>
      </c>
      <c r="X292" s="175">
        <f t="shared" si="494"/>
        <v>350</v>
      </c>
      <c r="Y292" s="386">
        <f t="shared" si="480"/>
        <v>203.78807088436844</v>
      </c>
      <c r="AA292" s="191">
        <f t="shared" si="495"/>
        <v>1.530140291030901</v>
      </c>
      <c r="AB292" s="153">
        <f t="shared" si="496"/>
        <v>1.7978149633522336</v>
      </c>
      <c r="AC292" s="153">
        <f t="shared" si="497"/>
        <v>0.24070454723380583</v>
      </c>
      <c r="AD292" s="153"/>
      <c r="AE292" s="153">
        <f t="shared" si="498"/>
        <v>0.96344647519582249</v>
      </c>
      <c r="AF292" s="317">
        <f t="shared" si="499"/>
        <v>1923.9870447484966</v>
      </c>
      <c r="AG292" s="463">
        <f t="shared" si="500"/>
        <v>6.9127284595300251E-2</v>
      </c>
      <c r="AI292" s="153">
        <f t="shared" si="501"/>
        <v>1.9225644249943792</v>
      </c>
      <c r="AJ292" s="153">
        <f t="shared" si="502"/>
        <v>2.6279708107384345</v>
      </c>
      <c r="AK292" s="153">
        <f t="shared" si="503"/>
        <v>2.405313873825623</v>
      </c>
      <c r="AM292" s="317">
        <f t="shared" si="504"/>
        <v>380</v>
      </c>
      <c r="AN292" s="147">
        <f t="shared" si="505"/>
        <v>203.78807088436844</v>
      </c>
      <c r="AP292">
        <f t="shared" si="506"/>
        <v>380</v>
      </c>
      <c r="AQ292">
        <f t="shared" si="507"/>
        <v>203.78807088436844</v>
      </c>
      <c r="AS292" s="5">
        <f t="shared" si="479"/>
        <v>4.9070585714872923</v>
      </c>
      <c r="AT292" s="5">
        <f t="shared" si="508"/>
        <v>1.8193644074343007</v>
      </c>
      <c r="AU292" s="5">
        <f t="shared" si="440"/>
        <v>3.0876941640529916</v>
      </c>
      <c r="AV292" s="5"/>
      <c r="AW292" s="153">
        <f t="shared" si="441"/>
        <v>0.37076476282671822</v>
      </c>
      <c r="AX292" s="153"/>
      <c r="BA292" s="147">
        <f t="shared" si="509"/>
        <v>15.792961674237105</v>
      </c>
      <c r="BB292" s="147">
        <f t="shared" si="510"/>
        <v>9.3633397320710063</v>
      </c>
      <c r="BC292" s="5">
        <f t="shared" si="442"/>
        <v>2.7103806475863634</v>
      </c>
      <c r="BD292" s="147">
        <f t="shared" si="511"/>
        <v>0</v>
      </c>
      <c r="BQ292" s="463">
        <f t="shared" si="512"/>
        <v>0.14516000000000001</v>
      </c>
      <c r="CG292" s="59">
        <f t="shared" si="513"/>
        <v>-50</v>
      </c>
      <c r="CH292">
        <f t="shared" si="514"/>
        <v>-50</v>
      </c>
    </row>
    <row r="293" spans="5:86" x14ac:dyDescent="0.25">
      <c r="E293" s="150">
        <v>77</v>
      </c>
      <c r="F293" s="191">
        <f t="shared" si="515"/>
        <v>0.38500000000000001</v>
      </c>
      <c r="G293" s="191"/>
      <c r="H293" s="191">
        <f t="shared" si="481"/>
        <v>5.7750000000000004</v>
      </c>
      <c r="I293" s="472">
        <f t="shared" si="482"/>
        <v>13</v>
      </c>
      <c r="J293" s="386">
        <f t="shared" si="483"/>
        <v>7.66</v>
      </c>
      <c r="K293" s="386">
        <f t="shared" si="484"/>
        <v>20.66</v>
      </c>
      <c r="L293" s="386"/>
      <c r="M293" s="191">
        <f t="shared" si="485"/>
        <v>0.37076476282671827</v>
      </c>
      <c r="N293" s="152">
        <f t="shared" si="486"/>
        <v>8.9867817037754101</v>
      </c>
      <c r="O293" s="152">
        <f t="shared" si="478"/>
        <v>5.7750000000000004</v>
      </c>
      <c r="P293" s="191">
        <f t="shared" si="487"/>
        <v>0.59911878025169396</v>
      </c>
      <c r="Q293" s="191">
        <f t="shared" si="488"/>
        <v>15</v>
      </c>
      <c r="R293" s="191"/>
      <c r="S293" s="152">
        <f t="shared" si="489"/>
        <v>36.524515099683356</v>
      </c>
      <c r="T293" s="152">
        <f t="shared" si="490"/>
        <v>15</v>
      </c>
      <c r="U293" s="191">
        <f t="shared" si="491"/>
        <v>2.6625493740376247</v>
      </c>
      <c r="V293" s="191">
        <f t="shared" si="492"/>
        <v>1.8433034127952788</v>
      </c>
      <c r="W293" s="191">
        <f t="shared" si="493"/>
        <v>3.1283217188431625</v>
      </c>
      <c r="X293" s="175">
        <f t="shared" si="494"/>
        <v>350</v>
      </c>
      <c r="Y293" s="386">
        <f t="shared" si="480"/>
        <v>201.1414725611948</v>
      </c>
      <c r="AA293" s="191">
        <f t="shared" si="495"/>
        <v>1.530140291030901</v>
      </c>
      <c r="AB293" s="153">
        <f t="shared" si="496"/>
        <v>1.7978149633522336</v>
      </c>
      <c r="AC293" s="153">
        <f t="shared" si="497"/>
        <v>0.24070454723380583</v>
      </c>
      <c r="AD293" s="153"/>
      <c r="AE293" s="153">
        <f t="shared" si="498"/>
        <v>0.96344647519582249</v>
      </c>
      <c r="AF293" s="317">
        <f t="shared" si="499"/>
        <v>1949.3026637583453</v>
      </c>
      <c r="AG293" s="463">
        <f t="shared" si="500"/>
        <v>6.9127284595300251E-2</v>
      </c>
      <c r="AI293" s="153">
        <f t="shared" si="501"/>
        <v>1.9351715399129064</v>
      </c>
      <c r="AJ293" s="153">
        <f t="shared" si="502"/>
        <v>2.6625493740376247</v>
      </c>
      <c r="AK293" s="153">
        <f t="shared" si="503"/>
        <v>2.4283662493584171</v>
      </c>
      <c r="AM293" s="317">
        <f t="shared" si="504"/>
        <v>385</v>
      </c>
      <c r="AN293" s="147">
        <f t="shared" si="505"/>
        <v>201.1414725611948</v>
      </c>
      <c r="AP293">
        <f t="shared" si="506"/>
        <v>385</v>
      </c>
      <c r="AQ293">
        <f t="shared" si="507"/>
        <v>201.1414725611948</v>
      </c>
      <c r="AS293" s="5">
        <f t="shared" si="479"/>
        <v>4.971625131638441</v>
      </c>
      <c r="AT293" s="5">
        <f t="shared" si="508"/>
        <v>1.8433034127952788</v>
      </c>
      <c r="AU293" s="5">
        <f t="shared" si="440"/>
        <v>3.1283217188431625</v>
      </c>
      <c r="AV293" s="5"/>
      <c r="AW293" s="153">
        <f t="shared" si="441"/>
        <v>0.37076476282671833</v>
      </c>
      <c r="AX293" s="153"/>
      <c r="BA293" s="147">
        <f t="shared" si="509"/>
        <v>15.792961674237105</v>
      </c>
      <c r="BB293" s="147">
        <f t="shared" si="510"/>
        <v>9.5961671176331347</v>
      </c>
      <c r="BC293" s="5">
        <f t="shared" si="442"/>
        <v>2.7821757028288694</v>
      </c>
      <c r="BD293" s="147">
        <f t="shared" si="511"/>
        <v>0</v>
      </c>
      <c r="BQ293" s="463">
        <f t="shared" si="512"/>
        <v>0.14707000000000001</v>
      </c>
      <c r="CG293" s="59">
        <f t="shared" si="513"/>
        <v>-50</v>
      </c>
      <c r="CH293">
        <f t="shared" si="514"/>
        <v>-50</v>
      </c>
    </row>
    <row r="294" spans="5:86" x14ac:dyDescent="0.25">
      <c r="E294" s="150">
        <v>78</v>
      </c>
      <c r="F294" s="191">
        <f t="shared" si="515"/>
        <v>0.39</v>
      </c>
      <c r="G294" s="191"/>
      <c r="H294" s="191">
        <f t="shared" si="481"/>
        <v>5.8500000000000005</v>
      </c>
      <c r="I294" s="472">
        <f t="shared" si="482"/>
        <v>13</v>
      </c>
      <c r="J294" s="386">
        <f t="shared" si="483"/>
        <v>7.66</v>
      </c>
      <c r="K294" s="386">
        <f t="shared" si="484"/>
        <v>20.66</v>
      </c>
      <c r="L294" s="386"/>
      <c r="M294" s="191">
        <f t="shared" si="485"/>
        <v>0.37076476282671827</v>
      </c>
      <c r="N294" s="152">
        <f t="shared" si="486"/>
        <v>8.9867817037754101</v>
      </c>
      <c r="O294" s="152">
        <f t="shared" si="478"/>
        <v>5.8500000000000005</v>
      </c>
      <c r="P294" s="191">
        <f t="shared" si="487"/>
        <v>0.59911878025169396</v>
      </c>
      <c r="Q294" s="191">
        <f t="shared" si="488"/>
        <v>15</v>
      </c>
      <c r="R294" s="191"/>
      <c r="S294" s="152">
        <f t="shared" si="489"/>
        <v>35.730785539771972</v>
      </c>
      <c r="T294" s="152">
        <f t="shared" si="490"/>
        <v>15</v>
      </c>
      <c r="U294" s="191">
        <f t="shared" si="491"/>
        <v>2.6971279373368144</v>
      </c>
      <c r="V294" s="191">
        <f t="shared" si="492"/>
        <v>1.8672424181562559</v>
      </c>
      <c r="W294" s="191">
        <f t="shared" si="493"/>
        <v>3.1689492736333325</v>
      </c>
      <c r="X294" s="175">
        <f t="shared" si="494"/>
        <v>350</v>
      </c>
      <c r="Y294" s="386">
        <f t="shared" si="480"/>
        <v>198.56273573348724</v>
      </c>
      <c r="AA294" s="191">
        <f t="shared" si="495"/>
        <v>1.530140291030901</v>
      </c>
      <c r="AB294" s="153">
        <f t="shared" si="496"/>
        <v>1.7978149633522336</v>
      </c>
      <c r="AC294" s="153">
        <f t="shared" si="497"/>
        <v>0.24070454723380583</v>
      </c>
      <c r="AD294" s="153"/>
      <c r="AE294" s="153">
        <f t="shared" si="498"/>
        <v>0.96344647519582249</v>
      </c>
      <c r="AF294" s="317">
        <f t="shared" si="499"/>
        <v>1974.6182827681939</v>
      </c>
      <c r="AG294" s="463">
        <f t="shared" si="500"/>
        <v>6.9127284595300251E-2</v>
      </c>
      <c r="AI294" s="153">
        <f t="shared" si="501"/>
        <v>1.9476970528097561</v>
      </c>
      <c r="AJ294" s="153">
        <f t="shared" si="502"/>
        <v>2.6971279373368144</v>
      </c>
      <c r="AK294" s="153">
        <f t="shared" si="503"/>
        <v>2.4514186248912102</v>
      </c>
      <c r="AM294" s="317">
        <f t="shared" si="504"/>
        <v>390</v>
      </c>
      <c r="AN294" s="147">
        <f t="shared" si="505"/>
        <v>198.56273573348724</v>
      </c>
      <c r="AP294">
        <f t="shared" si="506"/>
        <v>390</v>
      </c>
      <c r="AQ294">
        <f t="shared" si="507"/>
        <v>198.56273573348724</v>
      </c>
      <c r="AS294" s="5">
        <f t="shared" si="479"/>
        <v>5.0361916917895879</v>
      </c>
      <c r="AT294" s="5">
        <f t="shared" si="508"/>
        <v>1.8672424181562559</v>
      </c>
      <c r="AU294" s="5">
        <f t="shared" si="440"/>
        <v>3.168949273633332</v>
      </c>
      <c r="AV294" s="5"/>
      <c r="AW294" s="153">
        <f t="shared" si="441"/>
        <v>0.37076476282671833</v>
      </c>
      <c r="AX294" s="153"/>
      <c r="BA294" s="147">
        <f t="shared" si="509"/>
        <v>15.792961674237105</v>
      </c>
      <c r="BB294" s="147">
        <f t="shared" si="510"/>
        <v>9.8318419200000022</v>
      </c>
      <c r="BC294" s="5">
        <f t="shared" si="442"/>
        <v>2.854909255525524</v>
      </c>
      <c r="BD294" s="147">
        <f t="shared" si="511"/>
        <v>0</v>
      </c>
      <c r="BQ294" s="463">
        <f t="shared" si="512"/>
        <v>0.14898000000000003</v>
      </c>
      <c r="CG294" s="59">
        <f t="shared" si="513"/>
        <v>-50</v>
      </c>
      <c r="CH294">
        <f t="shared" si="514"/>
        <v>-50</v>
      </c>
    </row>
    <row r="295" spans="5:86" x14ac:dyDescent="0.25">
      <c r="E295" s="150">
        <v>79</v>
      </c>
      <c r="F295" s="191">
        <f t="shared" si="515"/>
        <v>0.39500000000000002</v>
      </c>
      <c r="G295" s="191"/>
      <c r="H295" s="191">
        <f t="shared" si="481"/>
        <v>5.9250000000000007</v>
      </c>
      <c r="I295" s="472">
        <f t="shared" si="482"/>
        <v>13</v>
      </c>
      <c r="J295" s="386">
        <f t="shared" si="483"/>
        <v>7.66</v>
      </c>
      <c r="K295" s="386">
        <f t="shared" si="484"/>
        <v>20.66</v>
      </c>
      <c r="L295" s="386"/>
      <c r="M295" s="191">
        <f t="shared" si="485"/>
        <v>0.37076476282671827</v>
      </c>
      <c r="N295" s="152">
        <f t="shared" si="486"/>
        <v>8.9867817037754101</v>
      </c>
      <c r="O295" s="152">
        <f t="shared" si="478"/>
        <v>5.9250000000000007</v>
      </c>
      <c r="P295" s="191">
        <f t="shared" si="487"/>
        <v>0.59911878025169396</v>
      </c>
      <c r="Q295" s="191">
        <f t="shared" si="488"/>
        <v>15</v>
      </c>
      <c r="R295" s="191"/>
      <c r="S295" s="152">
        <f t="shared" si="489"/>
        <v>34.957364271472827</v>
      </c>
      <c r="T295" s="152">
        <f t="shared" si="490"/>
        <v>15</v>
      </c>
      <c r="U295" s="191">
        <f t="shared" si="491"/>
        <v>2.7317065006360046</v>
      </c>
      <c r="V295" s="191">
        <f t="shared" si="492"/>
        <v>1.891181423517234</v>
      </c>
      <c r="W295" s="191">
        <f t="shared" si="493"/>
        <v>3.2095768284235042</v>
      </c>
      <c r="X295" s="175">
        <f t="shared" si="494"/>
        <v>350</v>
      </c>
      <c r="Y295" s="386">
        <f t="shared" si="480"/>
        <v>196.04928338243039</v>
      </c>
      <c r="AA295" s="191">
        <f t="shared" si="495"/>
        <v>1.530140291030901</v>
      </c>
      <c r="AB295" s="153">
        <f t="shared" si="496"/>
        <v>1.7978149633522336</v>
      </c>
      <c r="AC295" s="153">
        <f t="shared" si="497"/>
        <v>0.24070454723380583</v>
      </c>
      <c r="AD295" s="153"/>
      <c r="AE295" s="153">
        <f t="shared" si="498"/>
        <v>0.96344647519582249</v>
      </c>
      <c r="AF295" s="317">
        <f t="shared" si="499"/>
        <v>1999.9339017780426</v>
      </c>
      <c r="AG295" s="463">
        <f t="shared" si="500"/>
        <v>6.9127284595300251E-2</v>
      </c>
      <c r="AI295" s="153">
        <f t="shared" si="501"/>
        <v>1.9601425280215545</v>
      </c>
      <c r="AJ295" s="153">
        <f t="shared" si="502"/>
        <v>2.7317065006360046</v>
      </c>
      <c r="AK295" s="153">
        <f t="shared" si="503"/>
        <v>2.4744710004240034</v>
      </c>
      <c r="AM295" s="317">
        <f t="shared" si="504"/>
        <v>395</v>
      </c>
      <c r="AN295" s="147">
        <f t="shared" si="505"/>
        <v>196.04928338243039</v>
      </c>
      <c r="AP295">
        <f t="shared" si="506"/>
        <v>395</v>
      </c>
      <c r="AQ295">
        <f t="shared" si="507"/>
        <v>196.04928338243039</v>
      </c>
      <c r="AS295" s="5">
        <f t="shared" si="479"/>
        <v>5.1007582519407375</v>
      </c>
      <c r="AT295" s="5">
        <f t="shared" si="508"/>
        <v>1.891181423517234</v>
      </c>
      <c r="AU295" s="5">
        <f t="shared" si="440"/>
        <v>3.2095768284235033</v>
      </c>
      <c r="AV295" s="5"/>
      <c r="AW295" s="153">
        <f t="shared" si="441"/>
        <v>0.37076476282671833</v>
      </c>
      <c r="AX295" s="153"/>
      <c r="BA295" s="147">
        <f t="shared" si="509"/>
        <v>15.792961674237105</v>
      </c>
      <c r="BB295" s="147">
        <f t="shared" si="510"/>
        <v>10.0703641391716</v>
      </c>
      <c r="BC295" s="5">
        <f t="shared" si="442"/>
        <v>2.9285813056763312</v>
      </c>
      <c r="BD295" s="147">
        <f t="shared" si="511"/>
        <v>0</v>
      </c>
      <c r="BQ295" s="463">
        <f t="shared" si="512"/>
        <v>0.15089000000000002</v>
      </c>
      <c r="CG295" s="59">
        <f t="shared" si="513"/>
        <v>-50</v>
      </c>
      <c r="CH295">
        <f t="shared" si="514"/>
        <v>-50</v>
      </c>
    </row>
    <row r="296" spans="5:86" x14ac:dyDescent="0.25">
      <c r="E296" s="150">
        <v>80</v>
      </c>
      <c r="F296" s="191">
        <f t="shared" si="515"/>
        <v>0.4</v>
      </c>
      <c r="G296" s="191"/>
      <c r="H296" s="191">
        <f t="shared" si="481"/>
        <v>6</v>
      </c>
      <c r="I296" s="472">
        <f t="shared" si="482"/>
        <v>13</v>
      </c>
      <c r="J296" s="386">
        <f t="shared" si="483"/>
        <v>7.66</v>
      </c>
      <c r="K296" s="386">
        <f t="shared" si="484"/>
        <v>20.66</v>
      </c>
      <c r="L296" s="386"/>
      <c r="M296" s="191">
        <f t="shared" si="485"/>
        <v>0.37076476282671827</v>
      </c>
      <c r="N296" s="152">
        <f t="shared" si="486"/>
        <v>8.9867817037754101</v>
      </c>
      <c r="O296" s="152">
        <f t="shared" si="478"/>
        <v>6</v>
      </c>
      <c r="P296" s="191">
        <f t="shared" si="487"/>
        <v>0.59911878025169396</v>
      </c>
      <c r="Q296" s="191">
        <f t="shared" si="488"/>
        <v>15</v>
      </c>
      <c r="R296" s="191"/>
      <c r="S296" s="152">
        <f t="shared" si="489"/>
        <v>34.203495296925823</v>
      </c>
      <c r="T296" s="152">
        <f t="shared" si="490"/>
        <v>15</v>
      </c>
      <c r="U296" s="191">
        <f t="shared" si="491"/>
        <v>2.7662850639351944</v>
      </c>
      <c r="V296" s="191">
        <f t="shared" si="492"/>
        <v>1.9151204288782115</v>
      </c>
      <c r="W296" s="191">
        <f t="shared" si="493"/>
        <v>3.2502043832136751</v>
      </c>
      <c r="X296" s="175">
        <f t="shared" si="494"/>
        <v>350</v>
      </c>
      <c r="Y296" s="386">
        <f t="shared" si="480"/>
        <v>193.59866734015</v>
      </c>
      <c r="AA296" s="191">
        <f t="shared" si="495"/>
        <v>1.530140291030901</v>
      </c>
      <c r="AB296" s="153">
        <f t="shared" si="496"/>
        <v>1.7978149633522336</v>
      </c>
      <c r="AC296" s="153">
        <f t="shared" si="497"/>
        <v>0.24070454723380583</v>
      </c>
      <c r="AD296" s="153"/>
      <c r="AE296" s="153">
        <f t="shared" si="498"/>
        <v>0.96344647519582249</v>
      </c>
      <c r="AF296" s="317">
        <f t="shared" si="499"/>
        <v>2025.2495207878912</v>
      </c>
      <c r="AG296" s="463">
        <f t="shared" si="500"/>
        <v>6.9127284595300251E-2</v>
      </c>
      <c r="AI296" s="153">
        <f t="shared" si="501"/>
        <v>1.9725094805332752</v>
      </c>
      <c r="AJ296" s="153">
        <f t="shared" si="502"/>
        <v>2.7662850639351944</v>
      </c>
      <c r="AK296" s="153">
        <f t="shared" si="503"/>
        <v>2.4975233759567965</v>
      </c>
      <c r="AM296" s="317">
        <f t="shared" si="504"/>
        <v>400</v>
      </c>
      <c r="AN296" s="147">
        <f t="shared" si="505"/>
        <v>193.59866734015</v>
      </c>
      <c r="AP296">
        <f t="shared" si="506"/>
        <v>400</v>
      </c>
      <c r="AQ296">
        <f t="shared" si="507"/>
        <v>193.59866734015</v>
      </c>
      <c r="AS296" s="5">
        <f t="shared" si="479"/>
        <v>5.1653248120918862</v>
      </c>
      <c r="AT296" s="5">
        <f t="shared" si="508"/>
        <v>1.9151204288782115</v>
      </c>
      <c r="AU296" s="5">
        <f t="shared" si="440"/>
        <v>3.2502043832136747</v>
      </c>
      <c r="AV296" s="5"/>
      <c r="AW296" s="153">
        <f t="shared" si="441"/>
        <v>0.37076476282671833</v>
      </c>
      <c r="AX296" s="153"/>
      <c r="BA296" s="147">
        <f t="shared" si="509"/>
        <v>15.792961674237105</v>
      </c>
      <c r="BB296" s="147">
        <f t="shared" si="510"/>
        <v>10.311733775147932</v>
      </c>
      <c r="BC296" s="5">
        <f t="shared" si="442"/>
        <v>3.003191853281288</v>
      </c>
      <c r="BD296" s="147">
        <f t="shared" si="511"/>
        <v>0</v>
      </c>
      <c r="BQ296" s="463">
        <f t="shared" si="512"/>
        <v>0.15280000000000002</v>
      </c>
      <c r="CG296" s="59">
        <f t="shared" si="513"/>
        <v>-50</v>
      </c>
      <c r="CH296">
        <f t="shared" si="514"/>
        <v>-50</v>
      </c>
    </row>
    <row r="297" spans="5:86" x14ac:dyDescent="0.25">
      <c r="E297" s="150">
        <v>81</v>
      </c>
      <c r="F297" s="191">
        <f t="shared" si="515"/>
        <v>0.40500000000000003</v>
      </c>
      <c r="G297" s="191"/>
      <c r="H297" s="191">
        <f t="shared" si="481"/>
        <v>6.0750000000000002</v>
      </c>
      <c r="I297" s="472">
        <f t="shared" si="482"/>
        <v>13</v>
      </c>
      <c r="J297" s="386">
        <f t="shared" si="483"/>
        <v>7.66</v>
      </c>
      <c r="K297" s="386">
        <f t="shared" si="484"/>
        <v>20.66</v>
      </c>
      <c r="L297" s="386"/>
      <c r="M297" s="191">
        <f t="shared" si="485"/>
        <v>0.37076476282671827</v>
      </c>
      <c r="N297" s="152">
        <f t="shared" si="486"/>
        <v>8.9867817037754101</v>
      </c>
      <c r="O297" s="152">
        <f t="shared" si="478"/>
        <v>6.0750000000000002</v>
      </c>
      <c r="P297" s="191">
        <f t="shared" si="487"/>
        <v>0.59911878025169396</v>
      </c>
      <c r="Q297" s="191">
        <f t="shared" si="488"/>
        <v>15</v>
      </c>
      <c r="R297" s="191"/>
      <c r="S297" s="152">
        <f t="shared" si="489"/>
        <v>33.468460137949414</v>
      </c>
      <c r="T297" s="152">
        <f t="shared" si="490"/>
        <v>15</v>
      </c>
      <c r="U297" s="191">
        <f t="shared" si="491"/>
        <v>2.8008636272343841</v>
      </c>
      <c r="V297" s="191">
        <f t="shared" si="492"/>
        <v>1.9390594342391891</v>
      </c>
      <c r="W297" s="191">
        <f t="shared" si="493"/>
        <v>3.2908319380038455</v>
      </c>
      <c r="X297" s="175">
        <f t="shared" si="494"/>
        <v>350</v>
      </c>
      <c r="Y297" s="386">
        <f t="shared" si="480"/>
        <v>191.20856033595064</v>
      </c>
      <c r="AA297" s="191">
        <f t="shared" si="495"/>
        <v>1.530140291030901</v>
      </c>
      <c r="AB297" s="153">
        <f t="shared" si="496"/>
        <v>1.7978149633522336</v>
      </c>
      <c r="AC297" s="153">
        <f t="shared" si="497"/>
        <v>0.24070454723380583</v>
      </c>
      <c r="AD297" s="153"/>
      <c r="AE297" s="153">
        <f t="shared" si="498"/>
        <v>0.96344647519582249</v>
      </c>
      <c r="AF297" s="317">
        <f t="shared" si="499"/>
        <v>2050.5651397977399</v>
      </c>
      <c r="AG297" s="463">
        <f t="shared" si="500"/>
        <v>6.9127284595300251E-2</v>
      </c>
      <c r="AI297" s="153">
        <f t="shared" si="501"/>
        <v>1.9847993781308406</v>
      </c>
      <c r="AJ297" s="153">
        <f t="shared" si="502"/>
        <v>2.8008636272343841</v>
      </c>
      <c r="AK297" s="153">
        <f t="shared" si="503"/>
        <v>2.5205757514895897</v>
      </c>
      <c r="AM297" s="317">
        <f t="shared" si="504"/>
        <v>405</v>
      </c>
      <c r="AN297" s="147">
        <f t="shared" si="505"/>
        <v>191.20856033595064</v>
      </c>
      <c r="AP297">
        <f t="shared" si="506"/>
        <v>405</v>
      </c>
      <c r="AQ297">
        <f t="shared" si="507"/>
        <v>191.20856033595064</v>
      </c>
      <c r="AS297" s="5">
        <f t="shared" si="479"/>
        <v>5.2298913722430349</v>
      </c>
      <c r="AT297" s="5">
        <f t="shared" si="508"/>
        <v>1.9390594342391891</v>
      </c>
      <c r="AU297" s="5">
        <f t="shared" si="440"/>
        <v>3.290831938003846</v>
      </c>
      <c r="AV297" s="5"/>
      <c r="AW297" s="153">
        <f t="shared" si="441"/>
        <v>0.37076476282671827</v>
      </c>
      <c r="AX297" s="153"/>
      <c r="BA297" s="147">
        <f t="shared" si="509"/>
        <v>15.792961674237105</v>
      </c>
      <c r="BB297" s="147">
        <f t="shared" si="510"/>
        <v>10.555950827928998</v>
      </c>
      <c r="BC297" s="5">
        <f t="shared" si="442"/>
        <v>3.0787408983403965</v>
      </c>
      <c r="BD297" s="147">
        <f t="shared" si="511"/>
        <v>0</v>
      </c>
      <c r="BQ297" s="463">
        <f t="shared" si="512"/>
        <v>0.15471000000000001</v>
      </c>
      <c r="CG297" s="59">
        <f t="shared" si="513"/>
        <v>-50</v>
      </c>
      <c r="CH297">
        <f t="shared" si="514"/>
        <v>-50</v>
      </c>
    </row>
    <row r="298" spans="5:86" x14ac:dyDescent="0.25">
      <c r="E298" s="150">
        <v>82</v>
      </c>
      <c r="F298" s="191">
        <f t="shared" si="515"/>
        <v>0.41</v>
      </c>
      <c r="G298" s="191"/>
      <c r="H298" s="191">
        <f t="shared" si="481"/>
        <v>6.1499999999999995</v>
      </c>
      <c r="I298" s="472">
        <f t="shared" si="482"/>
        <v>13</v>
      </c>
      <c r="J298" s="386">
        <f t="shared" si="483"/>
        <v>7.66</v>
      </c>
      <c r="K298" s="386">
        <f t="shared" si="484"/>
        <v>20.66</v>
      </c>
      <c r="L298" s="386"/>
      <c r="M298" s="191">
        <f t="shared" si="485"/>
        <v>0.37076476282671827</v>
      </c>
      <c r="N298" s="152">
        <f t="shared" si="486"/>
        <v>8.9867817037754101</v>
      </c>
      <c r="O298" s="152">
        <f t="shared" si="478"/>
        <v>6.1499999999999995</v>
      </c>
      <c r="P298" s="191">
        <f t="shared" si="487"/>
        <v>0.59911878025169396</v>
      </c>
      <c r="Q298" s="191">
        <f t="shared" si="488"/>
        <v>15</v>
      </c>
      <c r="R298" s="191"/>
      <c r="S298" s="152">
        <f t="shared" si="489"/>
        <v>32.751575555751025</v>
      </c>
      <c r="T298" s="152">
        <f t="shared" si="490"/>
        <v>15</v>
      </c>
      <c r="U298" s="191">
        <f t="shared" si="491"/>
        <v>2.8354421905335738</v>
      </c>
      <c r="V298" s="191">
        <f t="shared" si="492"/>
        <v>1.9629984396001665</v>
      </c>
      <c r="W298" s="191">
        <f t="shared" si="493"/>
        <v>3.3314594927940164</v>
      </c>
      <c r="X298" s="175">
        <f t="shared" si="494"/>
        <v>350</v>
      </c>
      <c r="Y298" s="386">
        <f t="shared" si="480"/>
        <v>188.87674862453662</v>
      </c>
      <c r="AA298" s="191">
        <f t="shared" si="495"/>
        <v>1.530140291030901</v>
      </c>
      <c r="AB298" s="153">
        <f t="shared" si="496"/>
        <v>1.7978149633522336</v>
      </c>
      <c r="AC298" s="153">
        <f t="shared" si="497"/>
        <v>0.24070454723380583</v>
      </c>
      <c r="AD298" s="153"/>
      <c r="AE298" s="153">
        <f t="shared" si="498"/>
        <v>0.96344647519582249</v>
      </c>
      <c r="AF298" s="317">
        <f t="shared" si="499"/>
        <v>2075.8807588075883</v>
      </c>
      <c r="AG298" s="463">
        <f t="shared" si="500"/>
        <v>6.9127284595300251E-2</v>
      </c>
      <c r="AI298" s="153">
        <f t="shared" si="501"/>
        <v>1.9970136434344887</v>
      </c>
      <c r="AJ298" s="153">
        <f t="shared" si="502"/>
        <v>2.8354421905335738</v>
      </c>
      <c r="AK298" s="153">
        <f t="shared" si="503"/>
        <v>2.5436281270223828</v>
      </c>
      <c r="AM298" s="317">
        <f t="shared" si="504"/>
        <v>410</v>
      </c>
      <c r="AN298" s="147">
        <f t="shared" si="505"/>
        <v>188.87674862453662</v>
      </c>
      <c r="AP298">
        <f t="shared" si="506"/>
        <v>410</v>
      </c>
      <c r="AQ298">
        <f t="shared" si="507"/>
        <v>188.87674862453662</v>
      </c>
      <c r="AS298" s="5">
        <f t="shared" si="479"/>
        <v>5.2944579323941836</v>
      </c>
      <c r="AT298" s="5">
        <f t="shared" si="508"/>
        <v>1.9629984396001665</v>
      </c>
      <c r="AU298" s="5">
        <f t="shared" ref="AU298:AU316" si="516">AS298-AT298</f>
        <v>3.3314594927940169</v>
      </c>
      <c r="AV298" s="5"/>
      <c r="AW298" s="153">
        <f t="shared" ref="AW298:AW316" si="517">AT298/AS298</f>
        <v>0.37076476282671822</v>
      </c>
      <c r="AX298" s="153"/>
      <c r="BA298" s="147">
        <f t="shared" si="509"/>
        <v>15.792961674237105</v>
      </c>
      <c r="BB298" s="147">
        <f t="shared" si="510"/>
        <v>10.80301529751479</v>
      </c>
      <c r="BC298" s="5">
        <f t="shared" si="442"/>
        <v>3.1552284408536537</v>
      </c>
      <c r="BD298" s="147">
        <f t="shared" si="511"/>
        <v>0</v>
      </c>
      <c r="BQ298" s="463">
        <f t="shared" si="512"/>
        <v>0.15662000000000001</v>
      </c>
      <c r="CG298" s="59">
        <f t="shared" si="513"/>
        <v>-50</v>
      </c>
      <c r="CH298">
        <f t="shared" si="514"/>
        <v>-50</v>
      </c>
    </row>
    <row r="299" spans="5:86" x14ac:dyDescent="0.25">
      <c r="E299" s="150">
        <v>83</v>
      </c>
      <c r="F299" s="191">
        <f t="shared" si="515"/>
        <v>0.41499999999999998</v>
      </c>
      <c r="G299" s="191"/>
      <c r="H299" s="191">
        <f t="shared" si="481"/>
        <v>6.2249999999999996</v>
      </c>
      <c r="I299" s="472">
        <f t="shared" si="482"/>
        <v>13</v>
      </c>
      <c r="J299" s="386">
        <f t="shared" si="483"/>
        <v>7.66</v>
      </c>
      <c r="K299" s="386">
        <f t="shared" si="484"/>
        <v>20.66</v>
      </c>
      <c r="L299" s="386"/>
      <c r="M299" s="191">
        <f t="shared" si="485"/>
        <v>0.37076476282671827</v>
      </c>
      <c r="N299" s="152">
        <f t="shared" si="486"/>
        <v>8.9867817037754101</v>
      </c>
      <c r="O299" s="152">
        <f t="shared" si="478"/>
        <v>6.2249999999999996</v>
      </c>
      <c r="P299" s="191">
        <f t="shared" si="487"/>
        <v>0.59911878025169396</v>
      </c>
      <c r="Q299" s="191">
        <f t="shared" si="488"/>
        <v>15</v>
      </c>
      <c r="R299" s="191"/>
      <c r="S299" s="152">
        <f t="shared" si="489"/>
        <v>32.052191435820745</v>
      </c>
      <c r="T299" s="152">
        <f t="shared" si="490"/>
        <v>15</v>
      </c>
      <c r="U299" s="191">
        <f t="shared" si="491"/>
        <v>2.870020753832764</v>
      </c>
      <c r="V299" s="191">
        <f t="shared" si="492"/>
        <v>1.9869374449611443</v>
      </c>
      <c r="W299" s="191">
        <f t="shared" si="493"/>
        <v>3.3720870475841873</v>
      </c>
      <c r="X299" s="175">
        <f t="shared" si="494"/>
        <v>350</v>
      </c>
      <c r="Y299" s="386">
        <f t="shared" si="480"/>
        <v>186.60112514713256</v>
      </c>
      <c r="AA299" s="191">
        <f t="shared" si="495"/>
        <v>1.530140291030901</v>
      </c>
      <c r="AB299" s="153">
        <f t="shared" si="496"/>
        <v>1.7978149633522336</v>
      </c>
      <c r="AC299" s="153">
        <f t="shared" si="497"/>
        <v>0.24070454723380583</v>
      </c>
      <c r="AD299" s="153"/>
      <c r="AE299" s="153">
        <f t="shared" si="498"/>
        <v>0.96344647519582249</v>
      </c>
      <c r="AF299" s="317">
        <f t="shared" si="499"/>
        <v>2101.1963778174372</v>
      </c>
      <c r="AG299" s="463">
        <f t="shared" si="500"/>
        <v>6.9127284595300251E-2</v>
      </c>
      <c r="AI299" s="153">
        <f t="shared" si="501"/>
        <v>2.0091536558208816</v>
      </c>
      <c r="AJ299" s="153">
        <f t="shared" si="502"/>
        <v>2.870020753832764</v>
      </c>
      <c r="AK299" s="153">
        <f t="shared" si="503"/>
        <v>2.566680502555176</v>
      </c>
      <c r="AM299" s="317">
        <f t="shared" si="504"/>
        <v>415</v>
      </c>
      <c r="AN299" s="147">
        <f t="shared" si="505"/>
        <v>186.60112514713256</v>
      </c>
      <c r="AP299">
        <f t="shared" si="506"/>
        <v>415</v>
      </c>
      <c r="AQ299">
        <f t="shared" si="507"/>
        <v>186.60112514713256</v>
      </c>
      <c r="AS299" s="5">
        <f t="shared" si="479"/>
        <v>5.3590244925453314</v>
      </c>
      <c r="AT299" s="5">
        <f t="shared" si="508"/>
        <v>1.9869374449611443</v>
      </c>
      <c r="AU299" s="5">
        <f t="shared" si="516"/>
        <v>3.3720870475841869</v>
      </c>
      <c r="AV299" s="5"/>
      <c r="AW299" s="153">
        <f t="shared" si="517"/>
        <v>0.37076476282671833</v>
      </c>
      <c r="AX299" s="153"/>
      <c r="BA299" s="147">
        <f t="shared" si="509"/>
        <v>15.792961674237105</v>
      </c>
      <c r="BB299" s="147">
        <f t="shared" si="510"/>
        <v>11.052927183905325</v>
      </c>
      <c r="BC299" s="5">
        <f t="shared" si="442"/>
        <v>3.2326544808210613</v>
      </c>
      <c r="BD299" s="147">
        <f t="shared" si="511"/>
        <v>0</v>
      </c>
      <c r="BQ299" s="463">
        <f t="shared" si="512"/>
        <v>0.15853</v>
      </c>
      <c r="CG299" s="59">
        <f t="shared" si="513"/>
        <v>-50</v>
      </c>
      <c r="CH299">
        <f t="shared" si="514"/>
        <v>-50</v>
      </c>
    </row>
    <row r="300" spans="5:86" x14ac:dyDescent="0.25">
      <c r="E300" s="150">
        <v>84</v>
      </c>
      <c r="F300" s="191">
        <f t="shared" si="515"/>
        <v>0.42</v>
      </c>
      <c r="G300" s="191"/>
      <c r="H300" s="191">
        <f t="shared" si="481"/>
        <v>6.3</v>
      </c>
      <c r="I300" s="472">
        <f t="shared" si="482"/>
        <v>13</v>
      </c>
      <c r="J300" s="386">
        <f t="shared" si="483"/>
        <v>7.66</v>
      </c>
      <c r="K300" s="386">
        <f t="shared" si="484"/>
        <v>20.66</v>
      </c>
      <c r="L300" s="386"/>
      <c r="M300" s="191">
        <f t="shared" si="485"/>
        <v>0.37076476282671827</v>
      </c>
      <c r="N300" s="152">
        <f t="shared" si="486"/>
        <v>8.9867817037754101</v>
      </c>
      <c r="O300" s="152">
        <f t="shared" si="478"/>
        <v>6.3</v>
      </c>
      <c r="P300" s="191">
        <f t="shared" si="487"/>
        <v>0.59911878025169396</v>
      </c>
      <c r="Q300" s="191">
        <f t="shared" si="488"/>
        <v>15</v>
      </c>
      <c r="R300" s="191"/>
      <c r="S300" s="152">
        <f t="shared" si="489"/>
        <v>31.369688824259796</v>
      </c>
      <c r="T300" s="152">
        <f t="shared" si="490"/>
        <v>15</v>
      </c>
      <c r="U300" s="191">
        <f t="shared" si="491"/>
        <v>2.9045993171319537</v>
      </c>
      <c r="V300" s="191">
        <f t="shared" si="492"/>
        <v>2.0108764503221219</v>
      </c>
      <c r="W300" s="191">
        <f t="shared" si="493"/>
        <v>3.4127146023743582</v>
      </c>
      <c r="X300" s="175">
        <f t="shared" si="494"/>
        <v>350</v>
      </c>
      <c r="Y300" s="386">
        <f t="shared" si="480"/>
        <v>184.37968318109526</v>
      </c>
      <c r="AA300" s="191">
        <f t="shared" si="495"/>
        <v>1.530140291030901</v>
      </c>
      <c r="AB300" s="153">
        <f t="shared" si="496"/>
        <v>1.7978149633522336</v>
      </c>
      <c r="AC300" s="153">
        <f t="shared" si="497"/>
        <v>0.24070454723380583</v>
      </c>
      <c r="AD300" s="153"/>
      <c r="AE300" s="153">
        <f t="shared" si="498"/>
        <v>0.96344647519582249</v>
      </c>
      <c r="AF300" s="317">
        <f t="shared" si="499"/>
        <v>2126.5119968272857</v>
      </c>
      <c r="AG300" s="463">
        <f t="shared" si="500"/>
        <v>6.9127284595300251E-2</v>
      </c>
      <c r="AI300" s="153">
        <f t="shared" si="501"/>
        <v>2.0212207532413013</v>
      </c>
      <c r="AJ300" s="153">
        <f t="shared" si="502"/>
        <v>2.9045993171319537</v>
      </c>
      <c r="AK300" s="153">
        <f t="shared" si="503"/>
        <v>2.5897328780879691</v>
      </c>
      <c r="AM300" s="317">
        <f t="shared" si="504"/>
        <v>420</v>
      </c>
      <c r="AN300" s="147">
        <f t="shared" si="505"/>
        <v>184.37968318109526</v>
      </c>
      <c r="AP300">
        <f t="shared" si="506"/>
        <v>420</v>
      </c>
      <c r="AQ300">
        <f t="shared" si="507"/>
        <v>184.37968318109526</v>
      </c>
      <c r="AS300" s="5">
        <f t="shared" si="479"/>
        <v>5.4235910526964801</v>
      </c>
      <c r="AT300" s="5">
        <f t="shared" si="508"/>
        <v>2.0108764503221219</v>
      </c>
      <c r="AU300" s="5">
        <f t="shared" si="516"/>
        <v>3.4127146023743582</v>
      </c>
      <c r="AV300" s="5"/>
      <c r="AW300" s="153">
        <f t="shared" si="517"/>
        <v>0.37076476282671833</v>
      </c>
      <c r="AX300" s="153"/>
      <c r="BA300" s="147">
        <f t="shared" si="509"/>
        <v>15.792961674237105</v>
      </c>
      <c r="BB300" s="147">
        <f t="shared" si="510"/>
        <v>11.305686487100591</v>
      </c>
      <c r="BC300" s="5">
        <f t="shared" si="442"/>
        <v>3.3110190182426198</v>
      </c>
      <c r="BD300" s="147">
        <f t="shared" si="511"/>
        <v>0</v>
      </c>
      <c r="BQ300" s="463">
        <f t="shared" si="512"/>
        <v>0.16044</v>
      </c>
      <c r="CG300" s="59">
        <f t="shared" si="513"/>
        <v>-50</v>
      </c>
      <c r="CH300">
        <f t="shared" si="514"/>
        <v>-50</v>
      </c>
    </row>
    <row r="301" spans="5:86" x14ac:dyDescent="0.25">
      <c r="E301" s="150">
        <v>85</v>
      </c>
      <c r="F301" s="191">
        <f t="shared" si="515"/>
        <v>0.42499999999999999</v>
      </c>
      <c r="G301" s="191"/>
      <c r="H301" s="191">
        <f t="shared" si="481"/>
        <v>6.375</v>
      </c>
      <c r="I301" s="472">
        <f t="shared" si="482"/>
        <v>13</v>
      </c>
      <c r="J301" s="386">
        <f t="shared" si="483"/>
        <v>7.66</v>
      </c>
      <c r="K301" s="386">
        <f t="shared" si="484"/>
        <v>20.66</v>
      </c>
      <c r="L301" s="386"/>
      <c r="M301" s="191">
        <f t="shared" si="485"/>
        <v>0.37076476282671827</v>
      </c>
      <c r="N301" s="152">
        <f t="shared" si="486"/>
        <v>8.9867817037754101</v>
      </c>
      <c r="O301" s="152">
        <f t="shared" si="478"/>
        <v>6.375</v>
      </c>
      <c r="P301" s="191">
        <f t="shared" si="487"/>
        <v>0.59911878025169396</v>
      </c>
      <c r="Q301" s="191">
        <f t="shared" si="488"/>
        <v>15</v>
      </c>
      <c r="R301" s="191"/>
      <c r="S301" s="152">
        <f t="shared" si="489"/>
        <v>30.703478103090372</v>
      </c>
      <c r="T301" s="152">
        <f t="shared" si="490"/>
        <v>15</v>
      </c>
      <c r="U301" s="191">
        <f t="shared" si="491"/>
        <v>2.9391778804311439</v>
      </c>
      <c r="V301" s="191">
        <f t="shared" si="492"/>
        <v>2.0348154556830997</v>
      </c>
      <c r="W301" s="191">
        <f t="shared" si="493"/>
        <v>3.45334215716453</v>
      </c>
      <c r="X301" s="175">
        <f t="shared" si="494"/>
        <v>350</v>
      </c>
      <c r="Y301" s="386">
        <f t="shared" si="480"/>
        <v>182.21051043778823</v>
      </c>
      <c r="AA301" s="191">
        <f t="shared" si="495"/>
        <v>1.530140291030901</v>
      </c>
      <c r="AB301" s="153">
        <f t="shared" si="496"/>
        <v>1.7978149633522336</v>
      </c>
      <c r="AC301" s="153">
        <f t="shared" si="497"/>
        <v>0.24070454723380583</v>
      </c>
      <c r="AD301" s="153"/>
      <c r="AE301" s="153">
        <f t="shared" si="498"/>
        <v>0.96344647519582249</v>
      </c>
      <c r="AF301" s="317">
        <f t="shared" si="499"/>
        <v>2151.8276158371341</v>
      </c>
      <c r="AG301" s="463">
        <f t="shared" si="500"/>
        <v>6.9127284595300251E-2</v>
      </c>
      <c r="AI301" s="153">
        <f t="shared" si="501"/>
        <v>2.0332162339427291</v>
      </c>
      <c r="AJ301" s="153">
        <f t="shared" si="502"/>
        <v>2.9391778804311439</v>
      </c>
      <c r="AK301" s="153">
        <f t="shared" si="503"/>
        <v>2.6127852536207632</v>
      </c>
      <c r="AM301" s="317">
        <f t="shared" si="504"/>
        <v>425</v>
      </c>
      <c r="AN301" s="147">
        <f t="shared" si="505"/>
        <v>182.21051043778823</v>
      </c>
      <c r="AP301">
        <f t="shared" si="506"/>
        <v>425</v>
      </c>
      <c r="AQ301">
        <f t="shared" si="507"/>
        <v>182.21051043778823</v>
      </c>
      <c r="AS301" s="5">
        <f t="shared" si="479"/>
        <v>5.4881576128476297</v>
      </c>
      <c r="AT301" s="5">
        <f t="shared" si="508"/>
        <v>2.0348154556830997</v>
      </c>
      <c r="AU301" s="5">
        <f t="shared" si="516"/>
        <v>3.45334215716453</v>
      </c>
      <c r="AV301" s="5"/>
      <c r="AW301" s="153">
        <f t="shared" si="517"/>
        <v>0.37076476282671827</v>
      </c>
      <c r="AX301" s="153"/>
      <c r="BA301" s="147">
        <f t="shared" si="509"/>
        <v>15.792961674237105</v>
      </c>
      <c r="BB301" s="147">
        <f t="shared" si="510"/>
        <v>11.561293207100592</v>
      </c>
      <c r="BC301" s="5">
        <f t="shared" si="442"/>
        <v>3.39032205311833</v>
      </c>
      <c r="BD301" s="147">
        <f t="shared" si="511"/>
        <v>0</v>
      </c>
      <c r="BQ301" s="463">
        <f t="shared" si="512"/>
        <v>0.16234999999999999</v>
      </c>
      <c r="CG301" s="59">
        <f t="shared" si="513"/>
        <v>-50</v>
      </c>
      <c r="CH301">
        <f t="shared" si="514"/>
        <v>-50</v>
      </c>
    </row>
    <row r="302" spans="5:86" x14ac:dyDescent="0.25">
      <c r="E302" s="150">
        <v>86</v>
      </c>
      <c r="F302" s="191">
        <f t="shared" si="515"/>
        <v>0.43</v>
      </c>
      <c r="G302" s="191"/>
      <c r="H302" s="191">
        <f t="shared" si="481"/>
        <v>6.45</v>
      </c>
      <c r="I302" s="472">
        <f t="shared" si="482"/>
        <v>13</v>
      </c>
      <c r="J302" s="386">
        <f t="shared" si="483"/>
        <v>7.66</v>
      </c>
      <c r="K302" s="386">
        <f t="shared" si="484"/>
        <v>20.66</v>
      </c>
      <c r="L302" s="386"/>
      <c r="M302" s="191">
        <f t="shared" si="485"/>
        <v>0.37076476282671827</v>
      </c>
      <c r="N302" s="152">
        <f t="shared" si="486"/>
        <v>8.9867817037754101</v>
      </c>
      <c r="O302" s="152">
        <f t="shared" si="478"/>
        <v>6.45</v>
      </c>
      <c r="P302" s="191">
        <f t="shared" si="487"/>
        <v>0.59911878025169396</v>
      </c>
      <c r="Q302" s="191">
        <f t="shared" si="488"/>
        <v>15</v>
      </c>
      <c r="R302" s="191"/>
      <c r="S302" s="152">
        <f t="shared" si="489"/>
        <v>30.052997293252705</v>
      </c>
      <c r="T302" s="152">
        <f t="shared" si="490"/>
        <v>15</v>
      </c>
      <c r="U302" s="191">
        <f t="shared" si="491"/>
        <v>2.9737564437303341</v>
      </c>
      <c r="V302" s="191">
        <f t="shared" si="492"/>
        <v>2.0587544610440776</v>
      </c>
      <c r="W302" s="191">
        <f t="shared" si="493"/>
        <v>3.4939697119547004</v>
      </c>
      <c r="X302" s="175">
        <f t="shared" si="494"/>
        <v>350</v>
      </c>
      <c r="Y302" s="386">
        <f t="shared" si="480"/>
        <v>180.09178357223257</v>
      </c>
      <c r="AA302" s="191">
        <f t="shared" si="495"/>
        <v>1.530140291030901</v>
      </c>
      <c r="AB302" s="153">
        <f t="shared" si="496"/>
        <v>1.7978149633522336</v>
      </c>
      <c r="AC302" s="153">
        <f t="shared" si="497"/>
        <v>0.24070454723380583</v>
      </c>
      <c r="AD302" s="153"/>
      <c r="AE302" s="153">
        <f t="shared" si="498"/>
        <v>0.96344647519582249</v>
      </c>
      <c r="AF302" s="317">
        <f t="shared" si="499"/>
        <v>2177.1432348469825</v>
      </c>
      <c r="AG302" s="463">
        <f t="shared" si="500"/>
        <v>6.9127284595300251E-2</v>
      </c>
      <c r="AI302" s="153">
        <f t="shared" si="501"/>
        <v>2.0451413580980593</v>
      </c>
      <c r="AJ302" s="153">
        <f t="shared" si="502"/>
        <v>2.9737564437303341</v>
      </c>
      <c r="AK302" s="153">
        <f t="shared" si="503"/>
        <v>2.6358376291535563</v>
      </c>
      <c r="AM302" s="317">
        <f t="shared" si="504"/>
        <v>430</v>
      </c>
      <c r="AN302" s="147">
        <f t="shared" si="505"/>
        <v>180.09178357223257</v>
      </c>
      <c r="AP302">
        <f t="shared" si="506"/>
        <v>430</v>
      </c>
      <c r="AQ302">
        <f t="shared" si="507"/>
        <v>180.09178357223257</v>
      </c>
      <c r="AS302" s="5">
        <f t="shared" si="479"/>
        <v>5.5527241729987775</v>
      </c>
      <c r="AT302" s="5">
        <f t="shared" si="508"/>
        <v>2.0587544610440776</v>
      </c>
      <c r="AU302" s="5">
        <f t="shared" si="516"/>
        <v>3.4939697119547</v>
      </c>
      <c r="AV302" s="5"/>
      <c r="AW302" s="153">
        <f t="shared" si="517"/>
        <v>0.37076476282671833</v>
      </c>
      <c r="AX302" s="153"/>
      <c r="BA302" s="147">
        <f t="shared" si="509"/>
        <v>15.792961674237105</v>
      </c>
      <c r="BB302" s="147">
        <f t="shared" si="510"/>
        <v>11.819747343905323</v>
      </c>
      <c r="BC302" s="5">
        <f t="shared" si="442"/>
        <v>3.4705635854481889</v>
      </c>
      <c r="BD302" s="147">
        <f t="shared" si="511"/>
        <v>0</v>
      </c>
      <c r="BQ302" s="463">
        <f t="shared" si="512"/>
        <v>0.16426000000000002</v>
      </c>
      <c r="CG302" s="59">
        <f t="shared" si="513"/>
        <v>-50</v>
      </c>
      <c r="CH302">
        <f t="shared" si="514"/>
        <v>-50</v>
      </c>
    </row>
    <row r="303" spans="5:86" x14ac:dyDescent="0.25">
      <c r="E303" s="150">
        <v>87</v>
      </c>
      <c r="F303" s="191">
        <f t="shared" si="515"/>
        <v>0.435</v>
      </c>
      <c r="G303" s="191"/>
      <c r="H303" s="191">
        <f t="shared" si="481"/>
        <v>6.5250000000000004</v>
      </c>
      <c r="I303" s="472">
        <f t="shared" si="482"/>
        <v>13</v>
      </c>
      <c r="J303" s="386">
        <f t="shared" si="483"/>
        <v>7.66</v>
      </c>
      <c r="K303" s="386">
        <f t="shared" si="484"/>
        <v>20.66</v>
      </c>
      <c r="L303" s="386"/>
      <c r="M303" s="191">
        <f t="shared" si="485"/>
        <v>0.37076476282671827</v>
      </c>
      <c r="N303" s="152">
        <f t="shared" si="486"/>
        <v>8.9867817037754101</v>
      </c>
      <c r="O303" s="152">
        <f t="shared" si="478"/>
        <v>6.5250000000000004</v>
      </c>
      <c r="P303" s="191">
        <f t="shared" si="487"/>
        <v>0.59911878025169396</v>
      </c>
      <c r="Q303" s="191">
        <f t="shared" si="488"/>
        <v>15</v>
      </c>
      <c r="R303" s="191"/>
      <c r="S303" s="152">
        <f t="shared" si="489"/>
        <v>29.417710475034674</v>
      </c>
      <c r="T303" s="152">
        <f t="shared" si="490"/>
        <v>15</v>
      </c>
      <c r="U303" s="191">
        <f t="shared" si="491"/>
        <v>3.0083350070295238</v>
      </c>
      <c r="V303" s="191">
        <f t="shared" si="492"/>
        <v>2.0826934664050554</v>
      </c>
      <c r="W303" s="191">
        <f t="shared" si="493"/>
        <v>3.5345972667448713</v>
      </c>
      <c r="X303" s="175">
        <f t="shared" si="494"/>
        <v>350</v>
      </c>
      <c r="Y303" s="386">
        <f t="shared" si="480"/>
        <v>178.02176307140229</v>
      </c>
      <c r="AA303" s="191">
        <f t="shared" si="495"/>
        <v>1.530140291030901</v>
      </c>
      <c r="AB303" s="153">
        <f t="shared" si="496"/>
        <v>1.7978149633522336</v>
      </c>
      <c r="AC303" s="153">
        <f t="shared" si="497"/>
        <v>0.24070454723380583</v>
      </c>
      <c r="AD303" s="153"/>
      <c r="AE303" s="153">
        <f t="shared" si="498"/>
        <v>0.96344647519582249</v>
      </c>
      <c r="AF303" s="317">
        <f t="shared" si="499"/>
        <v>2202.4588538568314</v>
      </c>
      <c r="AG303" s="463">
        <f t="shared" si="500"/>
        <v>6.9127284595300251E-2</v>
      </c>
      <c r="AI303" s="153">
        <f t="shared" si="501"/>
        <v>2.0569973493512563</v>
      </c>
      <c r="AJ303" s="153">
        <f t="shared" si="502"/>
        <v>3.0083350070295238</v>
      </c>
      <c r="AK303" s="153">
        <f t="shared" si="503"/>
        <v>2.6588900046863495</v>
      </c>
      <c r="AM303" s="317">
        <f t="shared" si="504"/>
        <v>435</v>
      </c>
      <c r="AN303" s="147">
        <f t="shared" si="505"/>
        <v>178.02176307140229</v>
      </c>
      <c r="AP303">
        <f t="shared" si="506"/>
        <v>435</v>
      </c>
      <c r="AQ303">
        <f t="shared" si="507"/>
        <v>178.02176307140229</v>
      </c>
      <c r="AS303" s="5">
        <f t="shared" si="479"/>
        <v>5.6172907331499271</v>
      </c>
      <c r="AT303" s="5">
        <f t="shared" si="508"/>
        <v>2.0826934664050554</v>
      </c>
      <c r="AU303" s="5">
        <f t="shared" si="516"/>
        <v>3.5345972667448717</v>
      </c>
      <c r="AV303" s="5"/>
      <c r="AW303" s="153">
        <f t="shared" si="517"/>
        <v>0.37076476282671833</v>
      </c>
      <c r="AX303" s="153"/>
      <c r="BA303" s="147">
        <f t="shared" si="509"/>
        <v>15.792961674237105</v>
      </c>
      <c r="BB303" s="147">
        <f t="shared" si="510"/>
        <v>12.081048897514794</v>
      </c>
      <c r="BC303" s="5">
        <f t="shared" si="442"/>
        <v>3.5517436152321991</v>
      </c>
      <c r="BD303" s="147">
        <f t="shared" si="511"/>
        <v>0</v>
      </c>
      <c r="BQ303" s="463">
        <f t="shared" si="512"/>
        <v>0.16617000000000001</v>
      </c>
      <c r="CG303" s="59">
        <f t="shared" si="513"/>
        <v>-50</v>
      </c>
      <c r="CH303">
        <f t="shared" si="514"/>
        <v>-50</v>
      </c>
    </row>
    <row r="304" spans="5:86" x14ac:dyDescent="0.25">
      <c r="E304" s="150">
        <v>88</v>
      </c>
      <c r="F304" s="191">
        <f t="shared" si="515"/>
        <v>0.44</v>
      </c>
      <c r="G304" s="191"/>
      <c r="H304" s="191">
        <f t="shared" si="481"/>
        <v>6.6</v>
      </c>
      <c r="I304" s="472">
        <f t="shared" si="482"/>
        <v>13</v>
      </c>
      <c r="J304" s="386">
        <f t="shared" si="483"/>
        <v>7.66</v>
      </c>
      <c r="K304" s="386">
        <f t="shared" si="484"/>
        <v>20.66</v>
      </c>
      <c r="L304" s="386"/>
      <c r="M304" s="191">
        <f t="shared" si="485"/>
        <v>0.37076476282671827</v>
      </c>
      <c r="N304" s="152">
        <f t="shared" si="486"/>
        <v>8.9867817037754101</v>
      </c>
      <c r="O304" s="152">
        <f t="shared" si="478"/>
        <v>6.6</v>
      </c>
      <c r="P304" s="191">
        <f t="shared" si="487"/>
        <v>0.59911878025169396</v>
      </c>
      <c r="Q304" s="191">
        <f t="shared" si="488"/>
        <v>15</v>
      </c>
      <c r="R304" s="191"/>
      <c r="S304" s="152">
        <f t="shared" si="489"/>
        <v>28.797106316612503</v>
      </c>
      <c r="T304" s="152">
        <f t="shared" si="490"/>
        <v>15</v>
      </c>
      <c r="U304" s="191">
        <f t="shared" si="491"/>
        <v>3.0429135703287136</v>
      </c>
      <c r="V304" s="191">
        <f t="shared" si="492"/>
        <v>2.1066324717660323</v>
      </c>
      <c r="W304" s="191">
        <f t="shared" si="493"/>
        <v>3.5752248215350422</v>
      </c>
      <c r="X304" s="175">
        <f t="shared" si="494"/>
        <v>350</v>
      </c>
      <c r="Y304" s="386">
        <f t="shared" si="480"/>
        <v>175.99878849104547</v>
      </c>
      <c r="AA304" s="191">
        <f t="shared" si="495"/>
        <v>1.530140291030901</v>
      </c>
      <c r="AB304" s="153">
        <f t="shared" si="496"/>
        <v>1.7978149633522336</v>
      </c>
      <c r="AC304" s="153">
        <f t="shared" si="497"/>
        <v>0.24070454723380583</v>
      </c>
      <c r="AD304" s="153"/>
      <c r="AE304" s="153">
        <f t="shared" si="498"/>
        <v>0.96344647519582249</v>
      </c>
      <c r="AF304" s="317">
        <f t="shared" si="499"/>
        <v>2227.7744728666798</v>
      </c>
      <c r="AG304" s="463">
        <f t="shared" si="500"/>
        <v>6.9127284595300251E-2</v>
      </c>
      <c r="AI304" s="153">
        <f t="shared" si="501"/>
        <v>2.0687853962828084</v>
      </c>
      <c r="AJ304" s="153">
        <f t="shared" si="502"/>
        <v>3.0429135703287136</v>
      </c>
      <c r="AK304" s="153">
        <f t="shared" si="503"/>
        <v>2.6819423802191427</v>
      </c>
      <c r="AM304" s="317">
        <f t="shared" si="504"/>
        <v>440</v>
      </c>
      <c r="AN304" s="147">
        <f t="shared" si="505"/>
        <v>175.99878849104547</v>
      </c>
      <c r="AP304">
        <f t="shared" si="506"/>
        <v>440</v>
      </c>
      <c r="AQ304">
        <f t="shared" si="507"/>
        <v>175.99878849104547</v>
      </c>
      <c r="AS304" s="5">
        <f t="shared" si="479"/>
        <v>5.6818572933010749</v>
      </c>
      <c r="AT304" s="5">
        <f t="shared" si="508"/>
        <v>2.1066324717660323</v>
      </c>
      <c r="AU304" s="5">
        <f t="shared" si="516"/>
        <v>3.5752248215350426</v>
      </c>
      <c r="AV304" s="5"/>
      <c r="AW304" s="153">
        <f t="shared" si="517"/>
        <v>0.37076476282671822</v>
      </c>
      <c r="AX304" s="153"/>
      <c r="BA304" s="147">
        <f t="shared" si="509"/>
        <v>15.792961674237105</v>
      </c>
      <c r="BB304" s="147">
        <f t="shared" si="510"/>
        <v>12.345197867928993</v>
      </c>
      <c r="BC304" s="5">
        <f t="shared" si="442"/>
        <v>3.6338621424703597</v>
      </c>
      <c r="BD304" s="147">
        <f t="shared" si="511"/>
        <v>0</v>
      </c>
      <c r="BQ304" s="463">
        <f t="shared" si="512"/>
        <v>0.16808000000000001</v>
      </c>
      <c r="CG304" s="59">
        <f t="shared" si="513"/>
        <v>-50</v>
      </c>
      <c r="CH304">
        <f t="shared" si="514"/>
        <v>-50</v>
      </c>
    </row>
    <row r="305" spans="4:86" x14ac:dyDescent="0.25">
      <c r="E305" s="150">
        <v>89</v>
      </c>
      <c r="F305" s="191">
        <f t="shared" si="515"/>
        <v>0.44500000000000001</v>
      </c>
      <c r="G305" s="191"/>
      <c r="H305" s="191">
        <f t="shared" si="481"/>
        <v>6.6749999999999998</v>
      </c>
      <c r="I305" s="472">
        <f t="shared" si="482"/>
        <v>13</v>
      </c>
      <c r="J305" s="386">
        <f t="shared" si="483"/>
        <v>7.66</v>
      </c>
      <c r="K305" s="386">
        <f t="shared" si="484"/>
        <v>20.66</v>
      </c>
      <c r="L305" s="386"/>
      <c r="M305" s="191">
        <f t="shared" si="485"/>
        <v>0.37076476282671827</v>
      </c>
      <c r="N305" s="152">
        <f t="shared" si="486"/>
        <v>8.9867817037754101</v>
      </c>
      <c r="O305" s="152">
        <f t="shared" si="478"/>
        <v>6.6749999999999998</v>
      </c>
      <c r="P305" s="191">
        <f t="shared" si="487"/>
        <v>0.59911878025169396</v>
      </c>
      <c r="Q305" s="191">
        <f t="shared" si="488"/>
        <v>15</v>
      </c>
      <c r="R305" s="191"/>
      <c r="S305" s="152">
        <f t="shared" si="489"/>
        <v>28.190696702219771</v>
      </c>
      <c r="T305" s="152">
        <f t="shared" si="490"/>
        <v>15</v>
      </c>
      <c r="U305" s="191">
        <f t="shared" si="491"/>
        <v>3.0774921336279037</v>
      </c>
      <c r="V305" s="191">
        <f t="shared" si="492"/>
        <v>2.1305714771270101</v>
      </c>
      <c r="W305" s="191">
        <f t="shared" si="493"/>
        <v>3.6158523763252131</v>
      </c>
      <c r="X305" s="175">
        <f t="shared" si="494"/>
        <v>350</v>
      </c>
      <c r="Y305" s="386">
        <f t="shared" si="480"/>
        <v>174.02127401361804</v>
      </c>
      <c r="AA305" s="191">
        <f t="shared" si="495"/>
        <v>1.530140291030901</v>
      </c>
      <c r="AB305" s="153">
        <f t="shared" si="496"/>
        <v>1.7978149633522336</v>
      </c>
      <c r="AC305" s="153">
        <f t="shared" si="497"/>
        <v>0.24070454723380583</v>
      </c>
      <c r="AD305" s="153"/>
      <c r="AE305" s="153">
        <f t="shared" si="498"/>
        <v>0.96344647519582249</v>
      </c>
      <c r="AF305" s="317">
        <f t="shared" si="499"/>
        <v>2253.0900918765287</v>
      </c>
      <c r="AG305" s="463">
        <f t="shared" si="500"/>
        <v>6.9127284595300251E-2</v>
      </c>
      <c r="AI305" s="153">
        <f t="shared" si="501"/>
        <v>2.0805066538004477</v>
      </c>
      <c r="AJ305" s="153">
        <f t="shared" si="502"/>
        <v>3.0774921336279037</v>
      </c>
      <c r="AK305" s="153">
        <f t="shared" si="503"/>
        <v>2.7049947557519358</v>
      </c>
      <c r="AM305" s="317">
        <f t="shared" si="504"/>
        <v>445</v>
      </c>
      <c r="AN305" s="147">
        <f t="shared" si="505"/>
        <v>174.02127401361804</v>
      </c>
      <c r="AP305">
        <f t="shared" si="506"/>
        <v>445</v>
      </c>
      <c r="AQ305">
        <f t="shared" si="507"/>
        <v>174.02127401361804</v>
      </c>
      <c r="AS305" s="5">
        <f t="shared" si="479"/>
        <v>5.7464238534522218</v>
      </c>
      <c r="AT305" s="5">
        <f t="shared" si="508"/>
        <v>2.1305714771270101</v>
      </c>
      <c r="AU305" s="5">
        <f t="shared" si="516"/>
        <v>3.6158523763252117</v>
      </c>
      <c r="AV305" s="5"/>
      <c r="AW305" s="153">
        <f t="shared" si="517"/>
        <v>0.37076476282671839</v>
      </c>
      <c r="AX305" s="153"/>
      <c r="BA305" s="147">
        <f t="shared" si="509"/>
        <v>15.792961674237105</v>
      </c>
      <c r="BB305" s="147">
        <f t="shared" si="510"/>
        <v>12.61219425514793</v>
      </c>
      <c r="BC305" s="5">
        <f t="shared" si="442"/>
        <v>3.716919167162668</v>
      </c>
      <c r="BD305" s="147">
        <f t="shared" si="511"/>
        <v>0</v>
      </c>
      <c r="BQ305" s="463">
        <f t="shared" si="512"/>
        <v>0.16999</v>
      </c>
      <c r="CG305" s="59">
        <f t="shared" si="513"/>
        <v>-50</v>
      </c>
      <c r="CH305">
        <f t="shared" si="514"/>
        <v>-50</v>
      </c>
    </row>
    <row r="306" spans="4:86" x14ac:dyDescent="0.25">
      <c r="E306" s="150">
        <v>90</v>
      </c>
      <c r="F306" s="191">
        <f t="shared" si="515"/>
        <v>0.45</v>
      </c>
      <c r="G306" s="191"/>
      <c r="H306" s="191">
        <f t="shared" si="481"/>
        <v>6.75</v>
      </c>
      <c r="I306" s="472">
        <f t="shared" si="482"/>
        <v>13</v>
      </c>
      <c r="J306" s="386">
        <f t="shared" si="483"/>
        <v>7.66</v>
      </c>
      <c r="K306" s="386">
        <f t="shared" si="484"/>
        <v>20.66</v>
      </c>
      <c r="L306" s="386"/>
      <c r="M306" s="191">
        <f t="shared" si="485"/>
        <v>0.37076476282671827</v>
      </c>
      <c r="N306" s="152">
        <f t="shared" si="486"/>
        <v>8.9867817037754101</v>
      </c>
      <c r="O306" s="152">
        <f t="shared" si="478"/>
        <v>6.75</v>
      </c>
      <c r="P306" s="191">
        <f t="shared" si="487"/>
        <v>0.59911878025169396</v>
      </c>
      <c r="Q306" s="191">
        <f t="shared" si="488"/>
        <v>15</v>
      </c>
      <c r="R306" s="191"/>
      <c r="S306" s="152">
        <f t="shared" si="489"/>
        <v>27.598015452217229</v>
      </c>
      <c r="T306" s="152">
        <f t="shared" si="490"/>
        <v>15</v>
      </c>
      <c r="U306" s="191">
        <f t="shared" si="491"/>
        <v>3.1120706969270935</v>
      </c>
      <c r="V306" s="191">
        <f t="shared" si="492"/>
        <v>2.1545104824879875</v>
      </c>
      <c r="W306" s="191">
        <f t="shared" si="493"/>
        <v>3.6564799311153839</v>
      </c>
      <c r="X306" s="175">
        <f t="shared" si="494"/>
        <v>350</v>
      </c>
      <c r="Y306" s="386">
        <f t="shared" si="480"/>
        <v>172.0877043023556</v>
      </c>
      <c r="AA306" s="191">
        <f t="shared" si="495"/>
        <v>1.530140291030901</v>
      </c>
      <c r="AB306" s="153">
        <f t="shared" si="496"/>
        <v>1.7978149633522336</v>
      </c>
      <c r="AC306" s="153">
        <f t="shared" si="497"/>
        <v>0.24070454723380583</v>
      </c>
      <c r="AD306" s="153"/>
      <c r="AE306" s="153">
        <f t="shared" si="498"/>
        <v>0.96344647519582249</v>
      </c>
      <c r="AF306" s="317">
        <f t="shared" si="499"/>
        <v>2278.4057108863772</v>
      </c>
      <c r="AG306" s="463">
        <f t="shared" si="500"/>
        <v>6.9127284595300251E-2</v>
      </c>
      <c r="AI306" s="153">
        <f t="shared" si="501"/>
        <v>2.0921622444597499</v>
      </c>
      <c r="AJ306" s="153">
        <f t="shared" si="502"/>
        <v>3.1120706969270935</v>
      </c>
      <c r="AK306" s="153">
        <f t="shared" si="503"/>
        <v>2.728047131284729</v>
      </c>
      <c r="AM306" s="317">
        <f t="shared" si="504"/>
        <v>450</v>
      </c>
      <c r="AN306" s="147">
        <f t="shared" si="505"/>
        <v>172.0877043023556</v>
      </c>
      <c r="AP306">
        <f t="shared" si="506"/>
        <v>450</v>
      </c>
      <c r="AQ306">
        <f t="shared" si="507"/>
        <v>172.0877043023556</v>
      </c>
      <c r="AS306" s="5">
        <f t="shared" si="479"/>
        <v>5.8109904136033714</v>
      </c>
      <c r="AT306" s="5">
        <f t="shared" si="508"/>
        <v>2.1545104824879875</v>
      </c>
      <c r="AU306" s="5">
        <f t="shared" si="516"/>
        <v>3.6564799311153839</v>
      </c>
      <c r="AV306" s="5"/>
      <c r="AW306" s="153">
        <f t="shared" si="517"/>
        <v>0.37076476282671827</v>
      </c>
      <c r="AX306" s="153"/>
      <c r="BA306" s="147">
        <f t="shared" si="509"/>
        <v>15.792961674237105</v>
      </c>
      <c r="BB306" s="147">
        <f t="shared" si="510"/>
        <v>12.882038059171597</v>
      </c>
      <c r="BC306" s="5">
        <f t="shared" si="442"/>
        <v>3.8009146893091308</v>
      </c>
      <c r="BD306" s="147">
        <f t="shared" si="511"/>
        <v>0</v>
      </c>
      <c r="BQ306" s="463">
        <f t="shared" si="512"/>
        <v>0.17190000000000003</v>
      </c>
      <c r="CG306" s="59">
        <f t="shared" si="513"/>
        <v>-50</v>
      </c>
      <c r="CH306">
        <f t="shared" si="514"/>
        <v>-50</v>
      </c>
    </row>
    <row r="307" spans="4:86" x14ac:dyDescent="0.25">
      <c r="E307" s="150">
        <v>91</v>
      </c>
      <c r="F307" s="191">
        <f t="shared" si="515"/>
        <v>0.45500000000000002</v>
      </c>
      <c r="G307" s="191"/>
      <c r="H307" s="191">
        <f t="shared" si="481"/>
        <v>6.8250000000000002</v>
      </c>
      <c r="I307" s="472">
        <f t="shared" si="482"/>
        <v>13</v>
      </c>
      <c r="J307" s="386">
        <f t="shared" si="483"/>
        <v>7.66</v>
      </c>
      <c r="K307" s="386">
        <f t="shared" si="484"/>
        <v>20.66</v>
      </c>
      <c r="L307" s="386"/>
      <c r="M307" s="191">
        <f t="shared" si="485"/>
        <v>0.37076476282671827</v>
      </c>
      <c r="N307" s="152">
        <f t="shared" si="486"/>
        <v>8.9867817037754101</v>
      </c>
      <c r="O307" s="152">
        <f t="shared" si="478"/>
        <v>6.8250000000000002</v>
      </c>
      <c r="P307" s="191">
        <f t="shared" si="487"/>
        <v>0.59911878025169396</v>
      </c>
      <c r="Q307" s="191">
        <f t="shared" si="488"/>
        <v>15</v>
      </c>
      <c r="R307" s="191"/>
      <c r="S307" s="152">
        <f t="shared" si="489"/>
        <v>27.018617128015997</v>
      </c>
      <c r="T307" s="152">
        <f t="shared" si="490"/>
        <v>15</v>
      </c>
      <c r="U307" s="191">
        <f t="shared" si="491"/>
        <v>3.1466492602262837</v>
      </c>
      <c r="V307" s="191">
        <f t="shared" si="492"/>
        <v>2.1784494878489657</v>
      </c>
      <c r="W307" s="191">
        <f t="shared" si="493"/>
        <v>3.6971074859055548</v>
      </c>
      <c r="X307" s="175">
        <f t="shared" si="494"/>
        <v>350</v>
      </c>
      <c r="Y307" s="386">
        <f t="shared" si="480"/>
        <v>170.19663062870333</v>
      </c>
      <c r="AA307" s="191">
        <f t="shared" si="495"/>
        <v>1.530140291030901</v>
      </c>
      <c r="AB307" s="153">
        <f t="shared" si="496"/>
        <v>1.7978149633522336</v>
      </c>
      <c r="AC307" s="153">
        <f t="shared" si="497"/>
        <v>0.24070454723380583</v>
      </c>
      <c r="AD307" s="153"/>
      <c r="AE307" s="153">
        <f t="shared" si="498"/>
        <v>0.96344647519582249</v>
      </c>
      <c r="AF307" s="317">
        <f t="shared" si="499"/>
        <v>2303.7213298962261</v>
      </c>
      <c r="AG307" s="463">
        <f t="shared" si="500"/>
        <v>6.9127284595300251E-2</v>
      </c>
      <c r="AI307" s="153">
        <f t="shared" si="501"/>
        <v>2.1037532597188715</v>
      </c>
      <c r="AJ307" s="153">
        <f t="shared" si="502"/>
        <v>3.1466492602262837</v>
      </c>
      <c r="AK307" s="153">
        <f t="shared" si="503"/>
        <v>2.751099506817523</v>
      </c>
      <c r="AM307" s="317">
        <f t="shared" si="504"/>
        <v>455</v>
      </c>
      <c r="AN307" s="147">
        <f t="shared" si="505"/>
        <v>170.19663062870333</v>
      </c>
      <c r="AP307">
        <f t="shared" si="506"/>
        <v>455</v>
      </c>
      <c r="AQ307">
        <f t="shared" si="507"/>
        <v>170.19663062870333</v>
      </c>
      <c r="AS307" s="5">
        <f t="shared" si="479"/>
        <v>5.8755569737545201</v>
      </c>
      <c r="AT307" s="5">
        <f t="shared" si="508"/>
        <v>2.1784494878489657</v>
      </c>
      <c r="AU307" s="5">
        <f t="shared" si="516"/>
        <v>3.6971074859055544</v>
      </c>
      <c r="AV307" s="5"/>
      <c r="AW307" s="153">
        <f t="shared" si="517"/>
        <v>0.37076476282671839</v>
      </c>
      <c r="AX307" s="153"/>
      <c r="BA307" s="147">
        <f t="shared" si="509"/>
        <v>15.792961674237105</v>
      </c>
      <c r="BB307" s="147">
        <f t="shared" si="510"/>
        <v>13.154729280000002</v>
      </c>
      <c r="BC307" s="5">
        <f t="shared" si="442"/>
        <v>3.8858487089097404</v>
      </c>
      <c r="BD307" s="147">
        <f t="shared" si="511"/>
        <v>0</v>
      </c>
      <c r="BQ307" s="463">
        <f t="shared" si="512"/>
        <v>0.17381000000000002</v>
      </c>
      <c r="CG307" s="59">
        <f t="shared" si="513"/>
        <v>-50</v>
      </c>
      <c r="CH307">
        <f t="shared" si="514"/>
        <v>-50</v>
      </c>
    </row>
    <row r="308" spans="4:86" x14ac:dyDescent="0.25">
      <c r="E308" s="150">
        <v>92</v>
      </c>
      <c r="F308" s="191">
        <f t="shared" si="515"/>
        <v>0.46</v>
      </c>
      <c r="G308" s="191"/>
      <c r="H308" s="191">
        <f t="shared" si="481"/>
        <v>6.9</v>
      </c>
      <c r="I308" s="472">
        <f t="shared" si="482"/>
        <v>13</v>
      </c>
      <c r="J308" s="386">
        <f t="shared" si="483"/>
        <v>7.66</v>
      </c>
      <c r="K308" s="386">
        <f t="shared" si="484"/>
        <v>20.66</v>
      </c>
      <c r="L308" s="386"/>
      <c r="M308" s="191">
        <f t="shared" si="485"/>
        <v>0.37076476282671827</v>
      </c>
      <c r="N308" s="152">
        <f t="shared" si="486"/>
        <v>8.9867817037754101</v>
      </c>
      <c r="O308" s="152">
        <f t="shared" si="478"/>
        <v>6.9</v>
      </c>
      <c r="P308" s="191">
        <f t="shared" si="487"/>
        <v>0.59911878025169396</v>
      </c>
      <c r="Q308" s="191">
        <f t="shared" si="488"/>
        <v>15</v>
      </c>
      <c r="R308" s="191"/>
      <c r="S308" s="152">
        <f t="shared" si="489"/>
        <v>26.452075915420803</v>
      </c>
      <c r="T308" s="152">
        <f t="shared" si="490"/>
        <v>15</v>
      </c>
      <c r="U308" s="191">
        <f t="shared" si="491"/>
        <v>3.1812278235254734</v>
      </c>
      <c r="V308" s="191">
        <f t="shared" si="492"/>
        <v>2.2023884932099436</v>
      </c>
      <c r="W308" s="191">
        <f t="shared" si="493"/>
        <v>3.7377350406957262</v>
      </c>
      <c r="X308" s="175">
        <f t="shared" si="494"/>
        <v>350</v>
      </c>
      <c r="Y308" s="386">
        <f t="shared" si="480"/>
        <v>168.34666725230434</v>
      </c>
      <c r="AA308" s="191">
        <f t="shared" si="495"/>
        <v>1.530140291030901</v>
      </c>
      <c r="AB308" s="153">
        <f t="shared" si="496"/>
        <v>1.7978149633522336</v>
      </c>
      <c r="AC308" s="153">
        <f t="shared" si="497"/>
        <v>0.24070454723380583</v>
      </c>
      <c r="AD308" s="153"/>
      <c r="AE308" s="153">
        <f t="shared" si="498"/>
        <v>0.96344647519582249</v>
      </c>
      <c r="AF308" s="317">
        <f t="shared" si="499"/>
        <v>2329.0369489060749</v>
      </c>
      <c r="AG308" s="463">
        <f t="shared" si="500"/>
        <v>6.9127284595300251E-2</v>
      </c>
      <c r="AI308" s="153">
        <f t="shared" si="501"/>
        <v>2.1152807611314151</v>
      </c>
      <c r="AJ308" s="153">
        <f t="shared" si="502"/>
        <v>3.1812278235254734</v>
      </c>
      <c r="AK308" s="153">
        <f t="shared" si="503"/>
        <v>2.7741518823503162</v>
      </c>
      <c r="AM308" s="317">
        <f t="shared" si="504"/>
        <v>460</v>
      </c>
      <c r="AN308" s="147">
        <f t="shared" si="505"/>
        <v>168.34666725230434</v>
      </c>
      <c r="AP308">
        <f t="shared" si="506"/>
        <v>460</v>
      </c>
      <c r="AQ308">
        <f t="shared" si="507"/>
        <v>168.34666725230434</v>
      </c>
      <c r="AS308" s="5">
        <f t="shared" si="479"/>
        <v>5.9401235339056697</v>
      </c>
      <c r="AT308" s="5">
        <f t="shared" si="508"/>
        <v>2.2023884932099436</v>
      </c>
      <c r="AU308" s="5">
        <f t="shared" si="516"/>
        <v>3.7377350406957262</v>
      </c>
      <c r="AV308" s="5"/>
      <c r="AW308" s="153">
        <f t="shared" si="517"/>
        <v>0.37076476282671833</v>
      </c>
      <c r="AX308" s="153"/>
      <c r="BA308" s="147">
        <f t="shared" si="509"/>
        <v>15.792961674237105</v>
      </c>
      <c r="BB308" s="147">
        <f t="shared" si="510"/>
        <v>13.430267917633138</v>
      </c>
      <c r="BC308" s="5">
        <f t="shared" si="442"/>
        <v>3.9717212259645041</v>
      </c>
      <c r="BD308" s="147">
        <f t="shared" si="511"/>
        <v>0</v>
      </c>
      <c r="BQ308" s="463">
        <f t="shared" si="512"/>
        <v>0.17572000000000002</v>
      </c>
      <c r="CG308" s="59">
        <f t="shared" si="513"/>
        <v>-50</v>
      </c>
      <c r="CH308">
        <f t="shared" si="514"/>
        <v>-50</v>
      </c>
    </row>
    <row r="309" spans="4:86" x14ac:dyDescent="0.25">
      <c r="E309" s="150">
        <v>93</v>
      </c>
      <c r="F309" s="191">
        <f t="shared" si="515"/>
        <v>0.46500000000000002</v>
      </c>
      <c r="G309" s="191"/>
      <c r="H309" s="191">
        <f t="shared" si="481"/>
        <v>6.9750000000000005</v>
      </c>
      <c r="I309" s="472">
        <f t="shared" si="482"/>
        <v>13</v>
      </c>
      <c r="J309" s="386">
        <f t="shared" si="483"/>
        <v>7.66</v>
      </c>
      <c r="K309" s="386">
        <f t="shared" si="484"/>
        <v>20.66</v>
      </c>
      <c r="L309" s="386"/>
      <c r="M309" s="191">
        <f t="shared" si="485"/>
        <v>0.37076476282671827</v>
      </c>
      <c r="N309" s="152">
        <f t="shared" si="486"/>
        <v>8.9867817037754101</v>
      </c>
      <c r="O309" s="152">
        <f t="shared" si="478"/>
        <v>6.9750000000000005</v>
      </c>
      <c r="P309" s="191">
        <f t="shared" si="487"/>
        <v>0.59911878025169396</v>
      </c>
      <c r="Q309" s="191">
        <f t="shared" si="488"/>
        <v>15</v>
      </c>
      <c r="R309" s="191"/>
      <c r="S309" s="152">
        <f t="shared" si="489"/>
        <v>25.897984580514162</v>
      </c>
      <c r="T309" s="152">
        <f t="shared" si="490"/>
        <v>15</v>
      </c>
      <c r="U309" s="191">
        <f t="shared" si="491"/>
        <v>3.2158063868246636</v>
      </c>
      <c r="V309" s="191">
        <f t="shared" si="492"/>
        <v>2.2263274985709209</v>
      </c>
      <c r="W309" s="191">
        <f t="shared" si="493"/>
        <v>3.778362595485897</v>
      </c>
      <c r="X309" s="175">
        <f t="shared" si="494"/>
        <v>350</v>
      </c>
      <c r="Y309" s="386">
        <f t="shared" si="480"/>
        <v>166.53648803453765</v>
      </c>
      <c r="AA309" s="191">
        <f t="shared" si="495"/>
        <v>1.530140291030901</v>
      </c>
      <c r="AB309" s="153">
        <f t="shared" si="496"/>
        <v>1.7978149633522336</v>
      </c>
      <c r="AC309" s="153">
        <f t="shared" si="497"/>
        <v>0.24070454723380583</v>
      </c>
      <c r="AD309" s="153"/>
      <c r="AE309" s="153">
        <f t="shared" si="498"/>
        <v>0.96344647519582249</v>
      </c>
      <c r="AF309" s="317">
        <f t="shared" si="499"/>
        <v>2354.3525679159234</v>
      </c>
      <c r="AG309" s="463">
        <f t="shared" si="500"/>
        <v>6.9127284595300251E-2</v>
      </c>
      <c r="AI309" s="153">
        <f t="shared" si="501"/>
        <v>2.1267457814810915</v>
      </c>
      <c r="AJ309" s="153">
        <f t="shared" si="502"/>
        <v>3.2158063868246636</v>
      </c>
      <c r="AK309" s="153">
        <f t="shared" si="503"/>
        <v>2.7972042578831093</v>
      </c>
      <c r="AM309" s="317">
        <f t="shared" si="504"/>
        <v>465</v>
      </c>
      <c r="AN309" s="147">
        <f t="shared" si="505"/>
        <v>166.53648803453765</v>
      </c>
      <c r="AP309">
        <f t="shared" si="506"/>
        <v>465</v>
      </c>
      <c r="AQ309">
        <f t="shared" si="507"/>
        <v>166.53648803453765</v>
      </c>
      <c r="AS309" s="5">
        <f t="shared" si="479"/>
        <v>6.0046900940568175</v>
      </c>
      <c r="AT309" s="5">
        <f t="shared" si="508"/>
        <v>2.2263274985709209</v>
      </c>
      <c r="AU309" s="5">
        <f t="shared" si="516"/>
        <v>3.7783625954858966</v>
      </c>
      <c r="AV309" s="5"/>
      <c r="AW309" s="153">
        <f t="shared" si="517"/>
        <v>0.37076476282671833</v>
      </c>
      <c r="AX309" s="153"/>
      <c r="BA309" s="147">
        <f t="shared" si="509"/>
        <v>15.792961674237105</v>
      </c>
      <c r="BB309" s="147">
        <f t="shared" si="510"/>
        <v>13.708653972071005</v>
      </c>
      <c r="BC309" s="5">
        <f t="shared" ref="BC309:BC316" si="518">H309/Efficiency/I309*AU309/Vinripple1</f>
        <v>4.0585322404734159</v>
      </c>
      <c r="BD309" s="147">
        <f t="shared" si="511"/>
        <v>0</v>
      </c>
      <c r="BQ309" s="463">
        <f t="shared" si="512"/>
        <v>0.17763000000000001</v>
      </c>
      <c r="CG309" s="59">
        <f t="shared" si="513"/>
        <v>-50</v>
      </c>
      <c r="CH309">
        <f t="shared" si="514"/>
        <v>-50</v>
      </c>
    </row>
    <row r="310" spans="4:86" x14ac:dyDescent="0.25">
      <c r="E310" s="150">
        <v>94</v>
      </c>
      <c r="F310" s="191">
        <f t="shared" si="515"/>
        <v>0.47</v>
      </c>
      <c r="G310" s="191"/>
      <c r="H310" s="191">
        <f t="shared" si="481"/>
        <v>7.05</v>
      </c>
      <c r="I310" s="472">
        <f t="shared" si="482"/>
        <v>13</v>
      </c>
      <c r="J310" s="386">
        <f t="shared" si="483"/>
        <v>7.66</v>
      </c>
      <c r="K310" s="386">
        <f t="shared" si="484"/>
        <v>20.66</v>
      </c>
      <c r="L310" s="386"/>
      <c r="M310" s="191">
        <f t="shared" si="485"/>
        <v>0.37076476282671827</v>
      </c>
      <c r="N310" s="152">
        <f t="shared" si="486"/>
        <v>8.9867817037754101</v>
      </c>
      <c r="O310" s="152">
        <f t="shared" si="478"/>
        <v>7.05</v>
      </c>
      <c r="P310" s="191">
        <f t="shared" si="487"/>
        <v>0.59911878025169396</v>
      </c>
      <c r="Q310" s="191">
        <f t="shared" si="488"/>
        <v>15</v>
      </c>
      <c r="R310" s="191"/>
      <c r="S310" s="152">
        <f t="shared" si="489"/>
        <v>25.355953492704074</v>
      </c>
      <c r="T310" s="152">
        <f t="shared" si="490"/>
        <v>15</v>
      </c>
      <c r="U310" s="191">
        <f t="shared" si="491"/>
        <v>3.2503849501238533</v>
      </c>
      <c r="V310" s="191">
        <f t="shared" si="492"/>
        <v>2.2502665039318983</v>
      </c>
      <c r="W310" s="191">
        <f t="shared" si="493"/>
        <v>3.8189901502760679</v>
      </c>
      <c r="X310" s="175">
        <f t="shared" si="494"/>
        <v>350</v>
      </c>
      <c r="Y310" s="386">
        <f t="shared" si="480"/>
        <v>164.76482326821278</v>
      </c>
      <c r="AA310" s="191">
        <f t="shared" si="495"/>
        <v>1.530140291030901</v>
      </c>
      <c r="AB310" s="153">
        <f t="shared" si="496"/>
        <v>1.7978149633522336</v>
      </c>
      <c r="AC310" s="153">
        <f t="shared" si="497"/>
        <v>0.24070454723380583</v>
      </c>
      <c r="AD310" s="153"/>
      <c r="AE310" s="153">
        <f t="shared" si="498"/>
        <v>0.96344647519582249</v>
      </c>
      <c r="AF310" s="317">
        <f t="shared" si="499"/>
        <v>2379.6681869257718</v>
      </c>
      <c r="AG310" s="463">
        <f t="shared" si="500"/>
        <v>6.9127284595300251E-2</v>
      </c>
      <c r="AI310" s="153">
        <f t="shared" si="501"/>
        <v>2.1381493258616291</v>
      </c>
      <c r="AJ310" s="153">
        <f t="shared" si="502"/>
        <v>3.2503849501238533</v>
      </c>
      <c r="AK310" s="153">
        <f t="shared" si="503"/>
        <v>2.8202566334159025</v>
      </c>
      <c r="AM310" s="317">
        <f t="shared" si="504"/>
        <v>470</v>
      </c>
      <c r="AN310" s="147">
        <f t="shared" si="505"/>
        <v>164.76482326821278</v>
      </c>
      <c r="AP310">
        <f t="shared" si="506"/>
        <v>470</v>
      </c>
      <c r="AQ310">
        <f t="shared" si="507"/>
        <v>164.76482326821278</v>
      </c>
      <c r="AS310" s="5">
        <f t="shared" si="479"/>
        <v>6.0692566542079671</v>
      </c>
      <c r="AT310" s="5">
        <f t="shared" si="508"/>
        <v>2.2502665039318983</v>
      </c>
      <c r="AU310" s="5">
        <f t="shared" si="516"/>
        <v>3.8189901502760688</v>
      </c>
      <c r="AV310" s="5"/>
      <c r="AW310" s="153">
        <f t="shared" si="517"/>
        <v>0.37076476282671822</v>
      </c>
      <c r="AX310" s="153"/>
      <c r="BA310" s="147">
        <f t="shared" si="509"/>
        <v>15.792961674237105</v>
      </c>
      <c r="BB310" s="147">
        <f t="shared" si="510"/>
        <v>13.989887443313609</v>
      </c>
      <c r="BC310" s="5">
        <f t="shared" si="518"/>
        <v>4.1462817524364795</v>
      </c>
      <c r="BD310" s="147">
        <f t="shared" si="511"/>
        <v>0</v>
      </c>
      <c r="BQ310" s="463">
        <f t="shared" si="512"/>
        <v>0.17954000000000001</v>
      </c>
      <c r="CG310" s="59">
        <f t="shared" si="513"/>
        <v>-50</v>
      </c>
      <c r="CH310">
        <f t="shared" si="514"/>
        <v>-50</v>
      </c>
    </row>
    <row r="311" spans="4:86" x14ac:dyDescent="0.25">
      <c r="E311" s="150">
        <v>95</v>
      </c>
      <c r="F311" s="191">
        <f t="shared" si="515"/>
        <v>0.47499999999999998</v>
      </c>
      <c r="G311" s="191"/>
      <c r="H311" s="191">
        <f t="shared" si="481"/>
        <v>7.125</v>
      </c>
      <c r="I311" s="472">
        <f t="shared" si="482"/>
        <v>13</v>
      </c>
      <c r="J311" s="386">
        <f t="shared" si="483"/>
        <v>7.66</v>
      </c>
      <c r="K311" s="386">
        <f t="shared" si="484"/>
        <v>20.66</v>
      </c>
      <c r="L311" s="386"/>
      <c r="M311" s="191">
        <f t="shared" si="485"/>
        <v>0.37076476282671827</v>
      </c>
      <c r="N311" s="152">
        <f t="shared" si="486"/>
        <v>8.9867817037754101</v>
      </c>
      <c r="O311" s="152">
        <f t="shared" si="478"/>
        <v>7.125</v>
      </c>
      <c r="P311" s="191">
        <f t="shared" si="487"/>
        <v>0.59911878025169396</v>
      </c>
      <c r="Q311" s="191">
        <f t="shared" si="488"/>
        <v>15</v>
      </c>
      <c r="R311" s="191"/>
      <c r="S311" s="152">
        <f t="shared" si="489"/>
        <v>24.825609710011406</v>
      </c>
      <c r="T311" s="152">
        <f t="shared" si="490"/>
        <v>15</v>
      </c>
      <c r="U311" s="191">
        <f t="shared" si="491"/>
        <v>3.284963513423043</v>
      </c>
      <c r="V311" s="191">
        <f t="shared" si="492"/>
        <v>2.2742055092928757</v>
      </c>
      <c r="W311" s="191">
        <f t="shared" si="493"/>
        <v>3.8596177050662384</v>
      </c>
      <c r="X311" s="175">
        <f t="shared" si="494"/>
        <v>350</v>
      </c>
      <c r="Y311" s="386">
        <f t="shared" si="480"/>
        <v>163.03045670749478</v>
      </c>
      <c r="AA311" s="191">
        <f t="shared" si="495"/>
        <v>1.530140291030901</v>
      </c>
      <c r="AB311" s="153">
        <f t="shared" si="496"/>
        <v>1.7978149633522336</v>
      </c>
      <c r="AC311" s="153">
        <f t="shared" si="497"/>
        <v>0.24070454723380583</v>
      </c>
      <c r="AD311" s="153"/>
      <c r="AE311" s="153">
        <f t="shared" si="498"/>
        <v>0.96344647519582249</v>
      </c>
      <c r="AF311" s="317">
        <f t="shared" si="499"/>
        <v>2404.9838059356202</v>
      </c>
      <c r="AG311" s="463">
        <f t="shared" si="500"/>
        <v>6.9127284595300251E-2</v>
      </c>
      <c r="AI311" s="153">
        <f t="shared" si="501"/>
        <v>2.1494923727051138</v>
      </c>
      <c r="AJ311" s="153">
        <f t="shared" si="502"/>
        <v>3.284963513423043</v>
      </c>
      <c r="AK311" s="153">
        <f t="shared" si="503"/>
        <v>2.8433090089486956</v>
      </c>
      <c r="AM311" s="317">
        <f t="shared" si="504"/>
        <v>475</v>
      </c>
      <c r="AN311" s="147">
        <f t="shared" si="505"/>
        <v>163.03045670749478</v>
      </c>
      <c r="AP311">
        <f t="shared" si="506"/>
        <v>475</v>
      </c>
      <c r="AQ311">
        <f t="shared" si="507"/>
        <v>163.03045670749478</v>
      </c>
      <c r="AS311" s="5">
        <f t="shared" si="479"/>
        <v>6.133823214359114</v>
      </c>
      <c r="AT311" s="5">
        <f t="shared" si="508"/>
        <v>2.2742055092928757</v>
      </c>
      <c r="AU311" s="5">
        <f t="shared" si="516"/>
        <v>3.8596177050662384</v>
      </c>
      <c r="AV311" s="5"/>
      <c r="AW311" s="153">
        <f t="shared" si="517"/>
        <v>0.37076476282671827</v>
      </c>
      <c r="AX311" s="153"/>
      <c r="BA311" s="147">
        <f t="shared" si="509"/>
        <v>15.792961674237105</v>
      </c>
      <c r="BB311" s="147">
        <f t="shared" si="510"/>
        <v>14.273968331360948</v>
      </c>
      <c r="BC311" s="5">
        <f t="shared" si="518"/>
        <v>4.2349697618536908</v>
      </c>
      <c r="BD311" s="147">
        <f t="shared" si="511"/>
        <v>0</v>
      </c>
      <c r="BQ311" s="463">
        <f t="shared" si="512"/>
        <v>0.18145</v>
      </c>
      <c r="CG311" s="59">
        <f t="shared" si="513"/>
        <v>-50</v>
      </c>
      <c r="CH311">
        <f t="shared" si="514"/>
        <v>-50</v>
      </c>
    </row>
    <row r="312" spans="4:86" x14ac:dyDescent="0.25">
      <c r="E312" s="150">
        <v>96</v>
      </c>
      <c r="F312" s="191">
        <f t="shared" si="515"/>
        <v>0.48</v>
      </c>
      <c r="G312" s="191"/>
      <c r="H312" s="191">
        <f t="shared" ref="H312:H316" si="519">F312*Vout</f>
        <v>7.1999999999999993</v>
      </c>
      <c r="I312" s="472">
        <f t="shared" si="482"/>
        <v>13</v>
      </c>
      <c r="J312" s="386">
        <f t="shared" si="483"/>
        <v>7.66</v>
      </c>
      <c r="K312" s="386">
        <f t="shared" si="484"/>
        <v>20.66</v>
      </c>
      <c r="L312" s="386"/>
      <c r="M312" s="191">
        <f t="shared" si="485"/>
        <v>0.37076476282671827</v>
      </c>
      <c r="N312" s="152">
        <f t="shared" ref="N312:N316" si="520">M312*I312*(Isw_max+VIN_max/Lmag*ILIM_delay)*0.5*Efficiency</f>
        <v>8.9867817037754101</v>
      </c>
      <c r="O312" s="152">
        <f t="shared" si="478"/>
        <v>7.1999999999999993</v>
      </c>
      <c r="P312" s="191">
        <f t="shared" ref="P312:P316" si="521">N312/Vout</f>
        <v>0.59911878025169396</v>
      </c>
      <c r="Q312" s="191">
        <f t="shared" si="488"/>
        <v>15</v>
      </c>
      <c r="R312" s="191"/>
      <c r="S312" s="152">
        <f t="shared" si="489"/>
        <v>24.306596122085004</v>
      </c>
      <c r="T312" s="152">
        <f t="shared" ref="T312:T316" si="522">MIN(Vout, S312)</f>
        <v>15</v>
      </c>
      <c r="U312" s="191">
        <f t="shared" si="491"/>
        <v>3.3195420767222328</v>
      </c>
      <c r="V312" s="191">
        <f t="shared" ref="V312:V316" si="523">L*U312/I312*1000000</f>
        <v>2.2981445146538535</v>
      </c>
      <c r="W312" s="191">
        <f t="shared" si="493"/>
        <v>3.9002452598564092</v>
      </c>
      <c r="X312" s="175">
        <f t="shared" si="494"/>
        <v>350</v>
      </c>
      <c r="Y312" s="386">
        <f t="shared" si="480"/>
        <v>161.33222278345838</v>
      </c>
      <c r="AA312" s="191">
        <f t="shared" si="495"/>
        <v>1.530140291030901</v>
      </c>
      <c r="AB312" s="153">
        <f t="shared" ref="AB312:AB316" si="524">L*AA312/J312*1000000</f>
        <v>1.7978149633522336</v>
      </c>
      <c r="AC312" s="153">
        <f t="shared" ref="AC312:AC316" si="525">0.5*AB312*AA312*Nps*X312/1000</f>
        <v>0.24070454723380583</v>
      </c>
      <c r="AD312" s="153"/>
      <c r="AE312" s="153">
        <f t="shared" si="498"/>
        <v>0.96344647519582249</v>
      </c>
      <c r="AF312" s="317">
        <f t="shared" ref="AF312:AF316" si="526">MAX(12000,F312/(0.5*AE312/1000000*Isw_min*Nps))/1000</f>
        <v>2430.2994249454691</v>
      </c>
      <c r="AG312" s="463">
        <f t="shared" si="500"/>
        <v>6.9127284595300251E-2</v>
      </c>
      <c r="AI312" s="153">
        <f t="shared" si="501"/>
        <v>2.160775874761744</v>
      </c>
      <c r="AJ312" s="153">
        <f t="shared" ref="AJ312:AJ316" si="527">MAX(IF(F312&gt;AC312,U312,AI312),Isw_min)</f>
        <v>3.3195420767222328</v>
      </c>
      <c r="AK312" s="153">
        <f t="shared" ref="AK312:AK316" si="528">IF(F312&gt;AG312, (AJ312-Isw_min)/1.2*0.8+1.2, AF312*0.2/350+1)</f>
        <v>2.8663613844814888</v>
      </c>
      <c r="AM312" s="317">
        <f t="shared" si="504"/>
        <v>480</v>
      </c>
      <c r="AN312" s="147">
        <f t="shared" si="505"/>
        <v>161.33222278345838</v>
      </c>
      <c r="AP312">
        <f t="shared" si="506"/>
        <v>480</v>
      </c>
      <c r="AQ312">
        <f t="shared" si="507"/>
        <v>161.33222278345838</v>
      </c>
      <c r="AS312" s="5">
        <f t="shared" si="479"/>
        <v>6.1983897745102627</v>
      </c>
      <c r="AT312" s="5">
        <f t="shared" si="508"/>
        <v>2.2981445146538535</v>
      </c>
      <c r="AU312" s="5">
        <f t="shared" si="516"/>
        <v>3.9002452598564092</v>
      </c>
      <c r="AV312" s="5"/>
      <c r="AW312" s="153">
        <f t="shared" si="517"/>
        <v>0.37076476282671827</v>
      </c>
      <c r="AX312" s="153"/>
      <c r="BA312" s="147">
        <f t="shared" si="509"/>
        <v>15.792961674237105</v>
      </c>
      <c r="BB312" s="147">
        <f t="shared" si="510"/>
        <v>14.560896636213016</v>
      </c>
      <c r="BC312" s="5">
        <f t="shared" si="518"/>
        <v>4.3245962687250543</v>
      </c>
      <c r="BD312" s="147">
        <f t="shared" si="511"/>
        <v>0</v>
      </c>
      <c r="BQ312" s="463">
        <f t="shared" si="512"/>
        <v>0.18336</v>
      </c>
      <c r="CG312" s="59">
        <f t="shared" si="513"/>
        <v>-50</v>
      </c>
      <c r="CH312">
        <f t="shared" si="514"/>
        <v>-50</v>
      </c>
    </row>
    <row r="313" spans="4:86" x14ac:dyDescent="0.25">
      <c r="E313" s="150">
        <v>97</v>
      </c>
      <c r="F313" s="191">
        <f t="shared" ref="F313:F316" si="529">IF(PLOT_TYPE=1, E313/100*Iout_max, min_I*EXP(N313*rr/100))</f>
        <v>0.48499999999999999</v>
      </c>
      <c r="G313" s="191"/>
      <c r="H313" s="191">
        <f t="shared" si="519"/>
        <v>7.2749999999999995</v>
      </c>
      <c r="I313" s="472">
        <f t="shared" si="482"/>
        <v>13</v>
      </c>
      <c r="J313" s="386">
        <f t="shared" si="483"/>
        <v>7.66</v>
      </c>
      <c r="K313" s="386">
        <f t="shared" si="484"/>
        <v>20.66</v>
      </c>
      <c r="L313" s="386"/>
      <c r="M313" s="191">
        <f t="shared" si="485"/>
        <v>0.37076476282671827</v>
      </c>
      <c r="N313" s="152">
        <f t="shared" si="520"/>
        <v>8.9867817037754101</v>
      </c>
      <c r="O313" s="152">
        <f t="shared" si="478"/>
        <v>7.2749999999999995</v>
      </c>
      <c r="P313" s="191">
        <f t="shared" si="521"/>
        <v>0.59911878025169396</v>
      </c>
      <c r="Q313" s="191">
        <f t="shared" si="488"/>
        <v>15</v>
      </c>
      <c r="R313" s="191"/>
      <c r="S313" s="152">
        <f t="shared" si="489"/>
        <v>23.798570646805263</v>
      </c>
      <c r="T313" s="152">
        <f t="shared" si="522"/>
        <v>15</v>
      </c>
      <c r="U313" s="191">
        <f t="shared" si="491"/>
        <v>3.354120640021423</v>
      </c>
      <c r="V313" s="191">
        <f t="shared" si="523"/>
        <v>2.3220835200148313</v>
      </c>
      <c r="W313" s="191">
        <f t="shared" si="493"/>
        <v>3.9408728146465806</v>
      </c>
      <c r="X313" s="175">
        <f t="shared" si="494"/>
        <v>350</v>
      </c>
      <c r="Y313" s="386">
        <f t="shared" si="480"/>
        <v>159.66900399187631</v>
      </c>
      <c r="AA313" s="191">
        <f t="shared" si="495"/>
        <v>1.530140291030901</v>
      </c>
      <c r="AB313" s="153">
        <f t="shared" si="524"/>
        <v>1.7978149633522336</v>
      </c>
      <c r="AC313" s="153">
        <f t="shared" si="525"/>
        <v>0.24070454723380583</v>
      </c>
      <c r="AD313" s="153"/>
      <c r="AE313" s="153">
        <f t="shared" si="498"/>
        <v>0.96344647519582249</v>
      </c>
      <c r="AF313" s="317">
        <f t="shared" si="526"/>
        <v>2455.6150439553176</v>
      </c>
      <c r="AG313" s="463">
        <f t="shared" si="500"/>
        <v>6.9127284595300251E-2</v>
      </c>
      <c r="AI313" s="153">
        <f t="shared" si="501"/>
        <v>2.1720007600337761</v>
      </c>
      <c r="AJ313" s="153">
        <f t="shared" si="527"/>
        <v>3.354120640021423</v>
      </c>
      <c r="AK313" s="153">
        <f t="shared" si="528"/>
        <v>2.8894137600142824</v>
      </c>
      <c r="AM313" s="317">
        <f t="shared" si="504"/>
        <v>485</v>
      </c>
      <c r="AN313" s="147">
        <f t="shared" si="505"/>
        <v>159.66900399187631</v>
      </c>
      <c r="AP313">
        <f t="shared" si="506"/>
        <v>485</v>
      </c>
      <c r="AQ313">
        <f t="shared" si="507"/>
        <v>159.66900399187631</v>
      </c>
      <c r="AS313" s="5">
        <f t="shared" si="479"/>
        <v>6.2629563346614114</v>
      </c>
      <c r="AT313" s="5">
        <f t="shared" si="508"/>
        <v>2.3220835200148313</v>
      </c>
      <c r="AU313" s="5">
        <f t="shared" si="516"/>
        <v>3.9408728146465801</v>
      </c>
      <c r="AV313" s="5"/>
      <c r="AW313" s="153">
        <f t="shared" si="517"/>
        <v>0.37076476282671833</v>
      </c>
      <c r="AX313" s="153"/>
      <c r="BA313" s="147">
        <f t="shared" si="509"/>
        <v>15.792961674237105</v>
      </c>
      <c r="BB313" s="147">
        <f t="shared" si="510"/>
        <v>14.850672357869822</v>
      </c>
      <c r="BC313" s="5">
        <f t="shared" si="518"/>
        <v>4.4151612730505683</v>
      </c>
      <c r="BD313" s="147">
        <f t="shared" si="511"/>
        <v>0</v>
      </c>
      <c r="BQ313" s="463">
        <f t="shared" si="512"/>
        <v>0.18526999999999999</v>
      </c>
      <c r="CG313" s="59">
        <f t="shared" si="513"/>
        <v>-50</v>
      </c>
      <c r="CH313">
        <f t="shared" si="514"/>
        <v>-50</v>
      </c>
    </row>
    <row r="314" spans="4:86" x14ac:dyDescent="0.25">
      <c r="E314" s="150">
        <v>98</v>
      </c>
      <c r="F314" s="191">
        <f t="shared" si="529"/>
        <v>0.49</v>
      </c>
      <c r="G314" s="191"/>
      <c r="H314" s="191">
        <f t="shared" si="519"/>
        <v>7.35</v>
      </c>
      <c r="I314" s="472">
        <f t="shared" si="482"/>
        <v>13</v>
      </c>
      <c r="J314" s="386">
        <f t="shared" si="483"/>
        <v>7.66</v>
      </c>
      <c r="K314" s="386">
        <f t="shared" si="484"/>
        <v>20.66</v>
      </c>
      <c r="L314" s="386"/>
      <c r="M314" s="191">
        <f t="shared" si="485"/>
        <v>0.37076476282671827</v>
      </c>
      <c r="N314" s="152">
        <f t="shared" si="520"/>
        <v>8.9867817037754101</v>
      </c>
      <c r="O314" s="152">
        <f t="shared" si="478"/>
        <v>7.35</v>
      </c>
      <c r="P314" s="191">
        <f t="shared" si="521"/>
        <v>0.59911878025169396</v>
      </c>
      <c r="Q314" s="191">
        <f t="shared" si="488"/>
        <v>15</v>
      </c>
      <c r="R314" s="191"/>
      <c r="S314" s="152">
        <f t="shared" si="489"/>
        <v>23.301205476676326</v>
      </c>
      <c r="T314" s="152">
        <f t="shared" si="522"/>
        <v>15</v>
      </c>
      <c r="U314" s="191">
        <f t="shared" si="491"/>
        <v>3.3886992033206127</v>
      </c>
      <c r="V314" s="191">
        <f t="shared" si="523"/>
        <v>2.3460225253758091</v>
      </c>
      <c r="W314" s="191">
        <f t="shared" si="493"/>
        <v>3.9815003694367515</v>
      </c>
      <c r="X314" s="175">
        <f t="shared" si="494"/>
        <v>350</v>
      </c>
      <c r="Y314" s="386">
        <f t="shared" si="480"/>
        <v>158.0397284409388</v>
      </c>
      <c r="AA314" s="191">
        <f t="shared" si="495"/>
        <v>1.530140291030901</v>
      </c>
      <c r="AB314" s="153">
        <f t="shared" si="524"/>
        <v>1.7978149633522336</v>
      </c>
      <c r="AC314" s="153">
        <f t="shared" si="525"/>
        <v>0.24070454723380583</v>
      </c>
      <c r="AD314" s="153"/>
      <c r="AE314" s="153">
        <f t="shared" si="498"/>
        <v>0.96344647519582249</v>
      </c>
      <c r="AF314" s="317">
        <f t="shared" si="526"/>
        <v>2480.9306629651664</v>
      </c>
      <c r="AG314" s="463">
        <f t="shared" si="500"/>
        <v>6.9127284595300251E-2</v>
      </c>
      <c r="AI314" s="153">
        <f t="shared" si="501"/>
        <v>2.1831679326662488</v>
      </c>
      <c r="AJ314" s="153">
        <f t="shared" si="527"/>
        <v>3.3886992033206127</v>
      </c>
      <c r="AK314" s="153">
        <f t="shared" si="528"/>
        <v>2.9124661355470751</v>
      </c>
      <c r="AM314" s="317">
        <f t="shared" si="504"/>
        <v>490</v>
      </c>
      <c r="AN314" s="147">
        <f t="shared" si="505"/>
        <v>158.0397284409388</v>
      </c>
      <c r="AP314">
        <f t="shared" si="506"/>
        <v>490</v>
      </c>
      <c r="AQ314">
        <f t="shared" si="507"/>
        <v>158.0397284409388</v>
      </c>
      <c r="AS314" s="5">
        <f t="shared" si="479"/>
        <v>6.3275228948125601</v>
      </c>
      <c r="AT314" s="5">
        <f t="shared" si="508"/>
        <v>2.3460225253758091</v>
      </c>
      <c r="AU314" s="5">
        <f t="shared" si="516"/>
        <v>3.981500369436751</v>
      </c>
      <c r="AV314" s="5"/>
      <c r="AW314" s="153">
        <f t="shared" si="517"/>
        <v>0.37076476282671833</v>
      </c>
      <c r="AX314" s="153"/>
      <c r="BA314" s="147">
        <f t="shared" si="509"/>
        <v>15.792961674237105</v>
      </c>
      <c r="BB314" s="147">
        <f t="shared" si="510"/>
        <v>15.14329549633136</v>
      </c>
      <c r="BC314" s="5">
        <f t="shared" si="518"/>
        <v>4.5066647748302326</v>
      </c>
      <c r="BD314" s="147">
        <f t="shared" si="511"/>
        <v>0</v>
      </c>
      <c r="BQ314" s="463">
        <f t="shared" si="512"/>
        <v>0.18718000000000001</v>
      </c>
      <c r="CG314" s="59">
        <f t="shared" si="513"/>
        <v>-50</v>
      </c>
      <c r="CH314">
        <f t="shared" si="514"/>
        <v>-50</v>
      </c>
    </row>
    <row r="315" spans="4:86" x14ac:dyDescent="0.25">
      <c r="E315" s="150">
        <v>99</v>
      </c>
      <c r="F315" s="191">
        <f t="shared" si="529"/>
        <v>0.495</v>
      </c>
      <c r="G315" s="191"/>
      <c r="H315" s="191">
        <f t="shared" si="519"/>
        <v>7.4249999999999998</v>
      </c>
      <c r="I315" s="472">
        <f t="shared" si="482"/>
        <v>13</v>
      </c>
      <c r="J315" s="386">
        <f t="shared" si="483"/>
        <v>7.66</v>
      </c>
      <c r="K315" s="386">
        <f t="shared" si="484"/>
        <v>20.66</v>
      </c>
      <c r="L315" s="386"/>
      <c r="M315" s="191">
        <f t="shared" si="485"/>
        <v>0.37076476282671827</v>
      </c>
      <c r="N315" s="152">
        <f t="shared" si="520"/>
        <v>8.9867817037754101</v>
      </c>
      <c r="O315" s="152">
        <f t="shared" si="478"/>
        <v>7.4249999999999998</v>
      </c>
      <c r="P315" s="191">
        <f t="shared" si="521"/>
        <v>0.59911878025169396</v>
      </c>
      <c r="Q315" s="191">
        <f t="shared" si="488"/>
        <v>15</v>
      </c>
      <c r="R315" s="191"/>
      <c r="S315" s="152">
        <f t="shared" si="489"/>
        <v>22.814186371515177</v>
      </c>
      <c r="T315" s="152">
        <f t="shared" si="522"/>
        <v>15</v>
      </c>
      <c r="U315" s="191">
        <f t="shared" si="491"/>
        <v>3.4232777666198029</v>
      </c>
      <c r="V315" s="191">
        <f t="shared" si="523"/>
        <v>2.3699615307367861</v>
      </c>
      <c r="W315" s="191">
        <f t="shared" si="493"/>
        <v>4.0221279242269219</v>
      </c>
      <c r="X315" s="175">
        <f t="shared" si="494"/>
        <v>350</v>
      </c>
      <c r="Y315" s="386">
        <f t="shared" si="480"/>
        <v>156.44336754759598</v>
      </c>
      <c r="AA315" s="191">
        <f t="shared" si="495"/>
        <v>1.530140291030901</v>
      </c>
      <c r="AB315" s="153">
        <f t="shared" si="524"/>
        <v>1.7978149633522336</v>
      </c>
      <c r="AC315" s="153">
        <f t="shared" si="525"/>
        <v>0.24070454723380583</v>
      </c>
      <c r="AD315" s="153"/>
      <c r="AE315" s="153">
        <f t="shared" si="498"/>
        <v>0.96344647519582249</v>
      </c>
      <c r="AF315" s="317">
        <f t="shared" si="526"/>
        <v>2506.2462819750149</v>
      </c>
      <c r="AG315" s="463">
        <f t="shared" si="500"/>
        <v>6.9127284595300251E-2</v>
      </c>
      <c r="AI315" s="153">
        <f t="shared" si="501"/>
        <v>2.1942782737969089</v>
      </c>
      <c r="AJ315" s="153">
        <f t="shared" si="527"/>
        <v>3.4232777666198029</v>
      </c>
      <c r="AK315" s="153">
        <f t="shared" si="528"/>
        <v>2.9355185110798687</v>
      </c>
      <c r="AM315" s="317">
        <f t="shared" si="504"/>
        <v>495</v>
      </c>
      <c r="AN315" s="147">
        <f t="shared" si="505"/>
        <v>156.44336754759598</v>
      </c>
      <c r="AP315">
        <f t="shared" si="506"/>
        <v>495</v>
      </c>
      <c r="AQ315">
        <f t="shared" si="507"/>
        <v>156.44336754759598</v>
      </c>
      <c r="AS315" s="5">
        <f t="shared" si="479"/>
        <v>6.3920894549637088</v>
      </c>
      <c r="AT315" s="5">
        <f t="shared" si="508"/>
        <v>2.3699615307367861</v>
      </c>
      <c r="AU315" s="5">
        <f t="shared" si="516"/>
        <v>4.0221279242269228</v>
      </c>
      <c r="AV315" s="5"/>
      <c r="AW315" s="153">
        <f t="shared" si="517"/>
        <v>0.37076476282671822</v>
      </c>
      <c r="AX315" s="153"/>
      <c r="BA315" s="147">
        <f t="shared" si="509"/>
        <v>15.792961674237105</v>
      </c>
      <c r="BB315" s="147">
        <f t="shared" si="510"/>
        <v>15.438766051597634</v>
      </c>
      <c r="BC315" s="5">
        <f t="shared" si="518"/>
        <v>4.5991067740640483</v>
      </c>
      <c r="BD315" s="147">
        <f t="shared" si="511"/>
        <v>0</v>
      </c>
      <c r="BQ315" s="463">
        <f t="shared" si="512"/>
        <v>0.18909000000000001</v>
      </c>
      <c r="CG315" s="59">
        <f t="shared" si="513"/>
        <v>-50</v>
      </c>
      <c r="CH315">
        <f t="shared" si="514"/>
        <v>-50</v>
      </c>
    </row>
    <row r="316" spans="4:86" x14ac:dyDescent="0.25">
      <c r="E316" s="150">
        <v>100</v>
      </c>
      <c r="F316" s="191">
        <f t="shared" si="529"/>
        <v>0.5</v>
      </c>
      <c r="G316" s="191"/>
      <c r="H316" s="191">
        <f t="shared" si="519"/>
        <v>7.5</v>
      </c>
      <c r="I316" s="472">
        <f t="shared" si="482"/>
        <v>13</v>
      </c>
      <c r="J316" s="386">
        <f t="shared" si="483"/>
        <v>7.66</v>
      </c>
      <c r="K316" s="386">
        <f t="shared" si="484"/>
        <v>20.66</v>
      </c>
      <c r="L316" s="386"/>
      <c r="M316" s="191">
        <f t="shared" si="485"/>
        <v>0.37076476282671827</v>
      </c>
      <c r="N316" s="152">
        <f t="shared" si="520"/>
        <v>8.9867817037754101</v>
      </c>
      <c r="O316" s="152">
        <f t="shared" si="478"/>
        <v>7.5</v>
      </c>
      <c r="P316" s="191">
        <f t="shared" si="521"/>
        <v>0.59911878025169396</v>
      </c>
      <c r="Q316" s="191">
        <f t="shared" si="488"/>
        <v>15</v>
      </c>
      <c r="R316" s="191"/>
      <c r="S316" s="152">
        <f t="shared" si="489"/>
        <v>22.337211994225957</v>
      </c>
      <c r="T316" s="152">
        <f t="shared" si="522"/>
        <v>15</v>
      </c>
      <c r="U316" s="191">
        <f t="shared" si="491"/>
        <v>3.4578563299189931</v>
      </c>
      <c r="V316" s="191">
        <f t="shared" si="523"/>
        <v>2.3939005360977643</v>
      </c>
      <c r="W316" s="191">
        <f t="shared" si="493"/>
        <v>4.0627554790170946</v>
      </c>
      <c r="X316" s="175">
        <f t="shared" si="494"/>
        <v>350</v>
      </c>
      <c r="Y316" s="386">
        <f t="shared" si="480"/>
        <v>154.87893387211997</v>
      </c>
      <c r="AA316" s="191">
        <f t="shared" si="495"/>
        <v>1.530140291030901</v>
      </c>
      <c r="AB316" s="153">
        <f t="shared" si="524"/>
        <v>1.7978149633522336</v>
      </c>
      <c r="AC316" s="153">
        <f t="shared" si="525"/>
        <v>0.24070454723380583</v>
      </c>
      <c r="AD316" s="153"/>
      <c r="AE316" s="153">
        <f t="shared" si="498"/>
        <v>0.96344647519582249</v>
      </c>
      <c r="AF316" s="317">
        <f t="shared" si="526"/>
        <v>2531.5619009848638</v>
      </c>
      <c r="AG316" s="463">
        <f t="shared" si="500"/>
        <v>6.9127284595300251E-2</v>
      </c>
      <c r="AI316" s="153">
        <f t="shared" si="501"/>
        <v>2.2053326423676007</v>
      </c>
      <c r="AJ316" s="153">
        <f t="shared" si="527"/>
        <v>3.4578563299189931</v>
      </c>
      <c r="AK316" s="153">
        <f t="shared" si="528"/>
        <v>2.9585708866126623</v>
      </c>
      <c r="AM316" s="317">
        <f t="shared" si="504"/>
        <v>500</v>
      </c>
      <c r="AN316" s="147">
        <f t="shared" si="505"/>
        <v>154.87893387211997</v>
      </c>
      <c r="AP316">
        <f t="shared" si="506"/>
        <v>500</v>
      </c>
      <c r="AQ316">
        <f t="shared" si="507"/>
        <v>154.87893387211997</v>
      </c>
      <c r="AS316" s="5">
        <f t="shared" si="479"/>
        <v>6.4566560151148593</v>
      </c>
      <c r="AT316" s="5">
        <f t="shared" si="508"/>
        <v>2.3939005360977643</v>
      </c>
      <c r="AU316" s="5">
        <f t="shared" si="516"/>
        <v>4.0627554790170954</v>
      </c>
      <c r="AV316" s="5"/>
      <c r="AW316" s="153">
        <f t="shared" si="517"/>
        <v>0.37076476282671822</v>
      </c>
      <c r="AX316" s="153"/>
      <c r="BA316" s="147">
        <f t="shared" si="509"/>
        <v>15.792961674237105</v>
      </c>
      <c r="BB316" s="147">
        <f t="shared" si="510"/>
        <v>15.73708402366864</v>
      </c>
      <c r="BC316" s="5">
        <f t="shared" si="518"/>
        <v>4.6924872707520162</v>
      </c>
      <c r="BD316" s="147">
        <f t="shared" si="511"/>
        <v>0</v>
      </c>
      <c r="BQ316" s="463">
        <f t="shared" si="512"/>
        <v>0.191</v>
      </c>
      <c r="CG316" s="59">
        <f t="shared" si="513"/>
        <v>-50</v>
      </c>
      <c r="CH316">
        <f t="shared" si="514"/>
        <v>-50</v>
      </c>
    </row>
    <row r="317" spans="4:86" x14ac:dyDescent="0.25">
      <c r="E317" s="150"/>
      <c r="F317" s="191"/>
      <c r="G317" s="191"/>
      <c r="CG317" s="59"/>
    </row>
    <row r="318" spans="4:86" x14ac:dyDescent="0.25">
      <c r="CG318" s="59"/>
    </row>
    <row r="319" spans="4:86" x14ac:dyDescent="0.25">
      <c r="D319" s="59" t="s">
        <v>824</v>
      </c>
      <c r="CG319" s="59"/>
    </row>
    <row r="320" spans="4:86" x14ac:dyDescent="0.25">
      <c r="E320" s="59" t="s">
        <v>831</v>
      </c>
      <c r="CG320" s="59"/>
    </row>
    <row r="321" spans="4:85" x14ac:dyDescent="0.25">
      <c r="F321" s="59" t="s">
        <v>826</v>
      </c>
      <c r="G321" s="59" t="s">
        <v>825</v>
      </c>
      <c r="BB321" s="59" t="s">
        <v>827</v>
      </c>
      <c r="BC321" s="59" t="s">
        <v>829</v>
      </c>
      <c r="BD321" s="59" t="s">
        <v>830</v>
      </c>
      <c r="BF321" s="59" t="s">
        <v>828</v>
      </c>
      <c r="CG321" s="59"/>
    </row>
    <row r="322" spans="4:85" x14ac:dyDescent="0.25">
      <c r="F322">
        <f>'LM(2)518x PSR flyback converter'!E57</f>
        <v>0.01</v>
      </c>
      <c r="G322" s="649">
        <f>F322*Vout</f>
        <v>0.15</v>
      </c>
      <c r="BB322">
        <f>F322*Vout</f>
        <v>0.15</v>
      </c>
      <c r="BC322" s="648">
        <v>2.2000000000000001E-7</v>
      </c>
    </row>
    <row r="323" spans="4:85" x14ac:dyDescent="0.25">
      <c r="E323" t="s">
        <v>832</v>
      </c>
    </row>
    <row r="324" spans="4:85" x14ac:dyDescent="0.25">
      <c r="F324" t="s">
        <v>833</v>
      </c>
      <c r="G324" t="s">
        <v>834</v>
      </c>
      <c r="H324" t="s">
        <v>835</v>
      </c>
      <c r="I324" s="59" t="s">
        <v>676</v>
      </c>
    </row>
    <row r="325" spans="4:85" x14ac:dyDescent="0.25">
      <c r="F325" s="648">
        <v>1.9999999999999999E-7</v>
      </c>
      <c r="G325">
        <f>VIN_max</f>
        <v>13</v>
      </c>
      <c r="H325">
        <f>15000</f>
        <v>15000</v>
      </c>
      <c r="I325">
        <f>L*0.9</f>
        <v>8.1000000000000004E-6</v>
      </c>
    </row>
    <row r="326" spans="4:85" x14ac:dyDescent="0.25">
      <c r="G326" s="59" t="s">
        <v>836</v>
      </c>
    </row>
    <row r="327" spans="4:85" x14ac:dyDescent="0.25">
      <c r="G327" s="649">
        <f>0.5*(G325/I325*F325)^2*H325*I325</f>
        <v>6.2592592592592596E-3</v>
      </c>
    </row>
    <row r="328" spans="4:85" x14ac:dyDescent="0.25">
      <c r="E328" s="59" t="s">
        <v>837</v>
      </c>
    </row>
    <row r="329" spans="4:85" x14ac:dyDescent="0.25">
      <c r="G329" t="str">
        <f>IF(G327&gt;G322, "Yes", "No")</f>
        <v>No</v>
      </c>
      <c r="H329">
        <f>(Vout*1.05)^2/(G327-G322)</f>
        <v>-1725.7633341922187</v>
      </c>
    </row>
    <row r="332" spans="4:85" x14ac:dyDescent="0.25">
      <c r="D332" s="59"/>
    </row>
    <row r="334" spans="4:85" x14ac:dyDescent="0.25">
      <c r="F334" s="317"/>
    </row>
    <row r="335" spans="4:85" x14ac:dyDescent="0.25">
      <c r="F335" s="317"/>
    </row>
    <row r="336" spans="4:85" x14ac:dyDescent="0.25">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3.2" x14ac:dyDescent="0.25"/>
  <cols>
    <col min="1" max="1" width="2.77734375" customWidth="1"/>
    <col min="2" max="2" width="3.5546875" customWidth="1"/>
    <col min="3" max="3" width="2.77734375" customWidth="1"/>
    <col min="4" max="4" width="3.77734375" customWidth="1"/>
    <col min="5" max="5" width="6.21875" customWidth="1"/>
    <col min="6" max="6" width="9" customWidth="1"/>
    <col min="7" max="9" width="7.77734375" customWidth="1"/>
    <col min="10" max="10" width="6.21875" customWidth="1"/>
    <col min="11" max="11" width="9.5546875" customWidth="1"/>
    <col min="12" max="12" width="9.21875" customWidth="1"/>
    <col min="13" max="13" width="10.5546875" customWidth="1"/>
    <col min="14" max="14" width="8.44140625" customWidth="1"/>
    <col min="15" max="16" width="9.5546875" customWidth="1"/>
    <col min="17" max="18" width="8.77734375" customWidth="1"/>
    <col min="19" max="19" width="8.5546875" customWidth="1"/>
    <col min="20" max="20" width="7.5546875" customWidth="1"/>
    <col min="21" max="21" width="9" customWidth="1"/>
    <col min="22" max="22" width="8.77734375" customWidth="1"/>
    <col min="23" max="23" width="10" customWidth="1"/>
    <col min="24" max="24" width="9.5546875" customWidth="1"/>
    <col min="25" max="25" width="1.77734375" customWidth="1"/>
    <col min="26" max="26" width="9.77734375" customWidth="1"/>
    <col min="27" max="27" width="10.44140625" customWidth="1"/>
    <col min="28" max="28" width="10.21875" customWidth="1"/>
    <col min="29" max="29" width="2" customWidth="1"/>
    <col min="30" max="30" width="9.21875" customWidth="1"/>
    <col min="31" max="31" width="9.44140625" customWidth="1"/>
    <col min="32" max="32" width="10.44140625" customWidth="1"/>
    <col min="33" max="33" width="2.21875" customWidth="1"/>
    <col min="35" max="35" width="8" customWidth="1"/>
    <col min="37" max="37" width="2.21875" customWidth="1"/>
    <col min="38" max="38" width="6.5546875" customWidth="1"/>
    <col min="39" max="39" width="7.5546875" customWidth="1"/>
    <col min="40" max="40" width="2" customWidth="1"/>
    <col min="41" max="41" width="6.44140625" customWidth="1"/>
    <col min="42" max="42" width="7.5546875" customWidth="1"/>
    <col min="43" max="43" width="2.21875" customWidth="1"/>
    <col min="44" max="46" width="7" customWidth="1"/>
    <col min="47" max="47" width="8.44140625" customWidth="1"/>
    <col min="48" max="48" width="2.21875" customWidth="1"/>
    <col min="49" max="49" width="9.44140625" customWidth="1"/>
    <col min="50" max="50" width="12.5546875" customWidth="1"/>
    <col min="51" max="51" width="9.44140625" customWidth="1"/>
    <col min="52" max="52" width="12.77734375" customWidth="1"/>
    <col min="53" max="54" width="9.77734375" customWidth="1"/>
    <col min="55" max="55" width="2" customWidth="1"/>
    <col min="59" max="59" width="2.21875" customWidth="1"/>
    <col min="60" max="60" width="9" customWidth="1"/>
    <col min="61" max="62" width="8.21875" customWidth="1"/>
    <col min="63" max="63" width="8.77734375" customWidth="1"/>
    <col min="64" max="64" width="7.5546875" customWidth="1"/>
    <col min="65" max="65" width="8.5546875" customWidth="1"/>
    <col min="66" max="67" width="7.5546875" customWidth="1"/>
    <col min="68" max="69" width="10.21875" customWidth="1"/>
    <col min="70" max="70" width="9.44140625" customWidth="1"/>
    <col min="71" max="71" width="9.5546875" customWidth="1"/>
    <col min="72" max="72" width="10" customWidth="1"/>
    <col min="73" max="73" width="8.77734375" customWidth="1"/>
    <col min="76" max="78" width="9.77734375" customWidth="1"/>
    <col min="79" max="79" width="12.21875" customWidth="1"/>
    <col min="80" max="80" width="9.21875" customWidth="1"/>
    <col min="82" max="82" width="7.77734375" customWidth="1"/>
    <col min="83" max="83" width="10.44140625" customWidth="1"/>
    <col min="84" max="84" width="12.44140625" bestFit="1" customWidth="1"/>
    <col min="85" max="85" width="6.5546875" customWidth="1"/>
    <col min="86" max="86" width="5" customWidth="1"/>
    <col min="87" max="87" width="9.5546875" customWidth="1"/>
  </cols>
  <sheetData>
    <row r="1" spans="2:88" x14ac:dyDescent="0.25">
      <c r="B1" s="162" t="s">
        <v>526</v>
      </c>
    </row>
    <row r="2" spans="2:88" ht="13.8" thickBot="1" x14ac:dyDescent="0.3">
      <c r="AW2">
        <f>Vout_ripple</f>
        <v>150</v>
      </c>
    </row>
    <row r="3" spans="2:88" x14ac:dyDescent="0.25">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3">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5">
      <c r="E5" s="150">
        <v>0.1</v>
      </c>
      <c r="F5" s="191">
        <v>1.0000000000000001E-9</v>
      </c>
      <c r="G5" s="191">
        <v>1.0000000000000001E-9</v>
      </c>
      <c r="H5" s="191">
        <f t="shared" ref="H5:H36" si="0">F5*Vout</f>
        <v>1.5000000000000002E-8</v>
      </c>
      <c r="I5" s="191">
        <f>G5*Vout2</f>
        <v>1.6000000000000001E-8</v>
      </c>
      <c r="J5" s="472">
        <f t="shared" ref="J5:J68" si="1">Vin</f>
        <v>11.1</v>
      </c>
      <c r="K5" s="386">
        <f t="shared" ref="K5:K68" si="2">(S5+Vfwd1)*Nps</f>
        <v>7.66</v>
      </c>
      <c r="L5" s="386">
        <f t="shared" ref="L5:L68" si="3">(Vout+Vfwd1)*Nps+J5</f>
        <v>18.759999999999998</v>
      </c>
      <c r="M5" s="386"/>
      <c r="N5" s="191">
        <f t="shared" ref="N5:N68" si="4">(Vout+Vfwd1)*Nps/((Vout+Vfwd1)*Nps+J5)</f>
        <v>0.40831556503198302</v>
      </c>
      <c r="O5" s="152">
        <f>N5*J5*Isw_max*0.5*Efficiency*(Pout/Pout_total)</f>
        <v>8.3620986140724956</v>
      </c>
      <c r="P5" s="152">
        <f t="shared" ref="P5:P36" si="5">N5*J5*Isw_max*0.5*Efficiency*(Pout2/Pout_total)</f>
        <v>1.7839143710021326</v>
      </c>
      <c r="Q5" s="191">
        <f t="shared" ref="Q5:Q68" si="6">O5/Vout</f>
        <v>0.55747324093816641</v>
      </c>
      <c r="R5" s="191">
        <f t="shared" ref="R5:R36" si="7">O5/Vout2</f>
        <v>0.52263116337953097</v>
      </c>
      <c r="S5" s="386">
        <f t="shared" ref="S5:S36" si="8">MIN(Vout,O5/F5)</f>
        <v>15</v>
      </c>
      <c r="T5" s="191">
        <f t="shared" ref="T5:T36" si="9">MIN(2*(Vout*F5+Vout2*G5)/(Efficiency*J5*N5), Isw_max)</f>
        <v>1.5199533737392742E-8</v>
      </c>
      <c r="U5" s="191">
        <f t="shared" ref="U5:U68" si="10">L*T5/J5*1000000</f>
        <v>1.2323946273561683E-8</v>
      </c>
      <c r="V5" s="191">
        <f t="shared" ref="V5:V68" si="11">L*T5/K5*1000000</f>
        <v>1.7858460004769541E-8</v>
      </c>
      <c r="W5" s="175">
        <f t="shared" ref="W5:W68" si="12">IF(1/((350000*L)*(1/J5+1/K5))&gt;Isw_min, 350, 0.001/((Isw_min*L)*(1/J5+1/K5)))</f>
        <v>350</v>
      </c>
      <c r="X5" s="386">
        <f>MIN(1/(U5+V5)*1000, 350)</f>
        <v>350</v>
      </c>
      <c r="Z5" s="191">
        <f t="shared" ref="Z5:Z68" si="13">1/((W5*1000*L)*(1/J5+1/K5))</f>
        <v>1.4388262767793685</v>
      </c>
      <c r="AA5" s="153">
        <f t="shared" ref="AA5:AA68" si="14">L*Z5/K5*1000000</f>
        <v>1.6905269570514774</v>
      </c>
      <c r="AB5" s="153">
        <f t="shared" ref="AB5:AB36" si="15">0.5*AA5*Z5*Nps*W5/1000*(Pout/Pout_total)</f>
        <v>0.21283277814833412</v>
      </c>
      <c r="AC5" s="153"/>
      <c r="AD5" s="153">
        <f t="shared" ref="AD5:AD68" si="16">L*Isw_min/K5*1000000</f>
        <v>0.96344647519582249</v>
      </c>
      <c r="AE5" s="317">
        <f t="shared" ref="AE5:AE36" si="17">MAX(10, F5/(0.5*AD5/1000000*Isw_min*Nps)/1000*Pout_total/Pout)</f>
        <v>10</v>
      </c>
      <c r="AF5" s="463">
        <f t="shared" ref="AF5:AF36" si="18">0.5*AD5/1000000*Isw_min*Nps*W5*1000*(Pout/Pout_total)</f>
        <v>6.9127284595300251E-2</v>
      </c>
      <c r="AH5" s="153">
        <f t="shared" ref="AH5:AH36" si="19">SQRT((H5+I5)/(0.5*L*Fsw_DCM))</f>
        <v>1.4029447488244035E-4</v>
      </c>
      <c r="AI5" s="153">
        <f t="shared" ref="AI5:AI36" si="20">MAX(IF(F5&gt;AB5,T5,AH5),Isw_min)</f>
        <v>0.82</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0.66486486486486485</v>
      </c>
      <c r="AT5" s="5">
        <f>AR5-AS5</f>
        <v>99.335135135135133</v>
      </c>
      <c r="AU5" s="153">
        <f>AS5/AR5</f>
        <v>6.6486486486486487E-3</v>
      </c>
      <c r="AW5" s="5">
        <f t="shared" ref="AW5:AW36" si="26">L*Iout^2/(2*Vripple1_spec*Vout*Npri_sec1^2)*1000000000*((1+N5)/(1-N5))^2</f>
        <v>11.33051538024511</v>
      </c>
      <c r="AX5" s="5">
        <f t="shared" ref="AX5:AX36" si="27">L*F5^2/(2*Cout*Vout*Nps^2)*1000000000*((1+N5)/(1-N5))^2+F5*RCoutEsr</f>
        <v>3.0000000679830926E-9</v>
      </c>
      <c r="AY5" s="5">
        <f t="shared" ref="AY5:AY36" si="28">L*Iout2^2/(2*Vripple2_spec*Vout2*Npri_sec2^2)*1000000000*((1+N5)/(1-N5))^2</f>
        <v>0.45203804398448061</v>
      </c>
      <c r="AZ5" s="5">
        <f t="shared" ref="AZ5:AZ36" si="29">L*G5^2/(2*Cout2*Vout2*Npri_sec2^2)*1000000000*((1+N5)/(1-N5))^2+G5*CoutEsr2</f>
        <v>2.0000003287549411E-9</v>
      </c>
      <c r="BA5" s="5">
        <f t="shared" ref="BA5:BA36" si="30">(H5+I5)/Efficiency/J5*AT5/Vinripple1</f>
        <v>5.5540029925225926E-7</v>
      </c>
      <c r="BB5" s="147">
        <f t="shared" ref="BB5:BB36" si="31">((CD5/J5/Efficiency)*AT5/Cin+(CD5/J5/Efficiency)*RCinEsr)*1000</f>
        <v>1.402054413135494E-5</v>
      </c>
      <c r="BC5" s="5"/>
      <c r="BD5" s="153">
        <f>AI5*SQRT(AU5/3)</f>
        <v>3.8602898644839921E-2</v>
      </c>
      <c r="BE5" s="153">
        <f t="shared" ref="BE5:BE36" si="32">AI5*Npri_sec1*SQRT((1-AU5)/3)*(Pout/Pout_total)</f>
        <v>0.23592538521190845</v>
      </c>
      <c r="BF5" s="153">
        <f t="shared" ref="BF5:BF36" si="33">AI5*Npri_sec2*SQRT((1-AU5)/3)*(Pout2/Pout_total)</f>
        <v>4.7246756881652772E-2</v>
      </c>
      <c r="BG5" s="153"/>
      <c r="BH5" s="463">
        <f t="shared" ref="BH5:BH68" si="34">Rdson*BD5^2</f>
        <v>1.639202162162162E-4</v>
      </c>
      <c r="BI5" s="463">
        <f t="shared" ref="BI5:BI68" si="35">0.5*L5*AI5*AM5*1000*Trise</f>
        <v>7.6915999999999985E-4</v>
      </c>
      <c r="BJ5" s="463">
        <f t="shared" ref="BJ5:BJ68" si="36">Qg*Vdd*AM5*1000</f>
        <v>5.0000000000000001E-4</v>
      </c>
      <c r="BK5" s="463">
        <f t="shared" ref="BK5:BK68" si="37">0.5*(Coss+Csw)*L5^2*AM5*1000</f>
        <v>7.9185959999999978E-4</v>
      </c>
      <c r="BL5">
        <f t="shared" ref="BL5:BL68" si="38">J5*IQ</f>
        <v>3.2190000000000001E-3</v>
      </c>
      <c r="BM5">
        <f t="shared" ref="BM5:BM36" si="39">(J5-Vdd)*Qg*AM5</f>
        <v>6.1000000000000009E-7</v>
      </c>
      <c r="BN5">
        <f t="shared" ref="BN5:BN36" si="40">(BI5+BJ5+BK5+BL5+BM5+BH5*(1+RdsonTC*(Ta-25)))/(1-BH5*RdsonTC*ThetaJA)</f>
        <v>5.4668443807101355E-3</v>
      </c>
      <c r="BO5" s="147">
        <f>BN5*1000</f>
        <v>5.4668443807101355</v>
      </c>
      <c r="BP5" s="153">
        <f t="shared" ref="BP5:BP36" si="41">(Vfwd2*F5+BE5^2*Rdiode)*(1+Diode_TC/1000*(Ta-25))</f>
        <v>8.5049686947927944E-3</v>
      </c>
      <c r="BQ5" s="153">
        <f t="shared" ref="BQ5:BQ36" si="42">(Vfwd2*G5+BF5^2*Rdiode)*(1+Diode_TC/1000*(Ta-25))</f>
        <v>3.4108910427543577E-4</v>
      </c>
      <c r="BR5" s="463"/>
      <c r="BT5" s="147">
        <f>SUM(BP5:BS5)*1000</f>
        <v>8.8460577990682303</v>
      </c>
      <c r="BU5" s="463">
        <f t="shared" ref="BU5:BU68" si="43">Rdcr_pri*BD5^2</f>
        <v>1.2666562162162162E-4</v>
      </c>
      <c r="BV5" s="463">
        <f>Rdcr_sec*BE5^2</f>
        <v>1.0575549603603605E-2</v>
      </c>
      <c r="BW5" s="463">
        <f t="shared" ref="BW5:BW36" si="44">Rdcr_sec2*BF5^2</f>
        <v>1.1161280179170017E-4</v>
      </c>
      <c r="BX5" s="463">
        <f t="shared" ref="BX5:BX68" si="45">AI5^2.5*AM5^2.5*k_core</f>
        <v>0</v>
      </c>
      <c r="BY5" s="463">
        <f t="shared" ref="BY5:BY36" si="46">(BX5+(BU5+BV5+BW5)*(1+Ltc*(Ta-25)))/(1-(BU5+BV5+BW5)*Ltc*ThetaCa)</f>
        <v>1.2121974185794408E-2</v>
      </c>
      <c r="BZ5" s="463">
        <f>SUM(BU5:BX5)</f>
        <v>1.0813828027016926E-2</v>
      </c>
      <c r="CA5" s="549">
        <f t="shared" ref="CA5:CA36" si="47">0.5*Lleak*0.000000001*AI5^2*AM5*1000</f>
        <v>3.362E-3</v>
      </c>
      <c r="CB5" s="147">
        <f>(BY5+CA5)*1000</f>
        <v>15.483974185794409</v>
      </c>
      <c r="CC5" s="153">
        <f>SUM(BN5,BP5:BS5,BY5, CA5)</f>
        <v>2.9796876365572777E-2</v>
      </c>
      <c r="CD5" s="5">
        <f>MIN(H5+I5,O5+P5)</f>
        <v>3.1E-8</v>
      </c>
      <c r="CE5" s="153">
        <f>CD5/(CD5+CC5)</f>
        <v>1.0403764263071567E-6</v>
      </c>
      <c r="CF5" s="5">
        <f>CE5*100</f>
        <v>1.0403764263071567E-4</v>
      </c>
      <c r="CG5">
        <v>0</v>
      </c>
      <c r="CI5" s="59">
        <f t="shared" ref="CI5:CI36" si="48">IF(ABS(F5-Ioutmax_Vinnom)&lt;Iout/200, AM5, -50)</f>
        <v>-50</v>
      </c>
      <c r="CJ5">
        <f t="shared" ref="CJ5:CJ36" si="49">IF(ABS(F5-Ioutmax_Vinnom)&lt;Iout/200, (O5+P5)*CE5, -50)</f>
        <v>-50</v>
      </c>
    </row>
    <row r="6" spans="2:88" x14ac:dyDescent="0.25">
      <c r="E6" s="150">
        <v>1</v>
      </c>
      <c r="F6" s="191">
        <f>IF(PLOT_TYPE=1, E6/100*Iout, min_I*EXP(O6*rr/100))</f>
        <v>5.0000000000000001E-3</v>
      </c>
      <c r="G6" s="191">
        <f t="shared" ref="G6:G37" si="50">IF(PLOT_TYPE=1, E6/100*Iout2, min_I*EXP(Q6*rr/100))</f>
        <v>1E-3</v>
      </c>
      <c r="H6" s="191">
        <f t="shared" si="0"/>
        <v>7.4999999999999997E-2</v>
      </c>
      <c r="I6" s="191">
        <f>G6*Vout2</f>
        <v>1.6E-2</v>
      </c>
      <c r="J6" s="472">
        <f t="shared" si="1"/>
        <v>11.1</v>
      </c>
      <c r="K6" s="386">
        <f t="shared" si="2"/>
        <v>7.66</v>
      </c>
      <c r="L6" s="386">
        <f t="shared" si="3"/>
        <v>18.759999999999998</v>
      </c>
      <c r="M6" s="386"/>
      <c r="N6" s="191">
        <f t="shared" si="4"/>
        <v>0.40831556503198302</v>
      </c>
      <c r="O6" s="152">
        <f t="shared" ref="O6:O37" si="51">N6*J6*Isw_max*0.5*Efficiency*Pout/(Pout+Pout2)</f>
        <v>6.8918395170927162</v>
      </c>
      <c r="P6" s="152">
        <f t="shared" si="5"/>
        <v>1.7839143710021326</v>
      </c>
      <c r="Q6" s="191">
        <f t="shared" si="6"/>
        <v>0.45945596780618109</v>
      </c>
      <c r="R6" s="191">
        <f t="shared" si="7"/>
        <v>0.43073996981829477</v>
      </c>
      <c r="S6" s="386">
        <f t="shared" si="8"/>
        <v>15</v>
      </c>
      <c r="T6" s="191">
        <f t="shared" si="9"/>
        <v>4.4617986132346431E-2</v>
      </c>
      <c r="U6" s="191">
        <f t="shared" si="10"/>
        <v>3.6176745512713326E-2</v>
      </c>
      <c r="V6" s="191">
        <f t="shared" si="11"/>
        <v>5.2423221304323482E-2</v>
      </c>
      <c r="W6" s="175">
        <f t="shared" si="12"/>
        <v>350</v>
      </c>
      <c r="X6" s="386">
        <f t="shared" ref="X6:X69" si="52">MIN(1/(U6+V6)*1000, 350)</f>
        <v>350</v>
      </c>
      <c r="Z6" s="191">
        <f t="shared" si="13"/>
        <v>1.4388262767793685</v>
      </c>
      <c r="AA6" s="153">
        <f t="shared" si="14"/>
        <v>1.6905269570514774</v>
      </c>
      <c r="AB6" s="153">
        <f t="shared" si="15"/>
        <v>0.21283277814833412</v>
      </c>
      <c r="AC6" s="153"/>
      <c r="AD6" s="153">
        <f t="shared" si="16"/>
        <v>0.96344647519582249</v>
      </c>
      <c r="AE6" s="317">
        <f t="shared" si="17"/>
        <v>25.315619009848636</v>
      </c>
      <c r="AF6" s="463">
        <f t="shared" si="18"/>
        <v>6.9127284595300251E-2</v>
      </c>
      <c r="AH6" s="153">
        <f t="shared" si="19"/>
        <v>0.2403700850309326</v>
      </c>
      <c r="AI6" s="153">
        <f t="shared" si="20"/>
        <v>0.82</v>
      </c>
      <c r="AJ6" s="153">
        <f t="shared" si="21"/>
        <v>1.0144660680056279</v>
      </c>
      <c r="AL6" s="317">
        <f t="shared" si="22"/>
        <v>5</v>
      </c>
      <c r="AM6" s="147">
        <f t="shared" si="23"/>
        <v>25.315619009848636</v>
      </c>
      <c r="AO6">
        <f t="shared" ref="AO6:AO69" si="53">IF(H6&gt;O6, "",AL6)</f>
        <v>5</v>
      </c>
      <c r="AP6" s="147">
        <f t="shared" si="24"/>
        <v>25.315619009848636</v>
      </c>
      <c r="AQ6" s="147"/>
      <c r="AR6" s="5">
        <f t="shared" ref="AR6:AR69" si="54">1/AM6*1000</f>
        <v>39.501305483028723</v>
      </c>
      <c r="AS6" s="5">
        <f t="shared" si="25"/>
        <v>0.66486486486486485</v>
      </c>
      <c r="AT6" s="5">
        <f t="shared" ref="AT6:AT69" si="55">AR6-AS6</f>
        <v>38.836440618163856</v>
      </c>
      <c r="AU6" s="153">
        <f t="shared" ref="AU6:AU69" si="56">AS6/AR6</f>
        <v>1.6831465611953415E-2</v>
      </c>
      <c r="AW6" s="5">
        <f t="shared" si="26"/>
        <v>11.33051538024511</v>
      </c>
      <c r="AX6" s="5">
        <f t="shared" si="27"/>
        <v>1.6699577307036768E-2</v>
      </c>
      <c r="AY6" s="5">
        <f t="shared" si="28"/>
        <v>0.45203804398448061</v>
      </c>
      <c r="AZ6" s="5">
        <f t="shared" si="29"/>
        <v>2.3287549410796219E-3</v>
      </c>
      <c r="BA6" s="5">
        <f t="shared" si="30"/>
        <v>0.63741509009061503</v>
      </c>
      <c r="BB6" s="147">
        <f t="shared" si="31"/>
        <v>16.107571645522391</v>
      </c>
      <c r="BC6" s="5"/>
      <c r="BD6" s="153">
        <f t="shared" ref="BD6:BD69" si="57">AI6*SQRT(AU6/3)</f>
        <v>6.1420619440807428E-2</v>
      </c>
      <c r="BE6" s="153">
        <f t="shared" si="32"/>
        <v>0.23471303800643503</v>
      </c>
      <c r="BF6" s="153">
        <f t="shared" si="33"/>
        <v>4.7003970487040317E-2</v>
      </c>
      <c r="BG6" s="153"/>
      <c r="BH6" s="463">
        <f t="shared" si="34"/>
        <v>4.1497417417417403E-4</v>
      </c>
      <c r="BI6" s="463">
        <f t="shared" si="35"/>
        <v>1.9471761517615171E-3</v>
      </c>
      <c r="BJ6" s="463">
        <f t="shared" si="36"/>
        <v>1.2657809504924317E-3</v>
      </c>
      <c r="BK6" s="463">
        <f t="shared" si="37"/>
        <v>2.0046415942891133E-3</v>
      </c>
      <c r="BL6">
        <f t="shared" si="38"/>
        <v>3.2190000000000001E-3</v>
      </c>
      <c r="BM6">
        <f t="shared" si="39"/>
        <v>1.5442527596007668E-6</v>
      </c>
      <c r="BN6">
        <f t="shared" si="40"/>
        <v>8.9098207972401512E-3</v>
      </c>
      <c r="BO6" s="147">
        <f t="shared" ref="BO6:BO69" si="58">BN6*1000</f>
        <v>8.9098207972401511</v>
      </c>
      <c r="BP6" s="153">
        <f t="shared" si="41"/>
        <v>1.0327784120120123E-2</v>
      </c>
      <c r="BQ6" s="153">
        <f t="shared" si="42"/>
        <v>7.1959223130831399E-4</v>
      </c>
      <c r="BR6" s="463"/>
      <c r="BT6" s="147">
        <f t="shared" ref="BT6:BT69" si="59">SUM(BP6:BS6)*1000</f>
        <v>11.047376351428438</v>
      </c>
      <c r="BU6" s="463">
        <f t="shared" si="43"/>
        <v>3.206618618618618E-4</v>
      </c>
      <c r="BV6" s="463">
        <f t="shared" ref="BV6:BV68" si="60">Rdcr_sec*BE6^2</f>
        <v>1.0467139939939942E-2</v>
      </c>
      <c r="BW6" s="463">
        <f t="shared" si="44"/>
        <v>1.1046866207732787E-4</v>
      </c>
      <c r="BX6" s="463">
        <f t="shared" si="45"/>
        <v>0</v>
      </c>
      <c r="BY6" s="463">
        <f t="shared" si="46"/>
        <v>1.2216714203990628E-2</v>
      </c>
      <c r="BZ6" s="463">
        <f t="shared" ref="BZ6:BZ69" si="61">SUM(BU6:BX6)</f>
        <v>1.0898270463879131E-2</v>
      </c>
      <c r="CA6" s="549">
        <f t="shared" si="47"/>
        <v>8.5111111111111117E-3</v>
      </c>
      <c r="CB6" s="147">
        <f t="shared" ref="CB6:CB69" si="62">(BY6+CA6)*1000</f>
        <v>20.727825315101743</v>
      </c>
      <c r="CC6" s="153">
        <f t="shared" ref="CC6:CC69" si="63">SUM(BN6,BP6:BS6,BY6, CA6)</f>
        <v>4.0685022463770329E-2</v>
      </c>
      <c r="CD6" s="5">
        <f t="shared" ref="CD6:CD69" si="64">MIN(H6+I6,O6+P6)</f>
        <v>9.0999999999999998E-2</v>
      </c>
      <c r="CE6" s="153">
        <f t="shared" ref="CE6:CE69" si="65">CD6/(CD6+CC6)</f>
        <v>0.69104290144337599</v>
      </c>
      <c r="CF6" s="5">
        <f t="shared" ref="CF6:CF69" si="66">CE6*100</f>
        <v>69.104290144337597</v>
      </c>
      <c r="CG6">
        <f t="shared" ref="CG6:CG37" si="67">F6/Iout*100</f>
        <v>1</v>
      </c>
      <c r="CI6" s="59">
        <f t="shared" si="48"/>
        <v>-50</v>
      </c>
      <c r="CJ6">
        <f t="shared" si="49"/>
        <v>-50</v>
      </c>
    </row>
    <row r="7" spans="2:88" x14ac:dyDescent="0.25">
      <c r="E7" s="150">
        <v>2</v>
      </c>
      <c r="F7" s="191">
        <f>IF(PLOT_TYPE=1, E7/100*Iout, min_I*EXP(O7*rr/100))</f>
        <v>0.01</v>
      </c>
      <c r="G7" s="191">
        <f t="shared" si="50"/>
        <v>2E-3</v>
      </c>
      <c r="H7" s="191">
        <f t="shared" si="0"/>
        <v>0.15</v>
      </c>
      <c r="I7" s="191">
        <f>G7*Vout2</f>
        <v>3.2000000000000001E-2</v>
      </c>
      <c r="J7" s="472">
        <f t="shared" si="1"/>
        <v>11.1</v>
      </c>
      <c r="K7" s="386">
        <f t="shared" si="2"/>
        <v>7.66</v>
      </c>
      <c r="L7" s="386">
        <f t="shared" si="3"/>
        <v>18.759999999999998</v>
      </c>
      <c r="M7" s="386"/>
      <c r="N7" s="191">
        <f t="shared" si="4"/>
        <v>0.40831556503198302</v>
      </c>
      <c r="O7" s="152">
        <f t="shared" si="51"/>
        <v>6.8918395170927162</v>
      </c>
      <c r="P7" s="152">
        <f t="shared" si="5"/>
        <v>1.7839143710021326</v>
      </c>
      <c r="Q7" s="191">
        <f t="shared" si="6"/>
        <v>0.45945596780618109</v>
      </c>
      <c r="R7" s="191">
        <f t="shared" si="7"/>
        <v>0.43073996981829477</v>
      </c>
      <c r="S7" s="386">
        <f t="shared" si="8"/>
        <v>15</v>
      </c>
      <c r="T7" s="191">
        <f t="shared" si="9"/>
        <v>8.9235972264692862E-2</v>
      </c>
      <c r="U7" s="191">
        <f t="shared" si="10"/>
        <v>7.2353491025426653E-2</v>
      </c>
      <c r="V7" s="191">
        <f t="shared" si="11"/>
        <v>0.10484644260864696</v>
      </c>
      <c r="W7" s="175">
        <f t="shared" si="12"/>
        <v>350</v>
      </c>
      <c r="X7" s="386">
        <f t="shared" si="52"/>
        <v>350</v>
      </c>
      <c r="Z7" s="191">
        <f t="shared" si="13"/>
        <v>1.4388262767793685</v>
      </c>
      <c r="AA7" s="153">
        <f t="shared" si="14"/>
        <v>1.6905269570514774</v>
      </c>
      <c r="AB7" s="153">
        <f t="shared" si="15"/>
        <v>0.21283277814833412</v>
      </c>
      <c r="AC7" s="153"/>
      <c r="AD7" s="153">
        <f t="shared" si="16"/>
        <v>0.96344647519582249</v>
      </c>
      <c r="AE7" s="317">
        <f t="shared" si="17"/>
        <v>50.631238019697271</v>
      </c>
      <c r="AF7" s="463">
        <f t="shared" si="18"/>
        <v>6.9127284595300251E-2</v>
      </c>
      <c r="AH7" s="153">
        <f t="shared" si="19"/>
        <v>0.33993463423951897</v>
      </c>
      <c r="AI7" s="153">
        <f t="shared" si="20"/>
        <v>0.82</v>
      </c>
      <c r="AJ7" s="153">
        <f t="shared" si="21"/>
        <v>1.0289321360112555</v>
      </c>
      <c r="AL7" s="317">
        <f t="shared" si="22"/>
        <v>10</v>
      </c>
      <c r="AM7" s="147">
        <f t="shared" si="23"/>
        <v>50.631238019697271</v>
      </c>
      <c r="AO7">
        <f t="shared" si="53"/>
        <v>10</v>
      </c>
      <c r="AP7" s="147">
        <f t="shared" si="24"/>
        <v>50.631238019697271</v>
      </c>
      <c r="AQ7" s="147"/>
      <c r="AR7" s="5">
        <f t="shared" si="54"/>
        <v>19.750652741514362</v>
      </c>
      <c r="AS7" s="5">
        <f t="shared" si="25"/>
        <v>0.66486486486486485</v>
      </c>
      <c r="AT7" s="5">
        <f t="shared" si="55"/>
        <v>19.085787876649498</v>
      </c>
      <c r="AU7" s="153">
        <f t="shared" si="56"/>
        <v>3.3662931223906831E-2</v>
      </c>
      <c r="AW7" s="5">
        <f t="shared" si="26"/>
        <v>11.33051538024511</v>
      </c>
      <c r="AX7" s="5">
        <f t="shared" si="27"/>
        <v>3.6798309228147065E-2</v>
      </c>
      <c r="AY7" s="5">
        <f t="shared" si="28"/>
        <v>0.45203804398448061</v>
      </c>
      <c r="AZ7" s="5">
        <f t="shared" si="29"/>
        <v>5.3150197643184885E-3</v>
      </c>
      <c r="BA7" s="5">
        <f t="shared" si="30"/>
        <v>0.62650278991607977</v>
      </c>
      <c r="BB7" s="147">
        <f t="shared" si="31"/>
        <v>15.859611400264848</v>
      </c>
      <c r="BC7" s="5"/>
      <c r="BD7" s="153">
        <f t="shared" si="57"/>
        <v>8.6861873022546457E-2</v>
      </c>
      <c r="BE7" s="153">
        <f t="shared" si="32"/>
        <v>0.2326952665764542</v>
      </c>
      <c r="BF7" s="153">
        <f t="shared" si="33"/>
        <v>4.6599888679101677E-2</v>
      </c>
      <c r="BG7" s="153"/>
      <c r="BH7" s="463">
        <f t="shared" si="34"/>
        <v>8.2994834834834816E-4</v>
      </c>
      <c r="BI7" s="463">
        <f t="shared" si="35"/>
        <v>3.8943523035230342E-3</v>
      </c>
      <c r="BJ7" s="463">
        <f t="shared" si="36"/>
        <v>2.5315619009848634E-3</v>
      </c>
      <c r="BK7" s="463">
        <f t="shared" si="37"/>
        <v>4.0092831885782266E-3</v>
      </c>
      <c r="BL7">
        <f t="shared" si="38"/>
        <v>3.2190000000000001E-3</v>
      </c>
      <c r="BM7">
        <f t="shared" si="39"/>
        <v>3.0885055192015337E-6</v>
      </c>
      <c r="BN7">
        <f t="shared" si="40"/>
        <v>1.4601513137546544E-2</v>
      </c>
      <c r="BO7" s="147">
        <f t="shared" si="58"/>
        <v>14.601513137546544</v>
      </c>
      <c r="BP7" s="153">
        <f t="shared" si="41"/>
        <v>1.2093674906906908E-2</v>
      </c>
      <c r="BQ7" s="153">
        <f t="shared" si="42"/>
        <v>1.0958127826854332E-3</v>
      </c>
      <c r="BR7" s="463"/>
      <c r="BT7" s="147">
        <f t="shared" si="59"/>
        <v>13.189487689592342</v>
      </c>
      <c r="BU7" s="463">
        <f t="shared" si="43"/>
        <v>6.413237237237237E-4</v>
      </c>
      <c r="BV7" s="463">
        <f t="shared" si="60"/>
        <v>1.0287946546546547E-2</v>
      </c>
      <c r="BW7" s="463">
        <f t="shared" si="44"/>
        <v>1.0857748124523343E-4</v>
      </c>
      <c r="BX7" s="463">
        <f t="shared" si="45"/>
        <v>0</v>
      </c>
      <c r="BY7" s="463">
        <f t="shared" si="46"/>
        <v>1.2373315463478755E-2</v>
      </c>
      <c r="BZ7" s="463">
        <f t="shared" si="61"/>
        <v>1.1037847751515504E-2</v>
      </c>
      <c r="CA7" s="549">
        <f t="shared" si="47"/>
        <v>1.7022222222222223E-2</v>
      </c>
      <c r="CB7" s="147">
        <f t="shared" si="62"/>
        <v>29.39553768570098</v>
      </c>
      <c r="CC7" s="153">
        <f t="shared" si="63"/>
        <v>5.7186538512839856E-2</v>
      </c>
      <c r="CD7" s="5">
        <f t="shared" si="64"/>
        <v>0.182</v>
      </c>
      <c r="CE7" s="153">
        <f t="shared" si="65"/>
        <v>0.76091238717529242</v>
      </c>
      <c r="CF7" s="5">
        <f t="shared" si="66"/>
        <v>76.091238717529237</v>
      </c>
      <c r="CG7">
        <f t="shared" si="67"/>
        <v>2</v>
      </c>
      <c r="CI7" s="59">
        <f t="shared" si="48"/>
        <v>-50</v>
      </c>
      <c r="CJ7">
        <f t="shared" si="49"/>
        <v>-50</v>
      </c>
    </row>
    <row r="8" spans="2:88" x14ac:dyDescent="0.25">
      <c r="E8" s="150">
        <v>3</v>
      </c>
      <c r="F8" s="191">
        <f t="shared" ref="F8:F39" si="68">IF(PLOT_TYPE=1, E8/100*Iout_max, min_I*EXP(O8*rr/100))</f>
        <v>1.4999999999999999E-2</v>
      </c>
      <c r="G8" s="191">
        <f t="shared" si="50"/>
        <v>3.0000000000000001E-3</v>
      </c>
      <c r="H8" s="191">
        <f t="shared" si="0"/>
        <v>0.22499999999999998</v>
      </c>
      <c r="I8" s="191">
        <f t="shared" ref="I8:I39" si="69">Vout2*G8</f>
        <v>4.8000000000000001E-2</v>
      </c>
      <c r="J8" s="472">
        <f t="shared" si="1"/>
        <v>11.1</v>
      </c>
      <c r="K8" s="386">
        <f t="shared" si="2"/>
        <v>7.66</v>
      </c>
      <c r="L8" s="386">
        <f t="shared" si="3"/>
        <v>18.759999999999998</v>
      </c>
      <c r="M8" s="386"/>
      <c r="N8" s="191">
        <f t="shared" si="4"/>
        <v>0.40831556503198302</v>
      </c>
      <c r="O8" s="152">
        <f t="shared" si="51"/>
        <v>6.8918395170927162</v>
      </c>
      <c r="P8" s="152">
        <f t="shared" si="5"/>
        <v>1.7839143710021326</v>
      </c>
      <c r="Q8" s="191">
        <f t="shared" si="6"/>
        <v>0.45945596780618109</v>
      </c>
      <c r="R8" s="191">
        <f t="shared" si="7"/>
        <v>0.43073996981829477</v>
      </c>
      <c r="S8" s="386">
        <f t="shared" si="8"/>
        <v>15</v>
      </c>
      <c r="T8" s="191">
        <f t="shared" si="9"/>
        <v>0.13385395839703929</v>
      </c>
      <c r="U8" s="191">
        <f t="shared" si="10"/>
        <v>0.10853023653813997</v>
      </c>
      <c r="V8" s="191">
        <f t="shared" si="11"/>
        <v>0.15726966391297043</v>
      </c>
      <c r="W8" s="175">
        <f t="shared" si="12"/>
        <v>350</v>
      </c>
      <c r="X8" s="386">
        <f t="shared" si="52"/>
        <v>350</v>
      </c>
      <c r="Z8" s="191">
        <f t="shared" si="13"/>
        <v>1.4388262767793685</v>
      </c>
      <c r="AA8" s="153">
        <f t="shared" si="14"/>
        <v>1.6905269570514774</v>
      </c>
      <c r="AB8" s="153">
        <f t="shared" si="15"/>
        <v>0.21283277814833412</v>
      </c>
      <c r="AC8" s="153"/>
      <c r="AD8" s="153">
        <f t="shared" si="16"/>
        <v>0.96344647519582249</v>
      </c>
      <c r="AE8" s="317">
        <f t="shared" si="17"/>
        <v>75.94685702954591</v>
      </c>
      <c r="AF8" s="463">
        <f t="shared" si="18"/>
        <v>6.9127284595300251E-2</v>
      </c>
      <c r="AH8" s="153">
        <f t="shared" si="19"/>
        <v>0.41633319989322654</v>
      </c>
      <c r="AI8" s="153">
        <f t="shared" si="20"/>
        <v>0.82</v>
      </c>
      <c r="AJ8" s="153">
        <f t="shared" si="21"/>
        <v>1.0433982040168834</v>
      </c>
      <c r="AL8" s="317">
        <f t="shared" si="22"/>
        <v>15</v>
      </c>
      <c r="AM8" s="147">
        <f t="shared" si="23"/>
        <v>75.94685702954591</v>
      </c>
      <c r="AO8">
        <f t="shared" si="53"/>
        <v>15</v>
      </c>
      <c r="AP8" s="147">
        <f t="shared" si="24"/>
        <v>75.94685702954591</v>
      </c>
      <c r="AQ8" s="147"/>
      <c r="AR8" s="5">
        <f t="shared" si="54"/>
        <v>13.167101827676239</v>
      </c>
      <c r="AS8" s="5">
        <f t="shared" si="25"/>
        <v>0.66486486486486485</v>
      </c>
      <c r="AT8" s="5">
        <f t="shared" si="55"/>
        <v>12.502236962811374</v>
      </c>
      <c r="AU8" s="153">
        <f t="shared" si="56"/>
        <v>5.0494396835860253E-2</v>
      </c>
      <c r="AW8" s="5">
        <f t="shared" si="26"/>
        <v>11.33051538024511</v>
      </c>
      <c r="AX8" s="5">
        <f t="shared" si="27"/>
        <v>6.0296195763330895E-2</v>
      </c>
      <c r="AY8" s="5">
        <f t="shared" si="28"/>
        <v>0.45203804398448061</v>
      </c>
      <c r="AZ8" s="5">
        <f t="shared" si="29"/>
        <v>8.9587944697165998E-3</v>
      </c>
      <c r="BA8" s="5">
        <f t="shared" si="30"/>
        <v>0.61559048974154418</v>
      </c>
      <c r="BB8" s="147">
        <f t="shared" si="31"/>
        <v>15.611651155007301</v>
      </c>
      <c r="BC8" s="5"/>
      <c r="BD8" s="153">
        <f t="shared" si="57"/>
        <v>0.10638363350383122</v>
      </c>
      <c r="BE8" s="153">
        <f t="shared" si="32"/>
        <v>0.23065984471503478</v>
      </c>
      <c r="BF8" s="153">
        <f t="shared" si="33"/>
        <v>4.6192272170383436E-2</v>
      </c>
      <c r="BG8" s="153"/>
      <c r="BH8" s="463">
        <f t="shared" si="34"/>
        <v>1.2449225225225229E-3</v>
      </c>
      <c r="BI8" s="463">
        <f t="shared" si="35"/>
        <v>5.8415284552845526E-3</v>
      </c>
      <c r="BJ8" s="463">
        <f t="shared" si="36"/>
        <v>3.7973428514772953E-3</v>
      </c>
      <c r="BK8" s="463">
        <f t="shared" si="37"/>
        <v>6.013924782867339E-3</v>
      </c>
      <c r="BL8">
        <f t="shared" si="38"/>
        <v>3.2190000000000001E-3</v>
      </c>
      <c r="BM8">
        <f t="shared" si="39"/>
        <v>4.6327582788023007E-6</v>
      </c>
      <c r="BN8">
        <f t="shared" si="40"/>
        <v>2.0294077221148336E-2</v>
      </c>
      <c r="BO8" s="147">
        <f t="shared" si="58"/>
        <v>20.294077221148335</v>
      </c>
      <c r="BP8" s="153">
        <f t="shared" si="41"/>
        <v>1.3859565693693694E-2</v>
      </c>
      <c r="BQ8" s="153">
        <f t="shared" si="42"/>
        <v>1.4720333340625528E-3</v>
      </c>
      <c r="BR8" s="463"/>
      <c r="BT8" s="147">
        <f t="shared" si="59"/>
        <v>15.331599027756246</v>
      </c>
      <c r="BU8" s="463">
        <f t="shared" si="43"/>
        <v>9.6198558558558593E-4</v>
      </c>
      <c r="BV8" s="463">
        <f t="shared" si="60"/>
        <v>1.0108753153153151E-2</v>
      </c>
      <c r="BW8" s="463">
        <f t="shared" si="44"/>
        <v>1.0668630041313901E-4</v>
      </c>
      <c r="BX8" s="463">
        <f t="shared" si="45"/>
        <v>0</v>
      </c>
      <c r="BY8" s="463">
        <f t="shared" si="46"/>
        <v>1.2529920223373566E-2</v>
      </c>
      <c r="BZ8" s="463">
        <f t="shared" si="61"/>
        <v>1.1177425039151876E-2</v>
      </c>
      <c r="CA8" s="549">
        <f t="shared" si="47"/>
        <v>2.5533333333333335E-2</v>
      </c>
      <c r="CB8" s="147">
        <f t="shared" si="62"/>
        <v>38.063253556706904</v>
      </c>
      <c r="CC8" s="153">
        <f t="shared" si="63"/>
        <v>7.3688929805611494E-2</v>
      </c>
      <c r="CD8" s="5">
        <f t="shared" si="64"/>
        <v>0.27299999999999996</v>
      </c>
      <c r="CE8" s="153">
        <f t="shared" si="65"/>
        <v>0.78744942953059138</v>
      </c>
      <c r="CF8" s="5">
        <f t="shared" si="66"/>
        <v>78.744942953059137</v>
      </c>
      <c r="CG8">
        <f t="shared" si="67"/>
        <v>3</v>
      </c>
      <c r="CI8" s="59">
        <f t="shared" si="48"/>
        <v>-50</v>
      </c>
      <c r="CJ8">
        <f t="shared" si="49"/>
        <v>-50</v>
      </c>
    </row>
    <row r="9" spans="2:88" x14ac:dyDescent="0.25">
      <c r="E9" s="150">
        <v>4</v>
      </c>
      <c r="F9" s="191">
        <f t="shared" si="68"/>
        <v>0.02</v>
      </c>
      <c r="G9" s="191">
        <f t="shared" si="50"/>
        <v>4.0000000000000001E-3</v>
      </c>
      <c r="H9" s="191">
        <f t="shared" si="0"/>
        <v>0.3</v>
      </c>
      <c r="I9" s="191">
        <f t="shared" si="69"/>
        <v>6.4000000000000001E-2</v>
      </c>
      <c r="J9" s="472">
        <f t="shared" si="1"/>
        <v>11.1</v>
      </c>
      <c r="K9" s="386">
        <f t="shared" si="2"/>
        <v>7.66</v>
      </c>
      <c r="L9" s="386">
        <f t="shared" si="3"/>
        <v>18.759999999999998</v>
      </c>
      <c r="M9" s="386"/>
      <c r="N9" s="191">
        <f t="shared" si="4"/>
        <v>0.40831556503198302</v>
      </c>
      <c r="O9" s="152">
        <f t="shared" si="51"/>
        <v>6.8918395170927162</v>
      </c>
      <c r="P9" s="152">
        <f t="shared" si="5"/>
        <v>1.7839143710021326</v>
      </c>
      <c r="Q9" s="191">
        <f t="shared" si="6"/>
        <v>0.45945596780618109</v>
      </c>
      <c r="R9" s="191">
        <f t="shared" si="7"/>
        <v>0.43073996981829477</v>
      </c>
      <c r="S9" s="386">
        <f t="shared" si="8"/>
        <v>15</v>
      </c>
      <c r="T9" s="191">
        <f t="shared" si="9"/>
        <v>0.17847194452938572</v>
      </c>
      <c r="U9" s="191">
        <f t="shared" si="10"/>
        <v>0.14470698205085331</v>
      </c>
      <c r="V9" s="191">
        <f t="shared" si="11"/>
        <v>0.20969288521729393</v>
      </c>
      <c r="W9" s="175">
        <f t="shared" si="12"/>
        <v>350</v>
      </c>
      <c r="X9" s="386">
        <f t="shared" si="52"/>
        <v>350</v>
      </c>
      <c r="Z9" s="191">
        <f t="shared" si="13"/>
        <v>1.4388262767793685</v>
      </c>
      <c r="AA9" s="153">
        <f t="shared" si="14"/>
        <v>1.6905269570514774</v>
      </c>
      <c r="AB9" s="153">
        <f t="shared" si="15"/>
        <v>0.21283277814833412</v>
      </c>
      <c r="AC9" s="153"/>
      <c r="AD9" s="153">
        <f t="shared" si="16"/>
        <v>0.96344647519582249</v>
      </c>
      <c r="AE9" s="317">
        <f t="shared" si="17"/>
        <v>101.26247603939454</v>
      </c>
      <c r="AF9" s="463">
        <f t="shared" si="18"/>
        <v>6.9127284595300251E-2</v>
      </c>
      <c r="AH9" s="153">
        <f t="shared" si="19"/>
        <v>0.4807401700618652</v>
      </c>
      <c r="AI9" s="153">
        <f t="shared" si="20"/>
        <v>0.82</v>
      </c>
      <c r="AJ9" s="153">
        <f t="shared" si="21"/>
        <v>1.0578642720225111</v>
      </c>
      <c r="AL9" s="317">
        <f t="shared" si="22"/>
        <v>20</v>
      </c>
      <c r="AM9" s="147">
        <f t="shared" si="23"/>
        <v>101.26247603939454</v>
      </c>
      <c r="AO9">
        <f t="shared" si="53"/>
        <v>20</v>
      </c>
      <c r="AP9" s="147">
        <f t="shared" si="24"/>
        <v>101.26247603939454</v>
      </c>
      <c r="AQ9" s="147"/>
      <c r="AR9" s="5">
        <f t="shared" si="54"/>
        <v>9.8753263707571808</v>
      </c>
      <c r="AS9" s="5">
        <f t="shared" si="25"/>
        <v>0.66486486486486485</v>
      </c>
      <c r="AT9" s="5">
        <f t="shared" si="55"/>
        <v>9.2104615058923152</v>
      </c>
      <c r="AU9" s="153">
        <f t="shared" si="56"/>
        <v>6.7325862447813661E-2</v>
      </c>
      <c r="AW9" s="5">
        <f t="shared" si="26"/>
        <v>11.33051538024511</v>
      </c>
      <c r="AX9" s="5">
        <f t="shared" si="27"/>
        <v>8.7193236912588262E-2</v>
      </c>
      <c r="AY9" s="5">
        <f t="shared" si="28"/>
        <v>0.45203804398448061</v>
      </c>
      <c r="AZ9" s="5">
        <f t="shared" si="29"/>
        <v>1.3260079057273954E-2</v>
      </c>
      <c r="BA9" s="5">
        <f t="shared" si="30"/>
        <v>0.60467818956700892</v>
      </c>
      <c r="BB9" s="147">
        <f t="shared" si="31"/>
        <v>15.36369090974976</v>
      </c>
      <c r="BC9" s="5"/>
      <c r="BD9" s="153">
        <f t="shared" si="57"/>
        <v>0.12284123888161486</v>
      </c>
      <c r="BE9" s="153">
        <f t="shared" si="32"/>
        <v>0.22860630096487022</v>
      </c>
      <c r="BF9" s="153">
        <f t="shared" si="33"/>
        <v>4.5781026546167475E-2</v>
      </c>
      <c r="BG9" s="153"/>
      <c r="BH9" s="463">
        <f t="shared" si="34"/>
        <v>1.6598966966966961E-3</v>
      </c>
      <c r="BI9" s="463">
        <f t="shared" si="35"/>
        <v>7.7887046070460684E-3</v>
      </c>
      <c r="BJ9" s="463">
        <f t="shared" si="36"/>
        <v>5.0631238019697268E-3</v>
      </c>
      <c r="BK9" s="463">
        <f t="shared" si="37"/>
        <v>8.0185663771564532E-3</v>
      </c>
      <c r="BL9">
        <f t="shared" si="38"/>
        <v>3.2190000000000001E-3</v>
      </c>
      <c r="BM9">
        <f t="shared" si="39"/>
        <v>6.1770110384030673E-6</v>
      </c>
      <c r="BN9">
        <f t="shared" si="40"/>
        <v>2.5987513248336012E-2</v>
      </c>
      <c r="BO9" s="147">
        <f t="shared" si="58"/>
        <v>25.987513248336011</v>
      </c>
      <c r="BP9" s="153">
        <f t="shared" si="41"/>
        <v>1.5625456480480478E-2</v>
      </c>
      <c r="BQ9" s="153">
        <f t="shared" si="42"/>
        <v>1.8482538854396721E-3</v>
      </c>
      <c r="BR9" s="463"/>
      <c r="BT9" s="147">
        <f t="shared" si="59"/>
        <v>17.473710365920148</v>
      </c>
      <c r="BU9" s="463">
        <f t="shared" si="43"/>
        <v>1.2826474474474472E-3</v>
      </c>
      <c r="BV9" s="463">
        <f t="shared" si="60"/>
        <v>9.9295597597597561E-3</v>
      </c>
      <c r="BW9" s="463">
        <f t="shared" si="44"/>
        <v>1.0479511958104454E-4</v>
      </c>
      <c r="BX9" s="463">
        <f t="shared" si="45"/>
        <v>0</v>
      </c>
      <c r="BY9" s="463">
        <f t="shared" si="46"/>
        <v>1.2686528483792432E-2</v>
      </c>
      <c r="BZ9" s="463">
        <f t="shared" si="61"/>
        <v>1.1317002326788247E-2</v>
      </c>
      <c r="CA9" s="549">
        <f t="shared" si="47"/>
        <v>3.4044444444444447E-2</v>
      </c>
      <c r="CB9" s="147">
        <f t="shared" si="62"/>
        <v>46.730972928236881</v>
      </c>
      <c r="CC9" s="153">
        <f t="shared" si="63"/>
        <v>9.0192196542493053E-2</v>
      </c>
      <c r="CD9" s="5">
        <f t="shared" si="64"/>
        <v>0.36399999999999999</v>
      </c>
      <c r="CE9" s="153">
        <f t="shared" si="65"/>
        <v>0.80142283987026863</v>
      </c>
      <c r="CF9" s="5">
        <f t="shared" si="66"/>
        <v>80.142283987026858</v>
      </c>
      <c r="CG9">
        <f t="shared" si="67"/>
        <v>4</v>
      </c>
      <c r="CI9" s="59">
        <f t="shared" si="48"/>
        <v>-50</v>
      </c>
      <c r="CJ9">
        <f t="shared" si="49"/>
        <v>-50</v>
      </c>
    </row>
    <row r="10" spans="2:88" x14ac:dyDescent="0.25">
      <c r="E10" s="150">
        <v>5</v>
      </c>
      <c r="F10" s="191">
        <f t="shared" si="68"/>
        <v>2.5000000000000001E-2</v>
      </c>
      <c r="G10" s="191">
        <f t="shared" si="50"/>
        <v>5.000000000000001E-3</v>
      </c>
      <c r="H10" s="191">
        <f t="shared" si="0"/>
        <v>0.375</v>
      </c>
      <c r="I10" s="191">
        <f t="shared" si="69"/>
        <v>8.0000000000000016E-2</v>
      </c>
      <c r="J10" s="472">
        <f t="shared" si="1"/>
        <v>11.1</v>
      </c>
      <c r="K10" s="386">
        <f t="shared" si="2"/>
        <v>7.66</v>
      </c>
      <c r="L10" s="386">
        <f t="shared" si="3"/>
        <v>18.759999999999998</v>
      </c>
      <c r="M10" s="386"/>
      <c r="N10" s="191">
        <f t="shared" si="4"/>
        <v>0.40831556503198302</v>
      </c>
      <c r="O10" s="152">
        <f t="shared" si="51"/>
        <v>6.8918395170927162</v>
      </c>
      <c r="P10" s="152">
        <f t="shared" si="5"/>
        <v>1.7839143710021326</v>
      </c>
      <c r="Q10" s="191">
        <f t="shared" si="6"/>
        <v>0.45945596780618109</v>
      </c>
      <c r="R10" s="191">
        <f t="shared" si="7"/>
        <v>0.43073996981829477</v>
      </c>
      <c r="S10" s="386">
        <f t="shared" si="8"/>
        <v>15</v>
      </c>
      <c r="T10" s="191">
        <f t="shared" si="9"/>
        <v>0.22308993066173216</v>
      </c>
      <c r="U10" s="191">
        <f t="shared" si="10"/>
        <v>0.18088372756356663</v>
      </c>
      <c r="V10" s="191">
        <f t="shared" si="11"/>
        <v>0.26211610652161743</v>
      </c>
      <c r="W10" s="175">
        <f t="shared" si="12"/>
        <v>350</v>
      </c>
      <c r="X10" s="386">
        <f t="shared" si="52"/>
        <v>350</v>
      </c>
      <c r="Z10" s="191">
        <f t="shared" si="13"/>
        <v>1.4388262767793685</v>
      </c>
      <c r="AA10" s="153">
        <f t="shared" si="14"/>
        <v>1.6905269570514774</v>
      </c>
      <c r="AB10" s="153">
        <f t="shared" si="15"/>
        <v>0.21283277814833412</v>
      </c>
      <c r="AC10" s="153"/>
      <c r="AD10" s="153">
        <f t="shared" si="16"/>
        <v>0.96344647519582249</v>
      </c>
      <c r="AE10" s="317">
        <f t="shared" si="17"/>
        <v>126.5780950492432</v>
      </c>
      <c r="AF10" s="463">
        <f t="shared" si="18"/>
        <v>6.9127284595300251E-2</v>
      </c>
      <c r="AH10" s="153">
        <f t="shared" si="19"/>
        <v>0.53748384988657005</v>
      </c>
      <c r="AI10" s="153">
        <f t="shared" si="20"/>
        <v>0.82</v>
      </c>
      <c r="AJ10" s="153">
        <f t="shared" si="21"/>
        <v>1.072330340028139</v>
      </c>
      <c r="AL10" s="317">
        <f t="shared" si="22"/>
        <v>25</v>
      </c>
      <c r="AM10" s="147">
        <f t="shared" si="23"/>
        <v>126.5780950492432</v>
      </c>
      <c r="AO10">
        <f t="shared" si="53"/>
        <v>25</v>
      </c>
      <c r="AP10" s="147">
        <f t="shared" si="24"/>
        <v>126.5780950492432</v>
      </c>
      <c r="AQ10" s="147"/>
      <c r="AR10" s="5">
        <f t="shared" si="54"/>
        <v>7.9002610966057425</v>
      </c>
      <c r="AS10" s="5">
        <f t="shared" si="25"/>
        <v>0.66486486486486485</v>
      </c>
      <c r="AT10" s="5">
        <f t="shared" si="55"/>
        <v>7.2353962317408778</v>
      </c>
      <c r="AU10" s="153">
        <f t="shared" si="56"/>
        <v>8.4157328059767098E-2</v>
      </c>
      <c r="AW10" s="5">
        <f t="shared" si="26"/>
        <v>11.33051538024511</v>
      </c>
      <c r="AX10" s="5">
        <f t="shared" si="27"/>
        <v>0.11748943267591919</v>
      </c>
      <c r="AY10" s="5">
        <f t="shared" si="28"/>
        <v>0.45203804398448061</v>
      </c>
      <c r="AZ10" s="5">
        <f t="shared" si="29"/>
        <v>1.8218873526990559E-2</v>
      </c>
      <c r="BA10" s="5">
        <f t="shared" si="30"/>
        <v>0.59376588939247343</v>
      </c>
      <c r="BB10" s="147">
        <f t="shared" si="31"/>
        <v>15.115730664492219</v>
      </c>
      <c r="BC10" s="5"/>
      <c r="BD10" s="153">
        <f t="shared" si="57"/>
        <v>0.13734068028979055</v>
      </c>
      <c r="BE10" s="153">
        <f t="shared" si="32"/>
        <v>0.22653414249891274</v>
      </c>
      <c r="BF10" s="153">
        <f t="shared" si="33"/>
        <v>4.5366053112200565E-2</v>
      </c>
      <c r="BG10" s="153"/>
      <c r="BH10" s="463">
        <f t="shared" si="34"/>
        <v>2.0748708708708706E-3</v>
      </c>
      <c r="BI10" s="463">
        <f t="shared" si="35"/>
        <v>9.7358807588075885E-3</v>
      </c>
      <c r="BJ10" s="463">
        <f t="shared" si="36"/>
        <v>6.3289047524621601E-3</v>
      </c>
      <c r="BK10" s="463">
        <f t="shared" si="37"/>
        <v>1.0023207971445569E-2</v>
      </c>
      <c r="BL10">
        <f t="shared" si="38"/>
        <v>3.2190000000000001E-3</v>
      </c>
      <c r="BM10">
        <f t="shared" si="39"/>
        <v>7.7212637980038365E-6</v>
      </c>
      <c r="BN10">
        <f t="shared" si="40"/>
        <v>3.1681821419461437E-2</v>
      </c>
      <c r="BO10" s="147">
        <f t="shared" si="58"/>
        <v>31.681821419461436</v>
      </c>
      <c r="BP10" s="153">
        <f t="shared" si="41"/>
        <v>1.7391347267267265E-2</v>
      </c>
      <c r="BQ10" s="153">
        <f t="shared" si="42"/>
        <v>2.2244744368167921E-3</v>
      </c>
      <c r="BR10" s="463"/>
      <c r="BT10" s="147">
        <f t="shared" si="59"/>
        <v>19.615821704084055</v>
      </c>
      <c r="BU10" s="463">
        <f t="shared" si="43"/>
        <v>1.6033093093093093E-3</v>
      </c>
      <c r="BV10" s="463">
        <f t="shared" si="60"/>
        <v>9.7503663663663642E-3</v>
      </c>
      <c r="BW10" s="463">
        <f t="shared" si="44"/>
        <v>1.0290393874895013E-4</v>
      </c>
      <c r="BX10" s="463">
        <f t="shared" si="45"/>
        <v>0</v>
      </c>
      <c r="BY10" s="463">
        <f t="shared" si="46"/>
        <v>1.284314024485273E-2</v>
      </c>
      <c r="BZ10" s="463">
        <f t="shared" si="61"/>
        <v>1.1456579614424624E-2</v>
      </c>
      <c r="CA10" s="549">
        <f t="shared" si="47"/>
        <v>4.2555555555555569E-2</v>
      </c>
      <c r="CB10" s="147">
        <f t="shared" si="62"/>
        <v>55.398695800408298</v>
      </c>
      <c r="CC10" s="153">
        <f t="shared" si="63"/>
        <v>0.10669633892395379</v>
      </c>
      <c r="CD10" s="5">
        <f t="shared" si="64"/>
        <v>0.45500000000000002</v>
      </c>
      <c r="CE10" s="153">
        <f t="shared" si="65"/>
        <v>0.81004622688416883</v>
      </c>
      <c r="CF10" s="5">
        <f t="shared" si="66"/>
        <v>81.004622688416887</v>
      </c>
      <c r="CG10">
        <f t="shared" si="67"/>
        <v>5</v>
      </c>
      <c r="CI10" s="59">
        <f t="shared" si="48"/>
        <v>-50</v>
      </c>
      <c r="CJ10">
        <f t="shared" si="49"/>
        <v>-50</v>
      </c>
    </row>
    <row r="11" spans="2:88" x14ac:dyDescent="0.25">
      <c r="E11" s="150">
        <v>6</v>
      </c>
      <c r="F11" s="191">
        <f t="shared" si="68"/>
        <v>0.03</v>
      </c>
      <c r="G11" s="191">
        <f t="shared" si="50"/>
        <v>6.0000000000000001E-3</v>
      </c>
      <c r="H11" s="191">
        <f t="shared" si="0"/>
        <v>0.44999999999999996</v>
      </c>
      <c r="I11" s="191">
        <f t="shared" si="69"/>
        <v>9.6000000000000002E-2</v>
      </c>
      <c r="J11" s="472">
        <f t="shared" si="1"/>
        <v>11.1</v>
      </c>
      <c r="K11" s="386">
        <f t="shared" si="2"/>
        <v>7.66</v>
      </c>
      <c r="L11" s="386">
        <f t="shared" si="3"/>
        <v>18.759999999999998</v>
      </c>
      <c r="M11" s="386"/>
      <c r="N11" s="191">
        <f t="shared" si="4"/>
        <v>0.40831556503198302</v>
      </c>
      <c r="O11" s="152">
        <f t="shared" si="51"/>
        <v>6.8918395170927162</v>
      </c>
      <c r="P11" s="152">
        <f t="shared" si="5"/>
        <v>1.7839143710021326</v>
      </c>
      <c r="Q11" s="191">
        <f t="shared" si="6"/>
        <v>0.45945596780618109</v>
      </c>
      <c r="R11" s="191">
        <f t="shared" si="7"/>
        <v>0.43073996981829477</v>
      </c>
      <c r="S11" s="386">
        <f t="shared" si="8"/>
        <v>15</v>
      </c>
      <c r="T11" s="191">
        <f t="shared" si="9"/>
        <v>0.26770791679407857</v>
      </c>
      <c r="U11" s="191">
        <f t="shared" si="10"/>
        <v>0.21706047307627993</v>
      </c>
      <c r="V11" s="191">
        <f t="shared" si="11"/>
        <v>0.31453932782594085</v>
      </c>
      <c r="W11" s="175">
        <f t="shared" si="12"/>
        <v>350</v>
      </c>
      <c r="X11" s="386">
        <f t="shared" si="52"/>
        <v>350</v>
      </c>
      <c r="Z11" s="191">
        <f t="shared" si="13"/>
        <v>1.4388262767793685</v>
      </c>
      <c r="AA11" s="153">
        <f t="shared" si="14"/>
        <v>1.6905269570514774</v>
      </c>
      <c r="AB11" s="153">
        <f t="shared" si="15"/>
        <v>0.21283277814833412</v>
      </c>
      <c r="AC11" s="153"/>
      <c r="AD11" s="153">
        <f t="shared" si="16"/>
        <v>0.96344647519582249</v>
      </c>
      <c r="AE11" s="317">
        <f t="shared" si="17"/>
        <v>151.89371405909182</v>
      </c>
      <c r="AF11" s="463">
        <f t="shared" si="18"/>
        <v>6.9127284595300251E-2</v>
      </c>
      <c r="AH11" s="153">
        <f t="shared" si="19"/>
        <v>0.58878405775518972</v>
      </c>
      <c r="AI11" s="153">
        <f t="shared" si="20"/>
        <v>0.82</v>
      </c>
      <c r="AJ11" s="153">
        <f t="shared" si="21"/>
        <v>1.0867964080337669</v>
      </c>
      <c r="AL11" s="317">
        <f t="shared" si="22"/>
        <v>30</v>
      </c>
      <c r="AM11" s="147">
        <f t="shared" si="23"/>
        <v>151.89371405909182</v>
      </c>
      <c r="AO11">
        <f t="shared" si="53"/>
        <v>30</v>
      </c>
      <c r="AP11" s="147">
        <f t="shared" si="24"/>
        <v>151.89371405909182</v>
      </c>
      <c r="AQ11" s="147"/>
      <c r="AR11" s="5">
        <f t="shared" si="54"/>
        <v>6.5835509138381196</v>
      </c>
      <c r="AS11" s="5">
        <f t="shared" si="25"/>
        <v>0.66486486486486485</v>
      </c>
      <c r="AT11" s="5">
        <f t="shared" si="55"/>
        <v>5.9186860489732549</v>
      </c>
      <c r="AU11" s="153">
        <f t="shared" si="56"/>
        <v>0.10098879367172051</v>
      </c>
      <c r="AW11" s="5">
        <f t="shared" si="26"/>
        <v>11.33051538024511</v>
      </c>
      <c r="AX11" s="5">
        <f t="shared" si="27"/>
        <v>0.15118478305332358</v>
      </c>
      <c r="AY11" s="5">
        <f t="shared" si="28"/>
        <v>0.45203804398448061</v>
      </c>
      <c r="AZ11" s="5">
        <f t="shared" si="29"/>
        <v>2.3835177878866395E-2</v>
      </c>
      <c r="BA11" s="5">
        <f t="shared" si="30"/>
        <v>0.58285358921793806</v>
      </c>
      <c r="BB11" s="147">
        <f t="shared" si="31"/>
        <v>14.867770419234676</v>
      </c>
      <c r="BC11" s="5"/>
      <c r="BD11" s="153">
        <f t="shared" si="57"/>
        <v>0.15044917731564686</v>
      </c>
      <c r="BE11" s="153">
        <f t="shared" si="32"/>
        <v>0.22444285373919701</v>
      </c>
      <c r="BF11" s="153">
        <f t="shared" si="33"/>
        <v>4.4947248618098019E-2</v>
      </c>
      <c r="BG11" s="153"/>
      <c r="BH11" s="463">
        <f t="shared" si="34"/>
        <v>2.4898450450450446E-3</v>
      </c>
      <c r="BI11" s="463">
        <f t="shared" si="35"/>
        <v>1.1683056910569105E-2</v>
      </c>
      <c r="BJ11" s="463">
        <f t="shared" si="36"/>
        <v>7.5946857029545907E-3</v>
      </c>
      <c r="BK11" s="463">
        <f t="shared" si="37"/>
        <v>1.2027849565734678E-2</v>
      </c>
      <c r="BL11">
        <f t="shared" si="38"/>
        <v>3.2190000000000001E-3</v>
      </c>
      <c r="BM11">
        <f t="shared" si="39"/>
        <v>9.2655165576046014E-6</v>
      </c>
      <c r="BN11">
        <f t="shared" si="40"/>
        <v>3.7377001934937849E-2</v>
      </c>
      <c r="BO11" s="147">
        <f t="shared" si="58"/>
        <v>37.377001934937852</v>
      </c>
      <c r="BP11" s="153">
        <f t="shared" si="41"/>
        <v>1.9157238054054053E-2</v>
      </c>
      <c r="BQ11" s="153">
        <f t="shared" si="42"/>
        <v>2.600694988193911E-3</v>
      </c>
      <c r="BR11" s="463"/>
      <c r="BT11" s="147">
        <f t="shared" si="59"/>
        <v>21.757933042247963</v>
      </c>
      <c r="BU11" s="463">
        <f t="shared" si="43"/>
        <v>1.923971171171171E-3</v>
      </c>
      <c r="BV11" s="463">
        <f t="shared" si="60"/>
        <v>9.5711729729729689E-3</v>
      </c>
      <c r="BW11" s="463">
        <f t="shared" si="44"/>
        <v>1.0101275791685571E-4</v>
      </c>
      <c r="BX11" s="463">
        <f t="shared" si="45"/>
        <v>0</v>
      </c>
      <c r="BY11" s="463">
        <f t="shared" si="46"/>
        <v>1.2999755506671819E-2</v>
      </c>
      <c r="BZ11" s="463">
        <f t="shared" si="61"/>
        <v>1.1596156902060995E-2</v>
      </c>
      <c r="CA11" s="549">
        <f t="shared" si="47"/>
        <v>5.106666666666667E-2</v>
      </c>
      <c r="CB11" s="147">
        <f t="shared" si="62"/>
        <v>64.066422173338495</v>
      </c>
      <c r="CC11" s="153">
        <f t="shared" si="63"/>
        <v>0.1232013571505243</v>
      </c>
      <c r="CD11" s="5">
        <f t="shared" si="64"/>
        <v>0.54599999999999993</v>
      </c>
      <c r="CE11" s="153">
        <f t="shared" si="65"/>
        <v>0.81589792693320484</v>
      </c>
      <c r="CF11" s="5">
        <f t="shared" si="66"/>
        <v>81.58979269332049</v>
      </c>
      <c r="CG11">
        <f t="shared" si="67"/>
        <v>6</v>
      </c>
      <c r="CI11" s="59">
        <f t="shared" si="48"/>
        <v>-50</v>
      </c>
      <c r="CJ11">
        <f t="shared" si="49"/>
        <v>-50</v>
      </c>
    </row>
    <row r="12" spans="2:88" x14ac:dyDescent="0.25">
      <c r="E12" s="150">
        <v>7</v>
      </c>
      <c r="F12" s="191">
        <f t="shared" si="68"/>
        <v>3.5000000000000003E-2</v>
      </c>
      <c r="G12" s="191">
        <f t="shared" si="50"/>
        <v>7.000000000000001E-3</v>
      </c>
      <c r="H12" s="191">
        <f t="shared" si="0"/>
        <v>0.52500000000000002</v>
      </c>
      <c r="I12" s="191">
        <f t="shared" si="69"/>
        <v>0.11200000000000002</v>
      </c>
      <c r="J12" s="472">
        <f t="shared" si="1"/>
        <v>11.1</v>
      </c>
      <c r="K12" s="386">
        <f t="shared" si="2"/>
        <v>7.66</v>
      </c>
      <c r="L12" s="386">
        <f t="shared" si="3"/>
        <v>18.759999999999998</v>
      </c>
      <c r="M12" s="386"/>
      <c r="N12" s="191">
        <f t="shared" si="4"/>
        <v>0.40831556503198302</v>
      </c>
      <c r="O12" s="152">
        <f t="shared" si="51"/>
        <v>6.8918395170927162</v>
      </c>
      <c r="P12" s="152">
        <f t="shared" si="5"/>
        <v>1.7839143710021326</v>
      </c>
      <c r="Q12" s="191">
        <f t="shared" si="6"/>
        <v>0.45945596780618109</v>
      </c>
      <c r="R12" s="191">
        <f t="shared" si="7"/>
        <v>0.43073996981829477</v>
      </c>
      <c r="S12" s="386">
        <f t="shared" si="8"/>
        <v>15</v>
      </c>
      <c r="T12" s="191">
        <f t="shared" si="9"/>
        <v>0.31232590292642504</v>
      </c>
      <c r="U12" s="191">
        <f t="shared" si="10"/>
        <v>0.25323721858899328</v>
      </c>
      <c r="V12" s="191">
        <f t="shared" si="11"/>
        <v>0.36696254913026438</v>
      </c>
      <c r="W12" s="175">
        <f t="shared" si="12"/>
        <v>350</v>
      </c>
      <c r="X12" s="386">
        <f t="shared" si="52"/>
        <v>350</v>
      </c>
      <c r="Z12" s="191">
        <f t="shared" si="13"/>
        <v>1.4388262767793685</v>
      </c>
      <c r="AA12" s="153">
        <f t="shared" si="14"/>
        <v>1.6905269570514774</v>
      </c>
      <c r="AB12" s="153">
        <f t="shared" si="15"/>
        <v>0.21283277814833412</v>
      </c>
      <c r="AC12" s="153"/>
      <c r="AD12" s="153">
        <f t="shared" si="16"/>
        <v>0.96344647519582249</v>
      </c>
      <c r="AE12" s="317">
        <f t="shared" si="17"/>
        <v>177.20933306894048</v>
      </c>
      <c r="AF12" s="463">
        <f t="shared" si="18"/>
        <v>6.9127284595300251E-2</v>
      </c>
      <c r="AH12" s="153">
        <f t="shared" si="19"/>
        <v>0.63595946761129707</v>
      </c>
      <c r="AI12" s="153">
        <f t="shared" si="20"/>
        <v>0.82</v>
      </c>
      <c r="AJ12" s="153">
        <f t="shared" si="21"/>
        <v>1.1012624760393945</v>
      </c>
      <c r="AL12" s="317">
        <f t="shared" si="22"/>
        <v>35</v>
      </c>
      <c r="AM12" s="147">
        <f t="shared" si="23"/>
        <v>177.20933306894048</v>
      </c>
      <c r="AO12">
        <f t="shared" si="53"/>
        <v>35</v>
      </c>
      <c r="AP12" s="147">
        <f t="shared" si="24"/>
        <v>177.20933306894048</v>
      </c>
      <c r="AQ12" s="147"/>
      <c r="AR12" s="5">
        <f t="shared" si="54"/>
        <v>5.6430436404326736</v>
      </c>
      <c r="AS12" s="5">
        <f t="shared" si="25"/>
        <v>0.66486486486486485</v>
      </c>
      <c r="AT12" s="5">
        <f t="shared" si="55"/>
        <v>4.9781787755678089</v>
      </c>
      <c r="AU12" s="153">
        <f t="shared" si="56"/>
        <v>0.11782025928367393</v>
      </c>
      <c r="AW12" s="5">
        <f t="shared" si="26"/>
        <v>11.33051538024511</v>
      </c>
      <c r="AX12" s="5">
        <f t="shared" si="27"/>
        <v>0.1882792880448016</v>
      </c>
      <c r="AY12" s="5">
        <f t="shared" si="28"/>
        <v>0.45203804398448061</v>
      </c>
      <c r="AZ12" s="5">
        <f t="shared" si="29"/>
        <v>3.0108992112901495E-2</v>
      </c>
      <c r="BA12" s="5">
        <f t="shared" si="30"/>
        <v>0.57194128904340258</v>
      </c>
      <c r="BB12" s="147">
        <f t="shared" si="31"/>
        <v>14.619810173977132</v>
      </c>
      <c r="BC12" s="5"/>
      <c r="BD12" s="153">
        <f t="shared" si="57"/>
        <v>0.16250368441191557</v>
      </c>
      <c r="BE12" s="153">
        <f t="shared" si="32"/>
        <v>0.2223318948587257</v>
      </c>
      <c r="BF12" s="153">
        <f t="shared" si="33"/>
        <v>4.4524504957329125E-2</v>
      </c>
      <c r="BG12" s="153"/>
      <c r="BH12" s="463">
        <f t="shared" si="34"/>
        <v>2.9048192192192195E-3</v>
      </c>
      <c r="BI12" s="463">
        <f t="shared" si="35"/>
        <v>1.3630233062330624E-2</v>
      </c>
      <c r="BJ12" s="463">
        <f t="shared" si="36"/>
        <v>8.8604666534470248E-3</v>
      </c>
      <c r="BK12" s="463">
        <f t="shared" si="37"/>
        <v>1.4032491160023794E-2</v>
      </c>
      <c r="BL12">
        <f t="shared" si="38"/>
        <v>3.2190000000000001E-3</v>
      </c>
      <c r="BM12">
        <f t="shared" si="39"/>
        <v>1.080976931720537E-5</v>
      </c>
      <c r="BN12">
        <f t="shared" si="40"/>
        <v>4.3073054995239897E-2</v>
      </c>
      <c r="BO12" s="147">
        <f t="shared" si="58"/>
        <v>43.0730549952399</v>
      </c>
      <c r="BP12" s="153">
        <f t="shared" si="41"/>
        <v>2.0923128840840844E-2</v>
      </c>
      <c r="BQ12" s="153">
        <f t="shared" si="42"/>
        <v>2.9769155395710308E-3</v>
      </c>
      <c r="BR12" s="463"/>
      <c r="BT12" s="147">
        <f t="shared" si="59"/>
        <v>23.900044380411874</v>
      </c>
      <c r="BU12" s="463">
        <f t="shared" si="43"/>
        <v>2.2446330330330336E-3</v>
      </c>
      <c r="BV12" s="463">
        <f t="shared" si="60"/>
        <v>9.3919795795795787E-3</v>
      </c>
      <c r="BW12" s="463">
        <f t="shared" si="44"/>
        <v>9.91215770847613E-5</v>
      </c>
      <c r="BX12" s="463">
        <f t="shared" si="45"/>
        <v>0</v>
      </c>
      <c r="BY12" s="463">
        <f t="shared" si="46"/>
        <v>1.3156374269367095E-2</v>
      </c>
      <c r="BZ12" s="463">
        <f t="shared" si="61"/>
        <v>1.1735734189697374E-2</v>
      </c>
      <c r="CA12" s="549">
        <f t="shared" si="47"/>
        <v>5.9577777777777792E-2</v>
      </c>
      <c r="CB12" s="147">
        <f t="shared" si="62"/>
        <v>72.734152047144875</v>
      </c>
      <c r="CC12" s="153">
        <f t="shared" si="63"/>
        <v>0.13970725142279666</v>
      </c>
      <c r="CD12" s="5">
        <f t="shared" si="64"/>
        <v>0.63700000000000001</v>
      </c>
      <c r="CE12" s="153">
        <f t="shared" si="65"/>
        <v>0.82012881794668901</v>
      </c>
      <c r="CF12" s="5">
        <f t="shared" si="66"/>
        <v>82.0128817946689</v>
      </c>
      <c r="CG12">
        <f t="shared" si="67"/>
        <v>7.0000000000000009</v>
      </c>
      <c r="CI12" s="59">
        <f t="shared" si="48"/>
        <v>-50</v>
      </c>
      <c r="CJ12">
        <f t="shared" si="49"/>
        <v>-50</v>
      </c>
    </row>
    <row r="13" spans="2:88" s="59" customFormat="1" x14ac:dyDescent="0.25">
      <c r="E13" s="150">
        <v>8</v>
      </c>
      <c r="F13" s="191">
        <f t="shared" si="68"/>
        <v>0.04</v>
      </c>
      <c r="G13" s="191">
        <f t="shared" si="50"/>
        <v>8.0000000000000002E-3</v>
      </c>
      <c r="H13" s="191">
        <f t="shared" si="0"/>
        <v>0.6</v>
      </c>
      <c r="I13" s="191">
        <f t="shared" si="69"/>
        <v>0.128</v>
      </c>
      <c r="J13" s="472">
        <f t="shared" si="1"/>
        <v>11.1</v>
      </c>
      <c r="K13" s="386">
        <f t="shared" si="2"/>
        <v>7.66</v>
      </c>
      <c r="L13" s="386">
        <f t="shared" si="3"/>
        <v>18.759999999999998</v>
      </c>
      <c r="M13" s="386"/>
      <c r="N13" s="191">
        <f t="shared" si="4"/>
        <v>0.40831556503198302</v>
      </c>
      <c r="O13" s="152">
        <f t="shared" si="51"/>
        <v>6.8918395170927162</v>
      </c>
      <c r="P13" s="152">
        <f t="shared" si="5"/>
        <v>1.7839143710021326</v>
      </c>
      <c r="Q13" s="191">
        <f t="shared" si="6"/>
        <v>0.45945596780618109</v>
      </c>
      <c r="R13" s="191">
        <f t="shared" si="7"/>
        <v>0.43073996981829477</v>
      </c>
      <c r="S13" s="386">
        <f t="shared" si="8"/>
        <v>15</v>
      </c>
      <c r="T13" s="191">
        <f t="shared" si="9"/>
        <v>0.35694388905877145</v>
      </c>
      <c r="U13" s="191">
        <f t="shared" si="10"/>
        <v>0.28941396410170661</v>
      </c>
      <c r="V13" s="191">
        <f t="shared" si="11"/>
        <v>0.41938577043458786</v>
      </c>
      <c r="W13" s="175">
        <f t="shared" si="12"/>
        <v>350</v>
      </c>
      <c r="X13" s="386">
        <f t="shared" si="52"/>
        <v>350</v>
      </c>
      <c r="Z13" s="191">
        <f t="shared" si="13"/>
        <v>1.4388262767793685</v>
      </c>
      <c r="AA13" s="153">
        <f t="shared" si="14"/>
        <v>1.6905269570514774</v>
      </c>
      <c r="AB13" s="153">
        <f t="shared" si="15"/>
        <v>0.21283277814833412</v>
      </c>
      <c r="AC13" s="469"/>
      <c r="AD13" s="153">
        <f t="shared" si="16"/>
        <v>0.96344647519582249</v>
      </c>
      <c r="AE13" s="317">
        <f t="shared" si="17"/>
        <v>202.52495207878908</v>
      </c>
      <c r="AF13" s="463">
        <f t="shared" si="18"/>
        <v>6.9127284595300251E-2</v>
      </c>
      <c r="AG13"/>
      <c r="AH13" s="153">
        <f t="shared" si="19"/>
        <v>0.67986926847903795</v>
      </c>
      <c r="AI13" s="153">
        <f t="shared" si="20"/>
        <v>0.82</v>
      </c>
      <c r="AJ13" s="153">
        <f t="shared" si="21"/>
        <v>1.1157285440450224</v>
      </c>
      <c r="AL13" s="317">
        <f t="shared" si="22"/>
        <v>40</v>
      </c>
      <c r="AM13" s="147">
        <f t="shared" si="23"/>
        <v>202.52495207878908</v>
      </c>
      <c r="AO13">
        <f t="shared" si="53"/>
        <v>40</v>
      </c>
      <c r="AP13" s="147">
        <f t="shared" si="24"/>
        <v>202.52495207878908</v>
      </c>
      <c r="AQ13" s="147"/>
      <c r="AR13" s="5">
        <f t="shared" si="54"/>
        <v>4.9376631853785904</v>
      </c>
      <c r="AS13" s="5">
        <f t="shared" si="25"/>
        <v>0.66486486486486485</v>
      </c>
      <c r="AT13" s="5">
        <f t="shared" si="55"/>
        <v>4.2727983205137257</v>
      </c>
      <c r="AU13" s="153">
        <f t="shared" si="56"/>
        <v>0.13465172489562732</v>
      </c>
      <c r="AW13" s="5">
        <f t="shared" si="26"/>
        <v>11.33051538024511</v>
      </c>
      <c r="AX13" s="5">
        <f t="shared" si="27"/>
        <v>0.22877294765035305</v>
      </c>
      <c r="AY13" s="5">
        <f t="shared" si="28"/>
        <v>0.45203804398448061</v>
      </c>
      <c r="AZ13" s="5">
        <f t="shared" si="29"/>
        <v>3.7040316229095815E-2</v>
      </c>
      <c r="BA13" s="5">
        <f t="shared" si="30"/>
        <v>0.56102898886886743</v>
      </c>
      <c r="BB13" s="147">
        <f t="shared" si="31"/>
        <v>14.371849928719591</v>
      </c>
      <c r="BC13" s="5"/>
      <c r="BD13" s="153">
        <f t="shared" si="57"/>
        <v>0.17372374604509291</v>
      </c>
      <c r="BE13" s="153">
        <f t="shared" si="32"/>
        <v>0.22020070015408294</v>
      </c>
      <c r="BF13" s="153">
        <f t="shared" si="33"/>
        <v>4.4097708841314386E-2</v>
      </c>
      <c r="BG13" s="153"/>
      <c r="BH13" s="463">
        <f t="shared" si="34"/>
        <v>3.3197933933933927E-3</v>
      </c>
      <c r="BI13" s="463">
        <f t="shared" si="35"/>
        <v>1.5577409214092137E-2</v>
      </c>
      <c r="BJ13" s="463">
        <f t="shared" si="36"/>
        <v>1.0126247603939454E-2</v>
      </c>
      <c r="BK13" s="463">
        <f t="shared" si="37"/>
        <v>1.6037132754312906E-2</v>
      </c>
      <c r="BL13">
        <f t="shared" si="38"/>
        <v>3.2190000000000001E-3</v>
      </c>
      <c r="BM13">
        <f t="shared" si="39"/>
        <v>1.2354022076806135E-5</v>
      </c>
      <c r="BN13">
        <f t="shared" si="40"/>
        <v>4.8769980800903646E-2</v>
      </c>
      <c r="BO13" s="147">
        <f t="shared" si="58"/>
        <v>48.769980800903646</v>
      </c>
      <c r="BP13" s="153">
        <f t="shared" si="41"/>
        <v>2.2689019627627628E-2</v>
      </c>
      <c r="BQ13" s="153">
        <f t="shared" si="42"/>
        <v>3.3531360909481501E-3</v>
      </c>
      <c r="BR13" s="463"/>
      <c r="BT13" s="147">
        <f t="shared" si="59"/>
        <v>26.042155718575781</v>
      </c>
      <c r="BU13" s="463">
        <f t="shared" si="43"/>
        <v>2.5652948948948948E-3</v>
      </c>
      <c r="BV13" s="463">
        <f t="shared" si="60"/>
        <v>9.2127861861861851E-3</v>
      </c>
      <c r="BW13" s="463">
        <f t="shared" si="44"/>
        <v>9.7230396252666858E-5</v>
      </c>
      <c r="BX13" s="463">
        <f t="shared" si="45"/>
        <v>0</v>
      </c>
      <c r="BY13" s="463">
        <f t="shared" si="46"/>
        <v>1.3312996533055935E-2</v>
      </c>
      <c r="BZ13" s="463">
        <f t="shared" si="61"/>
        <v>1.1875311477333747E-2</v>
      </c>
      <c r="CA13" s="549">
        <f t="shared" si="47"/>
        <v>6.8088888888888893E-2</v>
      </c>
      <c r="CB13" s="147">
        <f t="shared" si="62"/>
        <v>81.40188542194484</v>
      </c>
      <c r="CC13" s="153">
        <f t="shared" si="63"/>
        <v>0.15621402194142425</v>
      </c>
      <c r="CD13" s="5">
        <f t="shared" si="64"/>
        <v>0.72799999999999998</v>
      </c>
      <c r="CE13" s="153">
        <f t="shared" si="65"/>
        <v>0.8233300783916172</v>
      </c>
      <c r="CF13" s="5">
        <f t="shared" si="66"/>
        <v>82.333007839161723</v>
      </c>
      <c r="CG13">
        <f t="shared" si="67"/>
        <v>8</v>
      </c>
      <c r="CI13" s="59">
        <f t="shared" si="48"/>
        <v>-50</v>
      </c>
      <c r="CJ13">
        <f t="shared" si="49"/>
        <v>-50</v>
      </c>
    </row>
    <row r="14" spans="2:88" x14ac:dyDescent="0.25">
      <c r="E14" s="150">
        <v>9</v>
      </c>
      <c r="F14" s="191">
        <f t="shared" si="68"/>
        <v>4.4999999999999998E-2</v>
      </c>
      <c r="G14" s="191">
        <f t="shared" si="50"/>
        <v>8.9999999999999993E-3</v>
      </c>
      <c r="H14" s="191">
        <f t="shared" si="0"/>
        <v>0.67499999999999993</v>
      </c>
      <c r="I14" s="191">
        <f t="shared" si="69"/>
        <v>0.14399999999999999</v>
      </c>
      <c r="J14" s="472">
        <f t="shared" si="1"/>
        <v>11.1</v>
      </c>
      <c r="K14" s="386">
        <f t="shared" si="2"/>
        <v>7.66</v>
      </c>
      <c r="L14" s="386">
        <f t="shared" si="3"/>
        <v>18.759999999999998</v>
      </c>
      <c r="M14" s="386"/>
      <c r="N14" s="191">
        <f t="shared" si="4"/>
        <v>0.40831556503198302</v>
      </c>
      <c r="O14" s="152">
        <f t="shared" si="51"/>
        <v>6.8918395170927162</v>
      </c>
      <c r="P14" s="152">
        <f t="shared" si="5"/>
        <v>1.7839143710021326</v>
      </c>
      <c r="Q14" s="191">
        <f t="shared" si="6"/>
        <v>0.45945596780618109</v>
      </c>
      <c r="R14" s="191">
        <f t="shared" si="7"/>
        <v>0.43073996981829477</v>
      </c>
      <c r="S14" s="386">
        <f t="shared" si="8"/>
        <v>15</v>
      </c>
      <c r="T14" s="191">
        <f t="shared" si="9"/>
        <v>0.40156187519111786</v>
      </c>
      <c r="U14" s="191">
        <f t="shared" si="10"/>
        <v>0.32559070961441988</v>
      </c>
      <c r="V14" s="191">
        <f t="shared" si="11"/>
        <v>0.47180899173891128</v>
      </c>
      <c r="W14" s="175">
        <f t="shared" si="12"/>
        <v>350</v>
      </c>
      <c r="X14" s="386">
        <f t="shared" si="52"/>
        <v>350</v>
      </c>
      <c r="Z14" s="191">
        <f t="shared" si="13"/>
        <v>1.4388262767793685</v>
      </c>
      <c r="AA14" s="153">
        <f t="shared" si="14"/>
        <v>1.6905269570514774</v>
      </c>
      <c r="AB14" s="153">
        <f t="shared" si="15"/>
        <v>0.21283277814833412</v>
      </c>
      <c r="AC14" s="153"/>
      <c r="AD14" s="153">
        <f t="shared" si="16"/>
        <v>0.96344647519582249</v>
      </c>
      <c r="AE14" s="317">
        <f t="shared" si="17"/>
        <v>227.84057108863772</v>
      </c>
      <c r="AF14" s="463">
        <f t="shared" si="18"/>
        <v>6.9127284595300251E-2</v>
      </c>
      <c r="AH14" s="153">
        <f t="shared" si="19"/>
        <v>0.72111025509279791</v>
      </c>
      <c r="AI14" s="153">
        <f t="shared" si="20"/>
        <v>0.82</v>
      </c>
      <c r="AJ14" s="153">
        <f t="shared" si="21"/>
        <v>1.1301946120506501</v>
      </c>
      <c r="AL14" s="317">
        <f t="shared" si="22"/>
        <v>45</v>
      </c>
      <c r="AM14" s="147">
        <f t="shared" si="23"/>
        <v>227.84057108863772</v>
      </c>
      <c r="AO14">
        <f t="shared" si="53"/>
        <v>45</v>
      </c>
      <c r="AP14" s="147">
        <f t="shared" si="24"/>
        <v>227.84057108863772</v>
      </c>
      <c r="AQ14" s="147"/>
      <c r="AR14" s="5">
        <f t="shared" si="54"/>
        <v>4.389033942558747</v>
      </c>
      <c r="AS14" s="5">
        <f t="shared" si="25"/>
        <v>0.66486486486486485</v>
      </c>
      <c r="AT14" s="5">
        <f t="shared" si="55"/>
        <v>3.7241690776938823</v>
      </c>
      <c r="AU14" s="153">
        <f t="shared" si="56"/>
        <v>0.15148319050758074</v>
      </c>
      <c r="AW14" s="5">
        <f t="shared" si="26"/>
        <v>11.33051538024511</v>
      </c>
      <c r="AX14" s="5">
        <f t="shared" si="27"/>
        <v>0.2726657618699781</v>
      </c>
      <c r="AY14" s="5">
        <f t="shared" si="28"/>
        <v>0.45203804398448061</v>
      </c>
      <c r="AZ14" s="5">
        <f t="shared" si="29"/>
        <v>4.4629150227449392E-2</v>
      </c>
      <c r="BA14" s="5">
        <f t="shared" si="30"/>
        <v>0.55011668869433206</v>
      </c>
      <c r="BB14" s="147">
        <f t="shared" si="31"/>
        <v>14.123889683462052</v>
      </c>
      <c r="BC14" s="5"/>
      <c r="BD14" s="153">
        <f t="shared" si="57"/>
        <v>0.18426185832242228</v>
      </c>
      <c r="BE14" s="153">
        <f t="shared" si="32"/>
        <v>0.21804867627487495</v>
      </c>
      <c r="BF14" s="153">
        <f t="shared" si="33"/>
        <v>4.3666741444850776E-2</v>
      </c>
      <c r="BG14" s="153"/>
      <c r="BH14" s="463">
        <f t="shared" si="34"/>
        <v>3.7347675675675662E-3</v>
      </c>
      <c r="BI14" s="463">
        <f t="shared" si="35"/>
        <v>1.7524585365853655E-2</v>
      </c>
      <c r="BJ14" s="463">
        <f t="shared" si="36"/>
        <v>1.1392028554431886E-2</v>
      </c>
      <c r="BK14" s="463">
        <f t="shared" si="37"/>
        <v>1.8041774348602015E-2</v>
      </c>
      <c r="BL14">
        <f t="shared" si="38"/>
        <v>3.2190000000000001E-3</v>
      </c>
      <c r="BM14">
        <f t="shared" si="39"/>
        <v>1.3898274836406901E-5</v>
      </c>
      <c r="BN14">
        <f t="shared" si="40"/>
        <v>5.4467779552526657E-2</v>
      </c>
      <c r="BO14" s="147">
        <f t="shared" si="58"/>
        <v>54.467779552526657</v>
      </c>
      <c r="BP14" s="153">
        <f t="shared" si="41"/>
        <v>2.4454910414414412E-2</v>
      </c>
      <c r="BQ14" s="153">
        <f t="shared" si="42"/>
        <v>3.729356642325269E-3</v>
      </c>
      <c r="BR14" s="463"/>
      <c r="BT14" s="147">
        <f t="shared" si="59"/>
        <v>28.184267056739682</v>
      </c>
      <c r="BU14" s="463">
        <f t="shared" si="43"/>
        <v>2.8859567567567561E-3</v>
      </c>
      <c r="BV14" s="463">
        <f t="shared" si="60"/>
        <v>9.0335927927927915E-3</v>
      </c>
      <c r="BW14" s="463">
        <f t="shared" si="44"/>
        <v>9.5339215420572429E-5</v>
      </c>
      <c r="BX14" s="463">
        <f t="shared" si="45"/>
        <v>0</v>
      </c>
      <c r="BY14" s="463">
        <f t="shared" si="46"/>
        <v>1.3469622297855728E-2</v>
      </c>
      <c r="BZ14" s="463">
        <f t="shared" si="61"/>
        <v>1.201488876497012E-2</v>
      </c>
      <c r="CA14" s="549">
        <f t="shared" si="47"/>
        <v>7.6600000000000001E-2</v>
      </c>
      <c r="CB14" s="147">
        <f t="shared" si="62"/>
        <v>90.06962229785573</v>
      </c>
      <c r="CC14" s="153">
        <f t="shared" si="63"/>
        <v>0.17272166890712207</v>
      </c>
      <c r="CD14" s="5">
        <f t="shared" si="64"/>
        <v>0.81899999999999995</v>
      </c>
      <c r="CE14" s="153">
        <f t="shared" si="65"/>
        <v>0.82583654837605647</v>
      </c>
      <c r="CF14" s="5">
        <f t="shared" si="66"/>
        <v>82.58365483760565</v>
      </c>
      <c r="CG14">
        <f t="shared" si="67"/>
        <v>9</v>
      </c>
      <c r="CI14" s="59">
        <f t="shared" si="48"/>
        <v>-50</v>
      </c>
      <c r="CJ14">
        <f t="shared" si="49"/>
        <v>-50</v>
      </c>
    </row>
    <row r="15" spans="2:88" x14ac:dyDescent="0.25">
      <c r="E15" s="150">
        <v>10</v>
      </c>
      <c r="F15" s="191">
        <f t="shared" si="68"/>
        <v>0.05</v>
      </c>
      <c r="G15" s="191">
        <f t="shared" si="50"/>
        <v>1.0000000000000002E-2</v>
      </c>
      <c r="H15" s="191">
        <f t="shared" si="0"/>
        <v>0.75</v>
      </c>
      <c r="I15" s="191">
        <f t="shared" si="69"/>
        <v>0.16000000000000003</v>
      </c>
      <c r="J15" s="472">
        <f t="shared" si="1"/>
        <v>11.1</v>
      </c>
      <c r="K15" s="386">
        <f t="shared" si="2"/>
        <v>7.66</v>
      </c>
      <c r="L15" s="386">
        <f t="shared" si="3"/>
        <v>18.759999999999998</v>
      </c>
      <c r="M15" s="386"/>
      <c r="N15" s="191">
        <f t="shared" si="4"/>
        <v>0.40831556503198302</v>
      </c>
      <c r="O15" s="152">
        <f t="shared" si="51"/>
        <v>6.8918395170927162</v>
      </c>
      <c r="P15" s="152">
        <f t="shared" si="5"/>
        <v>1.7839143710021326</v>
      </c>
      <c r="Q15" s="191">
        <f t="shared" si="6"/>
        <v>0.45945596780618109</v>
      </c>
      <c r="R15" s="191">
        <f t="shared" si="7"/>
        <v>0.43073996981829477</v>
      </c>
      <c r="S15" s="386">
        <f t="shared" si="8"/>
        <v>15</v>
      </c>
      <c r="T15" s="191">
        <f t="shared" si="9"/>
        <v>0.44617986132346432</v>
      </c>
      <c r="U15" s="191">
        <f t="shared" si="10"/>
        <v>0.36176745512713326</v>
      </c>
      <c r="V15" s="191">
        <f t="shared" si="11"/>
        <v>0.52423221304323486</v>
      </c>
      <c r="W15" s="175">
        <f t="shared" si="12"/>
        <v>350</v>
      </c>
      <c r="X15" s="386">
        <f t="shared" si="52"/>
        <v>350</v>
      </c>
      <c r="Z15" s="191">
        <f t="shared" si="13"/>
        <v>1.4388262767793685</v>
      </c>
      <c r="AA15" s="153">
        <f t="shared" si="14"/>
        <v>1.6905269570514774</v>
      </c>
      <c r="AB15" s="153">
        <f t="shared" si="15"/>
        <v>0.21283277814833412</v>
      </c>
      <c r="AC15" s="153"/>
      <c r="AD15" s="153">
        <f t="shared" si="16"/>
        <v>0.96344647519582249</v>
      </c>
      <c r="AE15" s="317">
        <f t="shared" si="17"/>
        <v>253.15619009848641</v>
      </c>
      <c r="AF15" s="463">
        <f t="shared" si="18"/>
        <v>6.9127284595300251E-2</v>
      </c>
      <c r="AH15" s="153">
        <f t="shared" si="19"/>
        <v>0.76011695006609203</v>
      </c>
      <c r="AI15" s="153">
        <f t="shared" si="20"/>
        <v>0.82</v>
      </c>
      <c r="AJ15" s="153">
        <f t="shared" si="21"/>
        <v>1.144660680056278</v>
      </c>
      <c r="AL15" s="317">
        <f t="shared" si="22"/>
        <v>50</v>
      </c>
      <c r="AM15" s="147">
        <f t="shared" si="23"/>
        <v>253.15619009848641</v>
      </c>
      <c r="AO15">
        <f t="shared" si="53"/>
        <v>50</v>
      </c>
      <c r="AP15" s="147">
        <f t="shared" si="24"/>
        <v>253.15619009848641</v>
      </c>
      <c r="AQ15" s="147"/>
      <c r="AR15" s="5">
        <f t="shared" si="54"/>
        <v>3.9501305483028712</v>
      </c>
      <c r="AS15" s="5">
        <f t="shared" si="25"/>
        <v>0.66486486486486485</v>
      </c>
      <c r="AT15" s="5">
        <f t="shared" si="55"/>
        <v>3.2852656834380065</v>
      </c>
      <c r="AU15" s="153">
        <f t="shared" si="56"/>
        <v>0.1683146561195342</v>
      </c>
      <c r="AW15" s="5">
        <f t="shared" si="26"/>
        <v>11.33051538024511</v>
      </c>
      <c r="AX15" s="5">
        <f t="shared" si="27"/>
        <v>0.31995773070367672</v>
      </c>
      <c r="AY15" s="5">
        <f t="shared" si="28"/>
        <v>0.45203804398448061</v>
      </c>
      <c r="AZ15" s="5">
        <f t="shared" si="29"/>
        <v>5.2875494107962231E-2</v>
      </c>
      <c r="BA15" s="5">
        <f t="shared" si="30"/>
        <v>0.53920438851979646</v>
      </c>
      <c r="BB15" s="147">
        <f t="shared" si="31"/>
        <v>13.875929438204507</v>
      </c>
      <c r="BC15" s="5"/>
      <c r="BD15" s="153">
        <f t="shared" si="57"/>
        <v>0.19422905273136903</v>
      </c>
      <c r="BE15" s="153">
        <f t="shared" si="32"/>
        <v>0.21587520029429527</v>
      </c>
      <c r="BF15" s="153">
        <f t="shared" si="33"/>
        <v>4.3231478019720306E-2</v>
      </c>
      <c r="BG15" s="153"/>
      <c r="BH15" s="463">
        <f t="shared" si="34"/>
        <v>4.1497417417417429E-3</v>
      </c>
      <c r="BI15" s="463">
        <f t="shared" si="35"/>
        <v>1.9471761517615177E-2</v>
      </c>
      <c r="BJ15" s="463">
        <f t="shared" si="36"/>
        <v>1.265780950492432E-2</v>
      </c>
      <c r="BK15" s="463">
        <f t="shared" si="37"/>
        <v>2.0046415942891138E-2</v>
      </c>
      <c r="BL15">
        <f t="shared" si="38"/>
        <v>3.2190000000000001E-3</v>
      </c>
      <c r="BM15">
        <f t="shared" si="39"/>
        <v>1.5442527596007673E-5</v>
      </c>
      <c r="BN15">
        <f t="shared" si="40"/>
        <v>6.0166451450767974E-2</v>
      </c>
      <c r="BO15" s="147">
        <f t="shared" si="58"/>
        <v>60.166451450767973</v>
      </c>
      <c r="BP15" s="153">
        <f t="shared" si="41"/>
        <v>2.6220801201201207E-2</v>
      </c>
      <c r="BQ15" s="153">
        <f t="shared" si="42"/>
        <v>4.1055771937023892E-3</v>
      </c>
      <c r="BR15" s="463"/>
      <c r="BT15" s="147">
        <f t="shared" si="59"/>
        <v>30.326378394903596</v>
      </c>
      <c r="BU15" s="463">
        <f t="shared" si="43"/>
        <v>3.2066186186186199E-3</v>
      </c>
      <c r="BV15" s="463">
        <f t="shared" si="60"/>
        <v>8.8543993993993996E-3</v>
      </c>
      <c r="BW15" s="463">
        <f t="shared" si="44"/>
        <v>9.3448034588478E-5</v>
      </c>
      <c r="BX15" s="463">
        <f t="shared" si="45"/>
        <v>0</v>
      </c>
      <c r="BY15" s="463">
        <f t="shared" si="46"/>
        <v>1.3626251563883878E-2</v>
      </c>
      <c r="BZ15" s="463">
        <f t="shared" si="61"/>
        <v>1.2154466052606496E-2</v>
      </c>
      <c r="CA15" s="549">
        <f t="shared" si="47"/>
        <v>8.5111111111111137E-2</v>
      </c>
      <c r="CB15" s="147">
        <f t="shared" si="62"/>
        <v>98.737362674995012</v>
      </c>
      <c r="CC15" s="153">
        <f t="shared" si="63"/>
        <v>0.18923019252066658</v>
      </c>
      <c r="CD15" s="5">
        <f t="shared" si="64"/>
        <v>0.91</v>
      </c>
      <c r="CE15" s="153">
        <f t="shared" si="65"/>
        <v>0.82785207883824674</v>
      </c>
      <c r="CF15" s="5">
        <f t="shared" si="66"/>
        <v>82.785207883824668</v>
      </c>
      <c r="CG15">
        <f t="shared" si="67"/>
        <v>10</v>
      </c>
      <c r="CI15" s="59">
        <f t="shared" si="48"/>
        <v>-50</v>
      </c>
      <c r="CJ15">
        <f t="shared" si="49"/>
        <v>-50</v>
      </c>
    </row>
    <row r="16" spans="2:88" x14ac:dyDescent="0.25">
      <c r="E16" s="150">
        <v>11</v>
      </c>
      <c r="F16" s="191">
        <f t="shared" si="68"/>
        <v>5.5E-2</v>
      </c>
      <c r="G16" s="191">
        <f t="shared" si="50"/>
        <v>1.1000000000000001E-2</v>
      </c>
      <c r="H16" s="191">
        <f t="shared" si="0"/>
        <v>0.82499999999999996</v>
      </c>
      <c r="I16" s="191">
        <f t="shared" si="69"/>
        <v>0.17600000000000002</v>
      </c>
      <c r="J16" s="472">
        <f t="shared" si="1"/>
        <v>11.1</v>
      </c>
      <c r="K16" s="386">
        <f t="shared" si="2"/>
        <v>7.66</v>
      </c>
      <c r="L16" s="386">
        <f t="shared" si="3"/>
        <v>18.759999999999998</v>
      </c>
      <c r="M16" s="386"/>
      <c r="N16" s="191">
        <f t="shared" si="4"/>
        <v>0.40831556503198302</v>
      </c>
      <c r="O16" s="152">
        <f t="shared" si="51"/>
        <v>6.8918395170927162</v>
      </c>
      <c r="P16" s="152">
        <f t="shared" si="5"/>
        <v>1.7839143710021326</v>
      </c>
      <c r="Q16" s="191">
        <f t="shared" si="6"/>
        <v>0.45945596780618109</v>
      </c>
      <c r="R16" s="191">
        <f t="shared" si="7"/>
        <v>0.43073996981829477</v>
      </c>
      <c r="S16" s="386">
        <f t="shared" si="8"/>
        <v>15</v>
      </c>
      <c r="T16" s="191">
        <f t="shared" si="9"/>
        <v>0.49079784745581073</v>
      </c>
      <c r="U16" s="191">
        <f t="shared" si="10"/>
        <v>0.39794420063984659</v>
      </c>
      <c r="V16" s="191">
        <f t="shared" si="11"/>
        <v>0.57665543434755828</v>
      </c>
      <c r="W16" s="175">
        <f t="shared" si="12"/>
        <v>350</v>
      </c>
      <c r="X16" s="386">
        <f t="shared" si="52"/>
        <v>350</v>
      </c>
      <c r="Z16" s="191">
        <f t="shared" si="13"/>
        <v>1.4388262767793685</v>
      </c>
      <c r="AA16" s="153">
        <f t="shared" si="14"/>
        <v>1.6905269570514774</v>
      </c>
      <c r="AB16" s="153">
        <f t="shared" si="15"/>
        <v>0.21283277814833412</v>
      </c>
      <c r="AC16" s="153"/>
      <c r="AD16" s="153">
        <f t="shared" si="16"/>
        <v>0.96344647519582249</v>
      </c>
      <c r="AE16" s="317">
        <f t="shared" si="17"/>
        <v>278.47180910833498</v>
      </c>
      <c r="AF16" s="463">
        <f t="shared" si="18"/>
        <v>6.9127284595300251E-2</v>
      </c>
      <c r="AH16" s="153">
        <f t="shared" si="19"/>
        <v>0.79721738287342647</v>
      </c>
      <c r="AI16" s="153">
        <f t="shared" si="20"/>
        <v>0.82</v>
      </c>
      <c r="AJ16" s="153">
        <f t="shared" si="21"/>
        <v>1.1591267480619056</v>
      </c>
      <c r="AL16" s="317">
        <f t="shared" si="22"/>
        <v>55</v>
      </c>
      <c r="AM16" s="147">
        <f t="shared" si="23"/>
        <v>278.47180910833498</v>
      </c>
      <c r="AO16">
        <f t="shared" si="53"/>
        <v>55</v>
      </c>
      <c r="AP16" s="147">
        <f t="shared" si="24"/>
        <v>278.47180910833498</v>
      </c>
      <c r="AQ16" s="147"/>
      <c r="AR16" s="5">
        <f t="shared" si="54"/>
        <v>3.5910277711844292</v>
      </c>
      <c r="AS16" s="5">
        <f t="shared" si="25"/>
        <v>0.66486486486486485</v>
      </c>
      <c r="AT16" s="5">
        <f t="shared" si="55"/>
        <v>2.9261629063195644</v>
      </c>
      <c r="AU16" s="153">
        <f t="shared" si="56"/>
        <v>0.18514612173148759</v>
      </c>
      <c r="AW16" s="5">
        <f t="shared" si="26"/>
        <v>11.33051538024511</v>
      </c>
      <c r="AX16" s="5">
        <f t="shared" si="27"/>
        <v>0.37064885415144877</v>
      </c>
      <c r="AY16" s="5">
        <f t="shared" si="28"/>
        <v>0.45203804398448061</v>
      </c>
      <c r="AZ16" s="5">
        <f t="shared" si="29"/>
        <v>6.1779347870634299E-2</v>
      </c>
      <c r="BA16" s="5">
        <f t="shared" si="30"/>
        <v>0.5282920883452612</v>
      </c>
      <c r="BB16" s="147">
        <f t="shared" si="31"/>
        <v>13.627969192946962</v>
      </c>
      <c r="BC16" s="5"/>
      <c r="BD16" s="153">
        <f t="shared" si="57"/>
        <v>0.20370914907636675</v>
      </c>
      <c r="BE16" s="153">
        <f t="shared" si="32"/>
        <v>0.21367961760303433</v>
      </c>
      <c r="BF16" s="153">
        <f t="shared" si="33"/>
        <v>4.279178747292138E-2</v>
      </c>
      <c r="BG16" s="153"/>
      <c r="BH16" s="463">
        <f t="shared" si="34"/>
        <v>4.5647159159159156E-3</v>
      </c>
      <c r="BI16" s="463">
        <f t="shared" si="35"/>
        <v>2.1418937669376688E-2</v>
      </c>
      <c r="BJ16" s="463">
        <f t="shared" si="36"/>
        <v>1.3923590455416749E-2</v>
      </c>
      <c r="BK16" s="463">
        <f t="shared" si="37"/>
        <v>2.2051057537180244E-2</v>
      </c>
      <c r="BL16">
        <f t="shared" si="38"/>
        <v>3.2190000000000001E-3</v>
      </c>
      <c r="BM16">
        <f t="shared" si="39"/>
        <v>1.6986780355608436E-5</v>
      </c>
      <c r="BN16">
        <f t="shared" si="40"/>
        <v>6.5865996696348073E-2</v>
      </c>
      <c r="BO16" s="147">
        <f t="shared" si="58"/>
        <v>65.865996696348077</v>
      </c>
      <c r="BP16" s="153">
        <f t="shared" si="41"/>
        <v>2.7986691987987991E-2</v>
      </c>
      <c r="BQ16" s="153">
        <f t="shared" si="42"/>
        <v>4.4817977450795085E-3</v>
      </c>
      <c r="BR16" s="463"/>
      <c r="BT16" s="147">
        <f t="shared" si="59"/>
        <v>32.4684897330675</v>
      </c>
      <c r="BU16" s="463">
        <f t="shared" si="43"/>
        <v>3.5272804804804803E-3</v>
      </c>
      <c r="BV16" s="463">
        <f t="shared" si="60"/>
        <v>8.675206006006006E-3</v>
      </c>
      <c r="BW16" s="463">
        <f t="shared" si="44"/>
        <v>9.1556853756383572E-5</v>
      </c>
      <c r="BX16" s="463">
        <f t="shared" si="45"/>
        <v>0</v>
      </c>
      <c r="BY16" s="463">
        <f t="shared" si="46"/>
        <v>1.3782884331257779E-2</v>
      </c>
      <c r="BZ16" s="463">
        <f t="shared" si="61"/>
        <v>1.229404334024287E-2</v>
      </c>
      <c r="CA16" s="549">
        <f t="shared" si="47"/>
        <v>9.3622222222222218E-2</v>
      </c>
      <c r="CB16" s="147">
        <f t="shared" si="62"/>
        <v>107.40510655348</v>
      </c>
      <c r="CC16" s="153">
        <f t="shared" si="63"/>
        <v>0.20573959298289557</v>
      </c>
      <c r="CD16" s="5">
        <f t="shared" si="64"/>
        <v>1.0009999999999999</v>
      </c>
      <c r="CE16" s="153">
        <f t="shared" si="65"/>
        <v>0.82950787876750165</v>
      </c>
      <c r="CF16" s="5">
        <f t="shared" si="66"/>
        <v>82.950787876750169</v>
      </c>
      <c r="CG16">
        <f t="shared" si="67"/>
        <v>11</v>
      </c>
      <c r="CI16" s="59">
        <f t="shared" si="48"/>
        <v>-50</v>
      </c>
      <c r="CJ16">
        <f t="shared" si="49"/>
        <v>-50</v>
      </c>
    </row>
    <row r="17" spans="5:88" x14ac:dyDescent="0.25">
      <c r="E17" s="150">
        <v>12</v>
      </c>
      <c r="F17" s="191">
        <f t="shared" si="68"/>
        <v>0.06</v>
      </c>
      <c r="G17" s="191">
        <f t="shared" si="50"/>
        <v>1.2E-2</v>
      </c>
      <c r="H17" s="191">
        <f t="shared" si="0"/>
        <v>0.89999999999999991</v>
      </c>
      <c r="I17" s="191">
        <f t="shared" si="69"/>
        <v>0.192</v>
      </c>
      <c r="J17" s="472">
        <f t="shared" si="1"/>
        <v>11.1</v>
      </c>
      <c r="K17" s="386">
        <f t="shared" si="2"/>
        <v>7.66</v>
      </c>
      <c r="L17" s="386">
        <f t="shared" si="3"/>
        <v>18.759999999999998</v>
      </c>
      <c r="M17" s="386"/>
      <c r="N17" s="191">
        <f t="shared" si="4"/>
        <v>0.40831556503198302</v>
      </c>
      <c r="O17" s="152">
        <f t="shared" si="51"/>
        <v>6.8918395170927162</v>
      </c>
      <c r="P17" s="152">
        <f t="shared" si="5"/>
        <v>1.7839143710021326</v>
      </c>
      <c r="Q17" s="191">
        <f t="shared" si="6"/>
        <v>0.45945596780618109</v>
      </c>
      <c r="R17" s="191">
        <f t="shared" si="7"/>
        <v>0.43073996981829477</v>
      </c>
      <c r="S17" s="386">
        <f t="shared" si="8"/>
        <v>15</v>
      </c>
      <c r="T17" s="191">
        <f t="shared" si="9"/>
        <v>0.53541583358815714</v>
      </c>
      <c r="U17" s="191">
        <f t="shared" si="10"/>
        <v>0.43412094615255986</v>
      </c>
      <c r="V17" s="191">
        <f t="shared" si="11"/>
        <v>0.6290786556518817</v>
      </c>
      <c r="W17" s="175">
        <f t="shared" si="12"/>
        <v>350</v>
      </c>
      <c r="X17" s="386">
        <f t="shared" si="52"/>
        <v>350</v>
      </c>
      <c r="Z17" s="191">
        <f t="shared" si="13"/>
        <v>1.4388262767793685</v>
      </c>
      <c r="AA17" s="153">
        <f t="shared" si="14"/>
        <v>1.6905269570514774</v>
      </c>
      <c r="AB17" s="153">
        <f t="shared" si="15"/>
        <v>0.21283277814833412</v>
      </c>
      <c r="AC17" s="153"/>
      <c r="AD17" s="153">
        <f t="shared" si="16"/>
        <v>0.96344647519582249</v>
      </c>
      <c r="AE17" s="317">
        <f t="shared" si="17"/>
        <v>303.78742811818364</v>
      </c>
      <c r="AF17" s="463">
        <f t="shared" si="18"/>
        <v>6.9127284595300251E-2</v>
      </c>
      <c r="AH17" s="153">
        <f t="shared" si="19"/>
        <v>0.83266639978645307</v>
      </c>
      <c r="AI17" s="153">
        <f t="shared" si="20"/>
        <v>0.83266639978645307</v>
      </c>
      <c r="AJ17" s="153">
        <f t="shared" si="21"/>
        <v>1.1735928160675335</v>
      </c>
      <c r="AL17" s="317">
        <f t="shared" si="22"/>
        <v>60</v>
      </c>
      <c r="AM17" s="147">
        <f t="shared" si="23"/>
        <v>303.78742811818364</v>
      </c>
      <c r="AO17">
        <f t="shared" si="53"/>
        <v>60</v>
      </c>
      <c r="AP17" s="147">
        <f t="shared" si="24"/>
        <v>303.78742811818364</v>
      </c>
      <c r="AQ17" s="147"/>
      <c r="AR17" s="5">
        <f t="shared" si="54"/>
        <v>3.2917754569190598</v>
      </c>
      <c r="AS17" s="5">
        <f t="shared" si="25"/>
        <v>0.67513491874577269</v>
      </c>
      <c r="AT17" s="5">
        <f t="shared" si="55"/>
        <v>2.6166405381732871</v>
      </c>
      <c r="AU17" s="153">
        <f t="shared" si="56"/>
        <v>0.20509750059855716</v>
      </c>
      <c r="AW17" s="5">
        <f t="shared" si="26"/>
        <v>11.33051538024511</v>
      </c>
      <c r="AX17" s="5">
        <f t="shared" si="27"/>
        <v>0.42473913221329435</v>
      </c>
      <c r="AY17" s="5">
        <f t="shared" si="28"/>
        <v>0.45203804398448061</v>
      </c>
      <c r="AZ17" s="5">
        <f t="shared" si="29"/>
        <v>7.1340711515465588E-2</v>
      </c>
      <c r="BA17" s="5">
        <f t="shared" si="30"/>
        <v>0.51535706295218264</v>
      </c>
      <c r="BB17" s="147">
        <f t="shared" si="31"/>
        <v>13.3289811069489</v>
      </c>
      <c r="BC17" s="5"/>
      <c r="BD17" s="153">
        <f t="shared" si="57"/>
        <v>0.21771612537762178</v>
      </c>
      <c r="BE17" s="153">
        <f t="shared" si="32"/>
        <v>0.21430748928914428</v>
      </c>
      <c r="BF17" s="153">
        <f t="shared" si="33"/>
        <v>4.2917525959603804E-2</v>
      </c>
      <c r="BG17" s="153"/>
      <c r="BH17" s="463">
        <f t="shared" si="34"/>
        <v>5.2140342374388761E-3</v>
      </c>
      <c r="BI17" s="463">
        <f t="shared" si="35"/>
        <v>2.3727046185911749E-2</v>
      </c>
      <c r="BJ17" s="463">
        <f t="shared" si="36"/>
        <v>1.5189371405909181E-2</v>
      </c>
      <c r="BK17" s="463">
        <f t="shared" si="37"/>
        <v>2.4055699131469356E-2</v>
      </c>
      <c r="BL17">
        <f t="shared" si="38"/>
        <v>3.2190000000000001E-3</v>
      </c>
      <c r="BM17">
        <f t="shared" si="39"/>
        <v>1.8531033115209203E-5</v>
      </c>
      <c r="BN17">
        <f t="shared" si="40"/>
        <v>7.2197029386874015E-2</v>
      </c>
      <c r="BO17" s="147">
        <f t="shared" si="58"/>
        <v>72.197029386874021</v>
      </c>
      <c r="BP17" s="153">
        <f t="shared" si="41"/>
        <v>2.9937752554715671E-2</v>
      </c>
      <c r="BQ17" s="153">
        <f t="shared" si="42"/>
        <v>4.8654444644705714E-3</v>
      </c>
      <c r="BR17" s="463"/>
      <c r="BT17" s="147">
        <f t="shared" si="59"/>
        <v>34.803197019186243</v>
      </c>
      <c r="BU17" s="463">
        <f t="shared" si="43"/>
        <v>4.0290264562027681E-3</v>
      </c>
      <c r="BV17" s="463">
        <f t="shared" si="60"/>
        <v>8.7262629934291725E-3</v>
      </c>
      <c r="BW17" s="463">
        <f t="shared" si="44"/>
        <v>9.2095701724663326E-5</v>
      </c>
      <c r="BX17" s="463">
        <f t="shared" si="45"/>
        <v>0</v>
      </c>
      <c r="BY17" s="463">
        <f t="shared" si="46"/>
        <v>1.4403875540458636E-2</v>
      </c>
      <c r="BZ17" s="463">
        <f t="shared" si="61"/>
        <v>1.2847385151356604E-2</v>
      </c>
      <c r="CA17" s="549">
        <f t="shared" si="47"/>
        <v>0.10531297508097033</v>
      </c>
      <c r="CB17" s="147">
        <f t="shared" si="62"/>
        <v>119.71685062142896</v>
      </c>
      <c r="CC17" s="153">
        <f t="shared" si="63"/>
        <v>0.22671707702748922</v>
      </c>
      <c r="CD17" s="5">
        <f t="shared" si="64"/>
        <v>1.0919999999999999</v>
      </c>
      <c r="CE17" s="153">
        <f t="shared" si="65"/>
        <v>0.8280775452316651</v>
      </c>
      <c r="CF17" s="5">
        <f t="shared" si="66"/>
        <v>82.807754523166508</v>
      </c>
      <c r="CG17">
        <f t="shared" si="67"/>
        <v>12</v>
      </c>
      <c r="CI17" s="59">
        <f t="shared" si="48"/>
        <v>-50</v>
      </c>
      <c r="CJ17">
        <f t="shared" si="49"/>
        <v>-50</v>
      </c>
    </row>
    <row r="18" spans="5:88" x14ac:dyDescent="0.25">
      <c r="E18" s="150">
        <v>13</v>
      </c>
      <c r="F18" s="191">
        <f t="shared" si="68"/>
        <v>6.5000000000000002E-2</v>
      </c>
      <c r="G18" s="191">
        <f t="shared" si="50"/>
        <v>1.3000000000000001E-2</v>
      </c>
      <c r="H18" s="191">
        <f t="shared" si="0"/>
        <v>0.97500000000000009</v>
      </c>
      <c r="I18" s="191">
        <f t="shared" si="69"/>
        <v>0.20800000000000002</v>
      </c>
      <c r="J18" s="472">
        <f t="shared" si="1"/>
        <v>11.1</v>
      </c>
      <c r="K18" s="386">
        <f t="shared" si="2"/>
        <v>7.66</v>
      </c>
      <c r="L18" s="386">
        <f t="shared" si="3"/>
        <v>18.759999999999998</v>
      </c>
      <c r="M18" s="386"/>
      <c r="N18" s="191">
        <f t="shared" si="4"/>
        <v>0.40831556503198302</v>
      </c>
      <c r="O18" s="152">
        <f t="shared" si="51"/>
        <v>6.8918395170927162</v>
      </c>
      <c r="P18" s="152">
        <f t="shared" si="5"/>
        <v>1.7839143710021326</v>
      </c>
      <c r="Q18" s="191">
        <f t="shared" si="6"/>
        <v>0.45945596780618109</v>
      </c>
      <c r="R18" s="191">
        <f t="shared" si="7"/>
        <v>0.43073996981829477</v>
      </c>
      <c r="S18" s="386">
        <f t="shared" si="8"/>
        <v>15</v>
      </c>
      <c r="T18" s="191">
        <f t="shared" si="9"/>
        <v>0.58003381972050361</v>
      </c>
      <c r="U18" s="191">
        <f t="shared" si="10"/>
        <v>0.47029769166527319</v>
      </c>
      <c r="V18" s="191">
        <f t="shared" si="11"/>
        <v>0.68150187695620534</v>
      </c>
      <c r="W18" s="175">
        <f t="shared" si="12"/>
        <v>350</v>
      </c>
      <c r="X18" s="386">
        <f t="shared" si="52"/>
        <v>350</v>
      </c>
      <c r="Z18" s="191">
        <f t="shared" si="13"/>
        <v>1.4388262767793685</v>
      </c>
      <c r="AA18" s="153">
        <f t="shared" si="14"/>
        <v>1.6905269570514774</v>
      </c>
      <c r="AB18" s="153">
        <f t="shared" si="15"/>
        <v>0.21283277814833412</v>
      </c>
      <c r="AC18" s="153"/>
      <c r="AD18" s="153">
        <f t="shared" si="16"/>
        <v>0.96344647519582249</v>
      </c>
      <c r="AE18" s="317">
        <f t="shared" si="17"/>
        <v>329.1030471280323</v>
      </c>
      <c r="AF18" s="463">
        <f t="shared" si="18"/>
        <v>6.9127284595300251E-2</v>
      </c>
      <c r="AH18" s="153">
        <f t="shared" si="19"/>
        <v>0.8666666666666667</v>
      </c>
      <c r="AI18" s="153">
        <f t="shared" si="20"/>
        <v>0.8666666666666667</v>
      </c>
      <c r="AJ18" s="153">
        <f t="shared" si="21"/>
        <v>1.1880588840731614</v>
      </c>
      <c r="AL18" s="317">
        <f t="shared" si="22"/>
        <v>65</v>
      </c>
      <c r="AM18" s="147">
        <f t="shared" si="23"/>
        <v>329.1030471280323</v>
      </c>
      <c r="AO18">
        <f t="shared" si="53"/>
        <v>65</v>
      </c>
      <c r="AP18" s="147">
        <f t="shared" si="24"/>
        <v>329.1030471280323</v>
      </c>
      <c r="AQ18" s="147"/>
      <c r="AR18" s="5">
        <f t="shared" si="54"/>
        <v>3.0385619602329781</v>
      </c>
      <c r="AS18" s="5">
        <f t="shared" si="25"/>
        <v>0.70270270270270263</v>
      </c>
      <c r="AT18" s="5">
        <f t="shared" si="55"/>
        <v>2.3358592575302755</v>
      </c>
      <c r="AU18" s="153">
        <f t="shared" si="56"/>
        <v>0.23126160068456322</v>
      </c>
      <c r="AW18" s="5">
        <f t="shared" si="26"/>
        <v>11.33051538024511</v>
      </c>
      <c r="AX18" s="5">
        <f t="shared" si="27"/>
        <v>0.48222856488921356</v>
      </c>
      <c r="AY18" s="5">
        <f t="shared" si="28"/>
        <v>0.45203804398448061</v>
      </c>
      <c r="AZ18" s="5">
        <f t="shared" si="29"/>
        <v>8.1559585042456167E-2</v>
      </c>
      <c r="BA18" s="5">
        <f t="shared" si="30"/>
        <v>0.49839416022478628</v>
      </c>
      <c r="BB18" s="147">
        <f t="shared" si="31"/>
        <v>12.928380660925997</v>
      </c>
      <c r="BC18" s="5"/>
      <c r="BD18" s="153">
        <f t="shared" si="57"/>
        <v>0.24062637556144756</v>
      </c>
      <c r="BE18" s="153">
        <f t="shared" si="32"/>
        <v>0.2193566261562046</v>
      </c>
      <c r="BF18" s="153">
        <f t="shared" si="33"/>
        <v>4.3928673368798098E-2</v>
      </c>
      <c r="BG18" s="153"/>
      <c r="BH18" s="463">
        <f t="shared" si="34"/>
        <v>6.3691157877422688E-3</v>
      </c>
      <c r="BI18" s="463">
        <f t="shared" si="35"/>
        <v>2.6753883711194838E-2</v>
      </c>
      <c r="BJ18" s="463">
        <f t="shared" si="36"/>
        <v>1.6455152356401614E-2</v>
      </c>
      <c r="BK18" s="463">
        <f t="shared" si="37"/>
        <v>2.6060340725758475E-2</v>
      </c>
      <c r="BL18">
        <f t="shared" si="38"/>
        <v>3.2190000000000001E-3</v>
      </c>
      <c r="BM18">
        <f t="shared" si="39"/>
        <v>2.0075285874809973E-5</v>
      </c>
      <c r="BN18">
        <f t="shared" si="40"/>
        <v>7.9831208299903061E-2</v>
      </c>
      <c r="BO18" s="147">
        <f t="shared" si="58"/>
        <v>79.831208299903068</v>
      </c>
      <c r="BP18" s="153">
        <f t="shared" si="41"/>
        <v>3.2182327938223114E-2</v>
      </c>
      <c r="BQ18" s="153">
        <f t="shared" si="42"/>
        <v>5.2608624909544219E-3</v>
      </c>
      <c r="BR18" s="463"/>
      <c r="BT18" s="147">
        <f t="shared" si="59"/>
        <v>37.443190429177534</v>
      </c>
      <c r="BU18" s="463">
        <f t="shared" si="43"/>
        <v>4.9215894723462989E-3</v>
      </c>
      <c r="BV18" s="463">
        <f t="shared" si="60"/>
        <v>9.1422925933402534E-3</v>
      </c>
      <c r="BW18" s="463">
        <f t="shared" si="44"/>
        <v>9.6486417197127564E-5</v>
      </c>
      <c r="BX18" s="463">
        <f t="shared" si="45"/>
        <v>0</v>
      </c>
      <c r="BY18" s="463">
        <f t="shared" si="46"/>
        <v>1.5877599313381809E-2</v>
      </c>
      <c r="BZ18" s="463">
        <f t="shared" si="61"/>
        <v>1.4160368482883681E-2</v>
      </c>
      <c r="CA18" s="549">
        <f t="shared" si="47"/>
        <v>0.12359647769919439</v>
      </c>
      <c r="CB18" s="147">
        <f t="shared" si="62"/>
        <v>139.4740770125762</v>
      </c>
      <c r="CC18" s="153">
        <f t="shared" si="63"/>
        <v>0.25674847574165682</v>
      </c>
      <c r="CD18" s="5">
        <f t="shared" si="64"/>
        <v>1.1830000000000001</v>
      </c>
      <c r="CE18" s="153">
        <f t="shared" si="65"/>
        <v>0.82167129879446599</v>
      </c>
      <c r="CF18" s="5">
        <f t="shared" si="66"/>
        <v>82.167129879446605</v>
      </c>
      <c r="CG18">
        <f t="shared" si="67"/>
        <v>13</v>
      </c>
      <c r="CI18" s="59">
        <f t="shared" si="48"/>
        <v>-50</v>
      </c>
      <c r="CJ18">
        <f t="shared" si="49"/>
        <v>-50</v>
      </c>
    </row>
    <row r="19" spans="5:88" x14ac:dyDescent="0.25">
      <c r="E19" s="150">
        <v>14</v>
      </c>
      <c r="F19" s="191">
        <f t="shared" si="68"/>
        <v>7.0000000000000007E-2</v>
      </c>
      <c r="G19" s="191">
        <f t="shared" si="50"/>
        <v>1.4000000000000002E-2</v>
      </c>
      <c r="H19" s="191">
        <f t="shared" si="0"/>
        <v>1.05</v>
      </c>
      <c r="I19" s="191">
        <f t="shared" si="69"/>
        <v>0.22400000000000003</v>
      </c>
      <c r="J19" s="472">
        <f t="shared" si="1"/>
        <v>11.1</v>
      </c>
      <c r="K19" s="386">
        <f t="shared" si="2"/>
        <v>7.66</v>
      </c>
      <c r="L19" s="386">
        <f t="shared" si="3"/>
        <v>18.759999999999998</v>
      </c>
      <c r="M19" s="386"/>
      <c r="N19" s="191">
        <f t="shared" si="4"/>
        <v>0.40831556503198302</v>
      </c>
      <c r="O19" s="152">
        <f t="shared" si="51"/>
        <v>6.8918395170927162</v>
      </c>
      <c r="P19" s="152">
        <f t="shared" si="5"/>
        <v>1.7839143710021326</v>
      </c>
      <c r="Q19" s="191">
        <f t="shared" si="6"/>
        <v>0.45945596780618109</v>
      </c>
      <c r="R19" s="191">
        <f t="shared" si="7"/>
        <v>0.43073996981829477</v>
      </c>
      <c r="S19" s="386">
        <f t="shared" si="8"/>
        <v>15</v>
      </c>
      <c r="T19" s="191">
        <f t="shared" si="9"/>
        <v>0.62465180585285007</v>
      </c>
      <c r="U19" s="191">
        <f t="shared" si="10"/>
        <v>0.50647443717798657</v>
      </c>
      <c r="V19" s="191">
        <f t="shared" si="11"/>
        <v>0.73392509826052876</v>
      </c>
      <c r="W19" s="175">
        <f t="shared" si="12"/>
        <v>350</v>
      </c>
      <c r="X19" s="386">
        <f t="shared" si="52"/>
        <v>350</v>
      </c>
      <c r="Z19" s="191">
        <f t="shared" si="13"/>
        <v>1.4388262767793685</v>
      </c>
      <c r="AA19" s="153">
        <f t="shared" si="14"/>
        <v>1.6905269570514774</v>
      </c>
      <c r="AB19" s="153">
        <f t="shared" si="15"/>
        <v>0.21283277814833412</v>
      </c>
      <c r="AC19" s="153"/>
      <c r="AD19" s="153">
        <f t="shared" si="16"/>
        <v>0.96344647519582249</v>
      </c>
      <c r="AE19" s="317">
        <f t="shared" si="17"/>
        <v>354.41866613788096</v>
      </c>
      <c r="AF19" s="463">
        <f t="shared" si="18"/>
        <v>6.9127284595300251E-2</v>
      </c>
      <c r="AH19" s="153">
        <f t="shared" si="19"/>
        <v>0.89938250421546939</v>
      </c>
      <c r="AI19" s="153">
        <f t="shared" si="20"/>
        <v>0.89938250421546939</v>
      </c>
      <c r="AJ19" s="153">
        <f t="shared" si="21"/>
        <v>1.2588018549744218</v>
      </c>
      <c r="AL19" s="317">
        <f t="shared" si="22"/>
        <v>70</v>
      </c>
      <c r="AM19" s="147">
        <f t="shared" si="23"/>
        <v>350</v>
      </c>
      <c r="AO19">
        <f t="shared" si="53"/>
        <v>70</v>
      </c>
      <c r="AP19" s="147">
        <f t="shared" si="24"/>
        <v>350</v>
      </c>
      <c r="AQ19" s="147"/>
      <c r="AR19" s="5">
        <f t="shared" si="54"/>
        <v>2.8571428571428572</v>
      </c>
      <c r="AS19" s="5">
        <f t="shared" si="25"/>
        <v>0.72922905747200228</v>
      </c>
      <c r="AT19" s="5">
        <f t="shared" si="55"/>
        <v>2.1279137996708548</v>
      </c>
      <c r="AU19" s="153">
        <f t="shared" si="56"/>
        <v>0.25523017011520077</v>
      </c>
      <c r="AW19" s="5">
        <f t="shared" si="26"/>
        <v>11.33051538024511</v>
      </c>
      <c r="AX19" s="5">
        <f t="shared" si="27"/>
        <v>0.54311715217920631</v>
      </c>
      <c r="AY19" s="5">
        <f t="shared" si="28"/>
        <v>0.45203804398448061</v>
      </c>
      <c r="AZ19" s="5">
        <f t="shared" si="29"/>
        <v>9.2435968451605982E-2</v>
      </c>
      <c r="BA19" s="5">
        <f t="shared" si="30"/>
        <v>0.48895060479951463</v>
      </c>
      <c r="BB19" s="147">
        <f t="shared" si="31"/>
        <v>12.717472840024886</v>
      </c>
      <c r="BC19" s="5"/>
      <c r="BD19" s="153">
        <f t="shared" si="57"/>
        <v>0.26233111946253912</v>
      </c>
      <c r="BE19" s="153">
        <f t="shared" si="32"/>
        <v>0.22406026722243766</v>
      </c>
      <c r="BF19" s="153">
        <f t="shared" si="33"/>
        <v>4.4870631292127386E-2</v>
      </c>
      <c r="BG19" s="153"/>
      <c r="BH19" s="463">
        <f t="shared" si="34"/>
        <v>7.5699377862315865E-3</v>
      </c>
      <c r="BI19" s="463">
        <f t="shared" si="35"/>
        <v>2.9526727613393856E-2</v>
      </c>
      <c r="BJ19" s="463">
        <f t="shared" si="36"/>
        <v>1.7499999999999998E-2</v>
      </c>
      <c r="BK19" s="463">
        <f t="shared" si="37"/>
        <v>2.7715085999999993E-2</v>
      </c>
      <c r="BL19">
        <f t="shared" si="38"/>
        <v>3.2190000000000001E-3</v>
      </c>
      <c r="BM19">
        <f t="shared" si="39"/>
        <v>2.1350000000000001E-5</v>
      </c>
      <c r="BN19">
        <f t="shared" si="40"/>
        <v>8.6695126053871918E-2</v>
      </c>
      <c r="BO19" s="147">
        <f t="shared" si="58"/>
        <v>86.695126053871917</v>
      </c>
      <c r="BP19" s="153">
        <f t="shared" si="41"/>
        <v>3.4411018911542343E-2</v>
      </c>
      <c r="BQ19" s="153">
        <f t="shared" si="42"/>
        <v>5.6556434788302577E-3</v>
      </c>
      <c r="BR19" s="463"/>
      <c r="BT19" s="147">
        <f t="shared" si="59"/>
        <v>40.066662390372599</v>
      </c>
      <c r="BU19" s="463">
        <f t="shared" si="43"/>
        <v>5.8494973802698629E-3</v>
      </c>
      <c r="BV19" s="463">
        <f t="shared" si="60"/>
        <v>9.5385706360801327E-3</v>
      </c>
      <c r="BW19" s="463">
        <f t="shared" si="44"/>
        <v>1.0066867762770207E-4</v>
      </c>
      <c r="BX19" s="463">
        <f t="shared" si="45"/>
        <v>0</v>
      </c>
      <c r="BY19" s="463">
        <f t="shared" si="46"/>
        <v>1.7368906891295142E-2</v>
      </c>
      <c r="BZ19" s="463">
        <f t="shared" si="61"/>
        <v>1.5488736693977698E-2</v>
      </c>
      <c r="CA19" s="549">
        <f t="shared" si="47"/>
        <v>0.14155555555555555</v>
      </c>
      <c r="CB19" s="147">
        <f t="shared" si="62"/>
        <v>158.9244624468507</v>
      </c>
      <c r="CC19" s="153">
        <f t="shared" si="63"/>
        <v>0.28568625089109523</v>
      </c>
      <c r="CD19" s="5">
        <f t="shared" si="64"/>
        <v>1.274</v>
      </c>
      <c r="CE19" s="153">
        <f t="shared" si="65"/>
        <v>0.81683094870659145</v>
      </c>
      <c r="CF19" s="5">
        <f t="shared" si="66"/>
        <v>81.683094870659147</v>
      </c>
      <c r="CG19">
        <f t="shared" si="67"/>
        <v>14.000000000000002</v>
      </c>
      <c r="CI19" s="59">
        <f t="shared" si="48"/>
        <v>-50</v>
      </c>
      <c r="CJ19">
        <f t="shared" si="49"/>
        <v>-50</v>
      </c>
    </row>
    <row r="20" spans="5:88" x14ac:dyDescent="0.25">
      <c r="E20" s="150">
        <v>15</v>
      </c>
      <c r="F20" s="191">
        <f t="shared" si="68"/>
        <v>7.4999999999999997E-2</v>
      </c>
      <c r="G20" s="191">
        <f t="shared" si="50"/>
        <v>1.4999999999999999E-2</v>
      </c>
      <c r="H20" s="191">
        <f t="shared" si="0"/>
        <v>1.125</v>
      </c>
      <c r="I20" s="191">
        <f t="shared" si="69"/>
        <v>0.24</v>
      </c>
      <c r="J20" s="472">
        <f t="shared" si="1"/>
        <v>11.1</v>
      </c>
      <c r="K20" s="386">
        <f t="shared" si="2"/>
        <v>7.66</v>
      </c>
      <c r="L20" s="386">
        <f t="shared" si="3"/>
        <v>18.759999999999998</v>
      </c>
      <c r="M20" s="386"/>
      <c r="N20" s="191">
        <f t="shared" si="4"/>
        <v>0.40831556503198302</v>
      </c>
      <c r="O20" s="152">
        <f t="shared" si="51"/>
        <v>6.8918395170927162</v>
      </c>
      <c r="P20" s="152">
        <f t="shared" si="5"/>
        <v>1.7839143710021326</v>
      </c>
      <c r="Q20" s="191">
        <f t="shared" si="6"/>
        <v>0.45945596780618109</v>
      </c>
      <c r="R20" s="191">
        <f t="shared" si="7"/>
        <v>0.43073996981829477</v>
      </c>
      <c r="S20" s="386">
        <f t="shared" si="8"/>
        <v>15</v>
      </c>
      <c r="T20" s="191">
        <f t="shared" si="9"/>
        <v>0.66926979198519654</v>
      </c>
      <c r="U20" s="191">
        <f t="shared" si="10"/>
        <v>0.5426511826906999</v>
      </c>
      <c r="V20" s="191">
        <f t="shared" si="11"/>
        <v>0.78634831956485229</v>
      </c>
      <c r="W20" s="175">
        <f t="shared" si="12"/>
        <v>350</v>
      </c>
      <c r="X20" s="386">
        <f t="shared" si="52"/>
        <v>350</v>
      </c>
      <c r="Z20" s="191">
        <f t="shared" si="13"/>
        <v>1.4388262767793685</v>
      </c>
      <c r="AA20" s="153">
        <f t="shared" si="14"/>
        <v>1.6905269570514774</v>
      </c>
      <c r="AB20" s="153">
        <f t="shared" si="15"/>
        <v>0.21283277814833412</v>
      </c>
      <c r="AC20" s="153"/>
      <c r="AD20" s="153">
        <f t="shared" si="16"/>
        <v>0.96344647519582249</v>
      </c>
      <c r="AE20" s="317">
        <f t="shared" si="17"/>
        <v>379.73428514772957</v>
      </c>
      <c r="AF20" s="463">
        <f t="shared" si="18"/>
        <v>6.9127284595300251E-2</v>
      </c>
      <c r="AH20" s="153">
        <f t="shared" si="19"/>
        <v>0.93094933625126275</v>
      </c>
      <c r="AI20" s="153">
        <f t="shared" si="20"/>
        <v>0.93094933625126275</v>
      </c>
      <c r="AJ20" s="153">
        <f t="shared" si="21"/>
        <v>1.2821846935194539</v>
      </c>
      <c r="AL20" s="317">
        <f t="shared" si="22"/>
        <v>75</v>
      </c>
      <c r="AM20" s="147">
        <f t="shared" si="23"/>
        <v>350</v>
      </c>
      <c r="AO20">
        <f t="shared" si="53"/>
        <v>75</v>
      </c>
      <c r="AP20" s="147">
        <f t="shared" si="24"/>
        <v>350</v>
      </c>
      <c r="AQ20" s="147"/>
      <c r="AR20" s="5">
        <f t="shared" si="54"/>
        <v>2.8571428571428572</v>
      </c>
      <c r="AS20" s="5">
        <f t="shared" si="25"/>
        <v>0.7548237861496726</v>
      </c>
      <c r="AT20" s="5">
        <f t="shared" si="55"/>
        <v>2.1023190709931847</v>
      </c>
      <c r="AU20" s="153">
        <f t="shared" si="56"/>
        <v>0.26418832515238538</v>
      </c>
      <c r="AW20" s="5">
        <f t="shared" si="26"/>
        <v>11.33051538024511</v>
      </c>
      <c r="AX20" s="5">
        <f t="shared" si="27"/>
        <v>0.60740489408327247</v>
      </c>
      <c r="AY20" s="5">
        <f t="shared" si="28"/>
        <v>0.45203804398448061</v>
      </c>
      <c r="AZ20" s="5">
        <f t="shared" si="29"/>
        <v>0.10396986174291498</v>
      </c>
      <c r="BA20" s="5">
        <f t="shared" si="30"/>
        <v>0.51757442702264378</v>
      </c>
      <c r="BB20" s="147">
        <f t="shared" si="31"/>
        <v>13.46690113707206</v>
      </c>
      <c r="BC20" s="5"/>
      <c r="BD20" s="153">
        <f t="shared" si="57"/>
        <v>0.27626268606290122</v>
      </c>
      <c r="BE20" s="153">
        <f t="shared" si="32"/>
        <v>0.23052538752716575</v>
      </c>
      <c r="BF20" s="153">
        <f t="shared" si="33"/>
        <v>4.6165345580603652E-2</v>
      </c>
      <c r="BG20" s="153"/>
      <c r="BH20" s="463">
        <f t="shared" si="34"/>
        <v>8.3953178881758014E-3</v>
      </c>
      <c r="BI20" s="463">
        <f t="shared" si="35"/>
        <v>3.056306670912896E-2</v>
      </c>
      <c r="BJ20" s="463">
        <f t="shared" si="36"/>
        <v>1.7499999999999998E-2</v>
      </c>
      <c r="BK20" s="463">
        <f t="shared" si="37"/>
        <v>2.7715085999999993E-2</v>
      </c>
      <c r="BL20">
        <f t="shared" si="38"/>
        <v>3.2190000000000001E-3</v>
      </c>
      <c r="BM20">
        <f t="shared" si="39"/>
        <v>2.1350000000000001E-5</v>
      </c>
      <c r="BN20">
        <f t="shared" si="40"/>
        <v>8.8684555225777048E-2</v>
      </c>
      <c r="BO20" s="147">
        <f t="shared" si="58"/>
        <v>88.684555225777046</v>
      </c>
      <c r="BP20" s="153">
        <f t="shared" si="41"/>
        <v>3.6770090616207229E-2</v>
      </c>
      <c r="BQ20" s="153">
        <f t="shared" si="42"/>
        <v>6.0556533394576983E-3</v>
      </c>
      <c r="BR20" s="463"/>
      <c r="BT20" s="147">
        <f t="shared" si="59"/>
        <v>42.825743955664926</v>
      </c>
      <c r="BU20" s="463">
        <f t="shared" si="43"/>
        <v>6.4872910954085743E-3</v>
      </c>
      <c r="BV20" s="463">
        <f t="shared" si="60"/>
        <v>1.009697131596449E-2</v>
      </c>
      <c r="BW20" s="463">
        <f t="shared" si="44"/>
        <v>1.0656195662882807E-4</v>
      </c>
      <c r="BX20" s="463">
        <f t="shared" si="45"/>
        <v>0</v>
      </c>
      <c r="BY20" s="463">
        <f t="shared" si="46"/>
        <v>1.8718717758602364E-2</v>
      </c>
      <c r="BZ20" s="463">
        <f t="shared" si="61"/>
        <v>1.6690824368001893E-2</v>
      </c>
      <c r="CA20" s="549">
        <f t="shared" si="47"/>
        <v>0.1516666666666667</v>
      </c>
      <c r="CB20" s="147">
        <f t="shared" si="62"/>
        <v>170.38538442526908</v>
      </c>
      <c r="CC20" s="153">
        <f t="shared" si="63"/>
        <v>0.30189568360671104</v>
      </c>
      <c r="CD20" s="5">
        <f t="shared" si="64"/>
        <v>1.365</v>
      </c>
      <c r="CE20" s="153">
        <f t="shared" si="65"/>
        <v>0.81888747653752958</v>
      </c>
      <c r="CF20" s="5">
        <f t="shared" si="66"/>
        <v>81.888747653752958</v>
      </c>
      <c r="CG20">
        <f t="shared" si="67"/>
        <v>15</v>
      </c>
      <c r="CI20" s="59">
        <f t="shared" si="48"/>
        <v>-50</v>
      </c>
      <c r="CJ20">
        <f t="shared" si="49"/>
        <v>-50</v>
      </c>
    </row>
    <row r="21" spans="5:88" s="59" customFormat="1" x14ac:dyDescent="0.25">
      <c r="E21" s="150">
        <v>16</v>
      </c>
      <c r="F21" s="191">
        <f t="shared" si="68"/>
        <v>0.08</v>
      </c>
      <c r="G21" s="191">
        <f t="shared" si="50"/>
        <v>1.6E-2</v>
      </c>
      <c r="H21" s="191">
        <f t="shared" si="0"/>
        <v>1.2</v>
      </c>
      <c r="I21" s="191">
        <f t="shared" si="69"/>
        <v>0.25600000000000001</v>
      </c>
      <c r="J21" s="472">
        <f t="shared" si="1"/>
        <v>11.1</v>
      </c>
      <c r="K21" s="386">
        <f t="shared" si="2"/>
        <v>7.66</v>
      </c>
      <c r="L21" s="386">
        <f t="shared" si="3"/>
        <v>18.759999999999998</v>
      </c>
      <c r="M21" s="386"/>
      <c r="N21" s="191">
        <f t="shared" si="4"/>
        <v>0.40831556503198302</v>
      </c>
      <c r="O21" s="152">
        <f t="shared" si="51"/>
        <v>6.8918395170927162</v>
      </c>
      <c r="P21" s="152">
        <f t="shared" si="5"/>
        <v>1.7839143710021326</v>
      </c>
      <c r="Q21" s="191">
        <f t="shared" si="6"/>
        <v>0.45945596780618109</v>
      </c>
      <c r="R21" s="191">
        <f t="shared" si="7"/>
        <v>0.43073996981829477</v>
      </c>
      <c r="S21" s="386">
        <f t="shared" si="8"/>
        <v>15</v>
      </c>
      <c r="T21" s="191">
        <f t="shared" si="9"/>
        <v>0.71388777811754289</v>
      </c>
      <c r="U21" s="191">
        <f t="shared" si="10"/>
        <v>0.57882792820341322</v>
      </c>
      <c r="V21" s="191">
        <f t="shared" si="11"/>
        <v>0.83877154086917571</v>
      </c>
      <c r="W21" s="175">
        <f t="shared" si="12"/>
        <v>350</v>
      </c>
      <c r="X21" s="386">
        <f t="shared" si="52"/>
        <v>350</v>
      </c>
      <c r="Z21" s="191">
        <f t="shared" si="13"/>
        <v>1.4388262767793685</v>
      </c>
      <c r="AA21" s="153">
        <f t="shared" si="14"/>
        <v>1.6905269570514774</v>
      </c>
      <c r="AB21" s="153">
        <f t="shared" si="15"/>
        <v>0.21283277814833412</v>
      </c>
      <c r="AC21" s="469"/>
      <c r="AD21" s="153">
        <f t="shared" si="16"/>
        <v>0.96344647519582249</v>
      </c>
      <c r="AE21" s="317">
        <f t="shared" si="17"/>
        <v>405.04990415757817</v>
      </c>
      <c r="AF21" s="463">
        <f t="shared" si="18"/>
        <v>6.9127284595300251E-2</v>
      </c>
      <c r="AG21"/>
      <c r="AH21" s="153">
        <f t="shared" si="19"/>
        <v>0.9614803401237304</v>
      </c>
      <c r="AI21" s="153">
        <f t="shared" si="20"/>
        <v>0.9614803401237304</v>
      </c>
      <c r="AJ21" s="153">
        <f t="shared" si="21"/>
        <v>1.304800251943504</v>
      </c>
      <c r="AL21" s="317">
        <f t="shared" si="22"/>
        <v>80</v>
      </c>
      <c r="AM21" s="147">
        <f t="shared" si="23"/>
        <v>350</v>
      </c>
      <c r="AO21">
        <f t="shared" si="53"/>
        <v>80</v>
      </c>
      <c r="AP21" s="147">
        <f t="shared" si="24"/>
        <v>350</v>
      </c>
      <c r="AQ21" s="147"/>
      <c r="AR21" s="5">
        <f t="shared" si="54"/>
        <v>2.8571428571428572</v>
      </c>
      <c r="AS21" s="5">
        <f t="shared" si="25"/>
        <v>0.77957865415437599</v>
      </c>
      <c r="AT21" s="5">
        <f t="shared" si="55"/>
        <v>2.0775642029884813</v>
      </c>
      <c r="AU21" s="153">
        <f t="shared" si="56"/>
        <v>0.27285252895403161</v>
      </c>
      <c r="AW21" s="5">
        <f t="shared" si="26"/>
        <v>11.33051538024511</v>
      </c>
      <c r="AX21" s="5">
        <f t="shared" si="27"/>
        <v>0.67509179060141222</v>
      </c>
      <c r="AY21" s="5">
        <f t="shared" si="28"/>
        <v>0.45203804398448061</v>
      </c>
      <c r="AZ21" s="5">
        <f t="shared" si="29"/>
        <v>0.11616126491638326</v>
      </c>
      <c r="BA21" s="5">
        <f t="shared" si="30"/>
        <v>0.54557863801661644</v>
      </c>
      <c r="BB21" s="147">
        <f t="shared" si="31"/>
        <v>14.200698332656421</v>
      </c>
      <c r="BC21" s="5"/>
      <c r="BD21" s="153">
        <f t="shared" si="57"/>
        <v>0.28996379345484463</v>
      </c>
      <c r="BE21" s="153">
        <f t="shared" si="32"/>
        <v>0.23667971323786091</v>
      </c>
      <c r="BF21" s="153">
        <f t="shared" si="33"/>
        <v>4.7397819696784693E-2</v>
      </c>
      <c r="BG21" s="153"/>
      <c r="BH21" s="463">
        <f t="shared" si="34"/>
        <v>9.2486901666196178E-3</v>
      </c>
      <c r="BI21" s="463">
        <f t="shared" si="35"/>
        <v>3.1565399566262066E-2</v>
      </c>
      <c r="BJ21" s="463">
        <f t="shared" si="36"/>
        <v>1.7499999999999998E-2</v>
      </c>
      <c r="BK21" s="463">
        <f t="shared" si="37"/>
        <v>2.7715085999999993E-2</v>
      </c>
      <c r="BL21">
        <f t="shared" si="38"/>
        <v>3.2190000000000001E-3</v>
      </c>
      <c r="BM21">
        <f t="shared" si="39"/>
        <v>2.1350000000000001E-5</v>
      </c>
      <c r="BN21">
        <f t="shared" si="40"/>
        <v>9.0672821496982428E-2</v>
      </c>
      <c r="BO21" s="147">
        <f t="shared" si="58"/>
        <v>90.672821496982422</v>
      </c>
      <c r="BP21" s="153">
        <f t="shared" si="41"/>
        <v>3.9119441401396809E-2</v>
      </c>
      <c r="BQ21" s="153">
        <f t="shared" si="42"/>
        <v>6.4552733460749613E-3</v>
      </c>
      <c r="BR21" s="463"/>
      <c r="BT21" s="147">
        <f t="shared" si="59"/>
        <v>45.574714747471766</v>
      </c>
      <c r="BU21" s="463">
        <f t="shared" si="43"/>
        <v>7.146715128751523E-3</v>
      </c>
      <c r="BV21" s="463">
        <f t="shared" si="60"/>
        <v>1.0643284465087654E-2</v>
      </c>
      <c r="BW21" s="463">
        <f t="shared" si="44"/>
        <v>1.1232766560044555E-4</v>
      </c>
      <c r="BX21" s="463">
        <f t="shared" si="45"/>
        <v>0</v>
      </c>
      <c r="BY21" s="463">
        <f t="shared" si="46"/>
        <v>2.0079363918094228E-2</v>
      </c>
      <c r="BZ21" s="463">
        <f t="shared" si="61"/>
        <v>1.7902327259439622E-2</v>
      </c>
      <c r="CA21" s="549">
        <f t="shared" si="47"/>
        <v>0.16177777777777777</v>
      </c>
      <c r="CB21" s="147">
        <f t="shared" si="62"/>
        <v>181.857141695872</v>
      </c>
      <c r="CC21" s="153">
        <f t="shared" si="63"/>
        <v>0.31810467794032621</v>
      </c>
      <c r="CD21" s="5">
        <f t="shared" si="64"/>
        <v>1.456</v>
      </c>
      <c r="CE21" s="153">
        <f t="shared" si="65"/>
        <v>0.82069565460498373</v>
      </c>
      <c r="CF21" s="5">
        <f t="shared" si="66"/>
        <v>82.069565460498367</v>
      </c>
      <c r="CG21">
        <f t="shared" si="67"/>
        <v>16</v>
      </c>
      <c r="CI21" s="59">
        <f t="shared" si="48"/>
        <v>-50</v>
      </c>
      <c r="CJ21">
        <f t="shared" si="49"/>
        <v>-50</v>
      </c>
    </row>
    <row r="22" spans="5:88" x14ac:dyDescent="0.25">
      <c r="E22" s="150">
        <v>17</v>
      </c>
      <c r="F22" s="191">
        <f t="shared" si="68"/>
        <v>8.5000000000000006E-2</v>
      </c>
      <c r="G22" s="191">
        <f t="shared" si="50"/>
        <v>1.7000000000000001E-2</v>
      </c>
      <c r="H22" s="191">
        <f t="shared" si="0"/>
        <v>1.2750000000000001</v>
      </c>
      <c r="I22" s="191">
        <f t="shared" si="69"/>
        <v>0.27200000000000002</v>
      </c>
      <c r="J22" s="472">
        <f t="shared" si="1"/>
        <v>11.1</v>
      </c>
      <c r="K22" s="386">
        <f t="shared" si="2"/>
        <v>7.66</v>
      </c>
      <c r="L22" s="386">
        <f t="shared" si="3"/>
        <v>18.759999999999998</v>
      </c>
      <c r="M22" s="386"/>
      <c r="N22" s="191">
        <f t="shared" si="4"/>
        <v>0.40831556503198302</v>
      </c>
      <c r="O22" s="152">
        <f t="shared" si="51"/>
        <v>6.8918395170927162</v>
      </c>
      <c r="P22" s="152">
        <f t="shared" si="5"/>
        <v>1.7839143710021326</v>
      </c>
      <c r="Q22" s="191">
        <f t="shared" si="6"/>
        <v>0.45945596780618109</v>
      </c>
      <c r="R22" s="191">
        <f t="shared" si="7"/>
        <v>0.43073996981829477</v>
      </c>
      <c r="S22" s="386">
        <f t="shared" si="8"/>
        <v>15</v>
      </c>
      <c r="T22" s="191">
        <f t="shared" si="9"/>
        <v>0.75850576424988947</v>
      </c>
      <c r="U22" s="191">
        <f t="shared" si="10"/>
        <v>0.61500467371612666</v>
      </c>
      <c r="V22" s="191">
        <f t="shared" si="11"/>
        <v>0.89119476217349947</v>
      </c>
      <c r="W22" s="175">
        <f t="shared" si="12"/>
        <v>350</v>
      </c>
      <c r="X22" s="386">
        <f t="shared" si="52"/>
        <v>350</v>
      </c>
      <c r="Z22" s="191">
        <f t="shared" si="13"/>
        <v>1.4388262767793685</v>
      </c>
      <c r="AA22" s="153">
        <f t="shared" si="14"/>
        <v>1.6905269570514774</v>
      </c>
      <c r="AB22" s="153">
        <f t="shared" si="15"/>
        <v>0.21283277814833412</v>
      </c>
      <c r="AC22" s="153"/>
      <c r="AD22" s="153">
        <f t="shared" si="16"/>
        <v>0.96344647519582249</v>
      </c>
      <c r="AE22" s="317">
        <f t="shared" si="17"/>
        <v>430.36552316742689</v>
      </c>
      <c r="AF22" s="463">
        <f t="shared" si="18"/>
        <v>6.9127284595300251E-2</v>
      </c>
      <c r="AH22" s="153">
        <f t="shared" si="19"/>
        <v>0.99107124982123374</v>
      </c>
      <c r="AI22" s="153">
        <f t="shared" si="20"/>
        <v>0.99107124982123374</v>
      </c>
      <c r="AJ22" s="153">
        <f t="shared" si="21"/>
        <v>1.3267194443120249</v>
      </c>
      <c r="AL22" s="317">
        <f t="shared" si="22"/>
        <v>85</v>
      </c>
      <c r="AM22" s="147">
        <f t="shared" si="23"/>
        <v>350</v>
      </c>
      <c r="AO22">
        <f t="shared" si="53"/>
        <v>85</v>
      </c>
      <c r="AP22" s="147">
        <f t="shared" si="24"/>
        <v>350</v>
      </c>
      <c r="AQ22" s="147"/>
      <c r="AR22" s="5">
        <f t="shared" si="54"/>
        <v>2.8571428571428572</v>
      </c>
      <c r="AS22" s="5">
        <f t="shared" si="25"/>
        <v>0.80357128363883834</v>
      </c>
      <c r="AT22" s="5">
        <f t="shared" si="55"/>
        <v>2.0535715735040188</v>
      </c>
      <c r="AU22" s="153">
        <f t="shared" si="56"/>
        <v>0.28124994927359342</v>
      </c>
      <c r="AW22" s="5">
        <f t="shared" si="26"/>
        <v>11.33051538024511</v>
      </c>
      <c r="AX22" s="5">
        <f t="shared" si="27"/>
        <v>0.74617784173362567</v>
      </c>
      <c r="AY22" s="5">
        <f t="shared" si="28"/>
        <v>0.45203804398448061</v>
      </c>
      <c r="AZ22" s="5">
        <f t="shared" si="29"/>
        <v>0.12901017797201081</v>
      </c>
      <c r="BA22" s="5">
        <f t="shared" si="30"/>
        <v>0.57298293324147875</v>
      </c>
      <c r="BB22" s="147">
        <f t="shared" si="31"/>
        <v>14.919361289520053</v>
      </c>
      <c r="BC22" s="5"/>
      <c r="BD22" s="153">
        <f t="shared" si="57"/>
        <v>0.30345233023513279</v>
      </c>
      <c r="BE22" s="153">
        <f t="shared" si="32"/>
        <v>0.24255107229317466</v>
      </c>
      <c r="BF22" s="153">
        <f t="shared" si="33"/>
        <v>4.8573626503678906E-2</v>
      </c>
      <c r="BG22" s="153"/>
      <c r="BH22" s="463">
        <f t="shared" si="34"/>
        <v>1.012916483976453E-2</v>
      </c>
      <c r="BI22" s="463">
        <f t="shared" si="35"/>
        <v>3.2536869131631098E-2</v>
      </c>
      <c r="BJ22" s="463">
        <f t="shared" si="36"/>
        <v>1.7499999999999998E-2</v>
      </c>
      <c r="BK22" s="463">
        <f t="shared" si="37"/>
        <v>2.7715085999999993E-2</v>
      </c>
      <c r="BL22">
        <f t="shared" si="38"/>
        <v>3.2190000000000001E-3</v>
      </c>
      <c r="BM22">
        <f t="shared" si="39"/>
        <v>2.1350000000000001E-5</v>
      </c>
      <c r="BN22">
        <f t="shared" si="40"/>
        <v>9.2662076978678481E-2</v>
      </c>
      <c r="BO22" s="147">
        <f t="shared" si="58"/>
        <v>92.662076978678485</v>
      </c>
      <c r="BP22" s="153">
        <f t="shared" si="41"/>
        <v>4.1459380264062921E-2</v>
      </c>
      <c r="BQ22" s="153">
        <f t="shared" si="42"/>
        <v>6.8545158908946474E-3</v>
      </c>
      <c r="BR22" s="463"/>
      <c r="BT22" s="147">
        <f t="shared" si="59"/>
        <v>48.313896154957568</v>
      </c>
      <c r="BU22" s="463">
        <f t="shared" si="43"/>
        <v>7.8270819216362288E-3</v>
      </c>
      <c r="BV22" s="463">
        <f t="shared" si="60"/>
        <v>1.1177894307408081E-2</v>
      </c>
      <c r="BW22" s="463">
        <f t="shared" si="44"/>
        <v>1.179698595859449E-4</v>
      </c>
      <c r="BX22" s="463">
        <f t="shared" si="45"/>
        <v>0</v>
      </c>
      <c r="BY22" s="463">
        <f t="shared" si="46"/>
        <v>2.1450515383205599E-2</v>
      </c>
      <c r="BZ22" s="463">
        <f t="shared" si="61"/>
        <v>1.9122946088630258E-2</v>
      </c>
      <c r="CA22" s="549">
        <f t="shared" si="47"/>
        <v>0.17188888888888892</v>
      </c>
      <c r="CB22" s="147">
        <f t="shared" si="62"/>
        <v>193.33940427209453</v>
      </c>
      <c r="CC22" s="153">
        <f t="shared" si="63"/>
        <v>0.33431537740573058</v>
      </c>
      <c r="CD22" s="5">
        <f t="shared" si="64"/>
        <v>1.5470000000000002</v>
      </c>
      <c r="CE22" s="153">
        <f t="shared" si="65"/>
        <v>0.82229700483991153</v>
      </c>
      <c r="CF22" s="5">
        <f t="shared" si="66"/>
        <v>82.229700483991152</v>
      </c>
      <c r="CG22">
        <f t="shared" si="67"/>
        <v>17</v>
      </c>
      <c r="CI22" s="59">
        <f t="shared" si="48"/>
        <v>-50</v>
      </c>
      <c r="CJ22">
        <f t="shared" si="49"/>
        <v>-50</v>
      </c>
    </row>
    <row r="23" spans="5:88" x14ac:dyDescent="0.25">
      <c r="E23" s="150">
        <v>18</v>
      </c>
      <c r="F23" s="191">
        <f t="shared" si="68"/>
        <v>0.09</v>
      </c>
      <c r="G23" s="191">
        <f t="shared" si="50"/>
        <v>1.7999999999999999E-2</v>
      </c>
      <c r="H23" s="191">
        <f t="shared" si="0"/>
        <v>1.3499999999999999</v>
      </c>
      <c r="I23" s="191">
        <f t="shared" si="69"/>
        <v>0.28799999999999998</v>
      </c>
      <c r="J23" s="472">
        <f t="shared" si="1"/>
        <v>11.1</v>
      </c>
      <c r="K23" s="386">
        <f t="shared" si="2"/>
        <v>7.66</v>
      </c>
      <c r="L23" s="386">
        <f t="shared" si="3"/>
        <v>18.759999999999998</v>
      </c>
      <c r="M23" s="386"/>
      <c r="N23" s="191">
        <f t="shared" si="4"/>
        <v>0.40831556503198302</v>
      </c>
      <c r="O23" s="152">
        <f t="shared" si="51"/>
        <v>6.8918395170927162</v>
      </c>
      <c r="P23" s="152">
        <f t="shared" si="5"/>
        <v>1.7839143710021326</v>
      </c>
      <c r="Q23" s="191">
        <f t="shared" si="6"/>
        <v>0.45945596780618109</v>
      </c>
      <c r="R23" s="191">
        <f t="shared" si="7"/>
        <v>0.43073996981829477</v>
      </c>
      <c r="S23" s="386">
        <f t="shared" si="8"/>
        <v>15</v>
      </c>
      <c r="T23" s="191">
        <f t="shared" si="9"/>
        <v>0.80312375038223571</v>
      </c>
      <c r="U23" s="191">
        <f t="shared" si="10"/>
        <v>0.65118141922883976</v>
      </c>
      <c r="V23" s="191">
        <f t="shared" si="11"/>
        <v>0.94361798347782255</v>
      </c>
      <c r="W23" s="175">
        <f t="shared" si="12"/>
        <v>350</v>
      </c>
      <c r="X23" s="386">
        <f t="shared" si="52"/>
        <v>350</v>
      </c>
      <c r="Z23" s="191">
        <f t="shared" si="13"/>
        <v>1.4388262767793685</v>
      </c>
      <c r="AA23" s="153">
        <f t="shared" si="14"/>
        <v>1.6905269570514774</v>
      </c>
      <c r="AB23" s="153">
        <f t="shared" si="15"/>
        <v>0.21283277814833412</v>
      </c>
      <c r="AC23" s="153"/>
      <c r="AD23" s="153">
        <f t="shared" si="16"/>
        <v>0.96344647519582249</v>
      </c>
      <c r="AE23" s="317">
        <f t="shared" si="17"/>
        <v>455.68114217727543</v>
      </c>
      <c r="AF23" s="463">
        <f t="shared" si="18"/>
        <v>6.9127284595300251E-2</v>
      </c>
      <c r="AH23" s="153">
        <f t="shared" si="19"/>
        <v>1.019803902718557</v>
      </c>
      <c r="AI23" s="153">
        <f t="shared" si="20"/>
        <v>1.019803902718557</v>
      </c>
      <c r="AJ23" s="153">
        <f t="shared" si="21"/>
        <v>1.3480028909026349</v>
      </c>
      <c r="AL23" s="317">
        <f t="shared" si="22"/>
        <v>90</v>
      </c>
      <c r="AM23" s="147">
        <f t="shared" si="23"/>
        <v>350</v>
      </c>
      <c r="AO23">
        <f t="shared" si="53"/>
        <v>90</v>
      </c>
      <c r="AP23" s="147">
        <f t="shared" si="24"/>
        <v>350</v>
      </c>
      <c r="AQ23" s="147"/>
      <c r="AR23" s="5">
        <f t="shared" si="54"/>
        <v>2.8571428571428572</v>
      </c>
      <c r="AS23" s="5">
        <f t="shared" si="25"/>
        <v>0.82686802923126246</v>
      </c>
      <c r="AT23" s="5">
        <f t="shared" si="55"/>
        <v>2.0302748279115947</v>
      </c>
      <c r="AU23" s="153">
        <f t="shared" si="56"/>
        <v>0.28940381023094186</v>
      </c>
      <c r="AW23" s="5">
        <f t="shared" si="26"/>
        <v>11.33051538024511</v>
      </c>
      <c r="AX23" s="5">
        <f t="shared" si="27"/>
        <v>0.82066304747991237</v>
      </c>
      <c r="AY23" s="5">
        <f t="shared" si="28"/>
        <v>0.45203804398448061</v>
      </c>
      <c r="AZ23" s="5">
        <f t="shared" si="29"/>
        <v>0.14251660090979756</v>
      </c>
      <c r="BA23" s="5">
        <f t="shared" si="30"/>
        <v>0.59980524093808973</v>
      </c>
      <c r="BB23" s="147">
        <f t="shared" si="31"/>
        <v>15.623342288284611</v>
      </c>
      <c r="BC23" s="5"/>
      <c r="BD23" s="153">
        <f t="shared" si="57"/>
        <v>0.31674383058458011</v>
      </c>
      <c r="BE23" s="153">
        <f t="shared" si="32"/>
        <v>0.24816325899157271</v>
      </c>
      <c r="BF23" s="153">
        <f t="shared" si="33"/>
        <v>4.969753108171103E-2</v>
      </c>
      <c r="BG23" s="153"/>
      <c r="BH23" s="463">
        <f t="shared" si="34"/>
        <v>1.1035931963473251E-2</v>
      </c>
      <c r="BI23" s="463">
        <f t="shared" si="35"/>
        <v>3.3480162126250226E-2</v>
      </c>
      <c r="BJ23" s="463">
        <f t="shared" si="36"/>
        <v>1.7499999999999998E-2</v>
      </c>
      <c r="BK23" s="463">
        <f t="shared" si="37"/>
        <v>2.7715085999999993E-2</v>
      </c>
      <c r="BL23">
        <f t="shared" si="38"/>
        <v>3.2190000000000001E-3</v>
      </c>
      <c r="BM23">
        <f t="shared" si="39"/>
        <v>2.1350000000000001E-5</v>
      </c>
      <c r="BN23">
        <f t="shared" si="40"/>
        <v>9.4654108923275276E-2</v>
      </c>
      <c r="BO23" s="147">
        <f t="shared" si="58"/>
        <v>94.654108923275274</v>
      </c>
      <c r="BP23" s="153">
        <f t="shared" si="41"/>
        <v>4.3790188475715044E-2</v>
      </c>
      <c r="BQ23" s="153">
        <f t="shared" si="42"/>
        <v>7.2533922542103741E-3</v>
      </c>
      <c r="BR23" s="463"/>
      <c r="BT23" s="147">
        <f t="shared" si="59"/>
        <v>51.043580729925417</v>
      </c>
      <c r="BU23" s="463">
        <f t="shared" si="43"/>
        <v>8.5277656081384212E-3</v>
      </c>
      <c r="BV23" s="463">
        <f t="shared" si="60"/>
        <v>1.1701150591530495E-2</v>
      </c>
      <c r="BW23" s="463">
        <f t="shared" si="44"/>
        <v>1.2349222978088169E-4</v>
      </c>
      <c r="BX23" s="463">
        <f t="shared" si="45"/>
        <v>0</v>
      </c>
      <c r="BY23" s="463">
        <f t="shared" si="46"/>
        <v>2.2831872127924296E-2</v>
      </c>
      <c r="BZ23" s="463">
        <f t="shared" si="61"/>
        <v>2.0352408429449798E-2</v>
      </c>
      <c r="CA23" s="549">
        <f t="shared" si="47"/>
        <v>0.18200000000000002</v>
      </c>
      <c r="CB23" s="147">
        <f t="shared" si="62"/>
        <v>204.8318721279243</v>
      </c>
      <c r="CC23" s="153">
        <f t="shared" si="63"/>
        <v>0.35052956178112504</v>
      </c>
      <c r="CD23" s="5">
        <f t="shared" si="64"/>
        <v>1.6379999999999999</v>
      </c>
      <c r="CE23" s="153">
        <f t="shared" si="65"/>
        <v>0.82372423899639902</v>
      </c>
      <c r="CF23" s="5">
        <f t="shared" si="66"/>
        <v>82.372423899639898</v>
      </c>
      <c r="CG23">
        <f t="shared" si="67"/>
        <v>18</v>
      </c>
      <c r="CI23" s="59">
        <f t="shared" si="48"/>
        <v>-50</v>
      </c>
      <c r="CJ23">
        <f t="shared" si="49"/>
        <v>-50</v>
      </c>
    </row>
    <row r="24" spans="5:88" x14ac:dyDescent="0.25">
      <c r="E24" s="150">
        <v>19</v>
      </c>
      <c r="F24" s="191">
        <f t="shared" si="68"/>
        <v>9.5000000000000001E-2</v>
      </c>
      <c r="G24" s="191">
        <f t="shared" si="50"/>
        <v>1.9000000000000003E-2</v>
      </c>
      <c r="H24" s="191">
        <f t="shared" si="0"/>
        <v>1.425</v>
      </c>
      <c r="I24" s="191">
        <f t="shared" si="69"/>
        <v>0.30400000000000005</v>
      </c>
      <c r="J24" s="472">
        <f t="shared" si="1"/>
        <v>11.1</v>
      </c>
      <c r="K24" s="386">
        <f t="shared" si="2"/>
        <v>7.66</v>
      </c>
      <c r="L24" s="386">
        <f t="shared" si="3"/>
        <v>18.759999999999998</v>
      </c>
      <c r="M24" s="386"/>
      <c r="N24" s="191">
        <f t="shared" si="4"/>
        <v>0.40831556503198302</v>
      </c>
      <c r="O24" s="152">
        <f t="shared" si="51"/>
        <v>6.8918395170927162</v>
      </c>
      <c r="P24" s="152">
        <f t="shared" si="5"/>
        <v>1.7839143710021326</v>
      </c>
      <c r="Q24" s="191">
        <f t="shared" si="6"/>
        <v>0.45945596780618109</v>
      </c>
      <c r="R24" s="191">
        <f t="shared" si="7"/>
        <v>0.43073996981829477</v>
      </c>
      <c r="S24" s="386">
        <f t="shared" si="8"/>
        <v>15</v>
      </c>
      <c r="T24" s="191">
        <f t="shared" si="9"/>
        <v>0.84774173651458229</v>
      </c>
      <c r="U24" s="191">
        <f t="shared" si="10"/>
        <v>0.6873581647415532</v>
      </c>
      <c r="V24" s="191">
        <f t="shared" si="11"/>
        <v>0.99604120478214619</v>
      </c>
      <c r="W24" s="175">
        <f t="shared" si="12"/>
        <v>350</v>
      </c>
      <c r="X24" s="386">
        <f t="shared" si="52"/>
        <v>350</v>
      </c>
      <c r="Z24" s="191">
        <f t="shared" si="13"/>
        <v>1.4388262767793685</v>
      </c>
      <c r="AA24" s="153">
        <f t="shared" si="14"/>
        <v>1.6905269570514774</v>
      </c>
      <c r="AB24" s="153">
        <f t="shared" si="15"/>
        <v>0.21283277814833412</v>
      </c>
      <c r="AC24" s="153"/>
      <c r="AD24" s="153">
        <f t="shared" si="16"/>
        <v>0.96344647519582249</v>
      </c>
      <c r="AE24" s="317">
        <f t="shared" si="17"/>
        <v>480.99676118712415</v>
      </c>
      <c r="AF24" s="463">
        <f t="shared" si="18"/>
        <v>6.9127284595300251E-2</v>
      </c>
      <c r="AH24" s="153">
        <f t="shared" si="19"/>
        <v>1.0477489097001143</v>
      </c>
      <c r="AI24" s="153">
        <f t="shared" si="20"/>
        <v>1.0477489097001143</v>
      </c>
      <c r="AJ24" s="153">
        <f t="shared" si="21"/>
        <v>1.3687028960741587</v>
      </c>
      <c r="AL24" s="317">
        <f t="shared" si="22"/>
        <v>95</v>
      </c>
      <c r="AM24" s="147">
        <f t="shared" si="23"/>
        <v>350</v>
      </c>
      <c r="AO24">
        <f t="shared" si="53"/>
        <v>95</v>
      </c>
      <c r="AP24" s="147">
        <f t="shared" si="24"/>
        <v>350</v>
      </c>
      <c r="AQ24" s="147"/>
      <c r="AR24" s="5">
        <f t="shared" si="54"/>
        <v>2.8571428571428572</v>
      </c>
      <c r="AS24" s="5">
        <f t="shared" si="25"/>
        <v>0.84952614300009255</v>
      </c>
      <c r="AT24" s="5">
        <f t="shared" si="55"/>
        <v>2.0076167141427645</v>
      </c>
      <c r="AU24" s="153">
        <f t="shared" si="56"/>
        <v>0.29733415005003239</v>
      </c>
      <c r="AW24" s="5">
        <f t="shared" si="26"/>
        <v>11.33051538024511</v>
      </c>
      <c r="AX24" s="5">
        <f t="shared" si="27"/>
        <v>0.89854740784027276</v>
      </c>
      <c r="AY24" s="5">
        <f t="shared" si="28"/>
        <v>0.45203804398448061</v>
      </c>
      <c r="AZ24" s="5">
        <f t="shared" si="29"/>
        <v>0.15668053372974364</v>
      </c>
      <c r="BA24" s="5">
        <f t="shared" si="30"/>
        <v>0.62606197165685329</v>
      </c>
      <c r="BB24" s="147">
        <f t="shared" si="31"/>
        <v>16.313055322380748</v>
      </c>
      <c r="BC24" s="5"/>
      <c r="BD24" s="153">
        <f t="shared" si="57"/>
        <v>0.32985189732129228</v>
      </c>
      <c r="BE24" s="153">
        <f t="shared" si="32"/>
        <v>0.25353680786005695</v>
      </c>
      <c r="BF24" s="153">
        <f t="shared" si="33"/>
        <v>5.0773645704785264E-2</v>
      </c>
      <c r="BG24" s="153"/>
      <c r="BH24" s="463">
        <f t="shared" si="34"/>
        <v>1.1968250158310198E-2</v>
      </c>
      <c r="BI24" s="463">
        <f t="shared" si="35"/>
        <v>3.4397596705454746E-2</v>
      </c>
      <c r="BJ24" s="463">
        <f t="shared" si="36"/>
        <v>1.7499999999999998E-2</v>
      </c>
      <c r="BK24" s="463">
        <f t="shared" si="37"/>
        <v>2.7715085999999993E-2</v>
      </c>
      <c r="BL24">
        <f t="shared" si="38"/>
        <v>3.2190000000000001E-3</v>
      </c>
      <c r="BM24">
        <f t="shared" si="39"/>
        <v>2.1350000000000001E-5</v>
      </c>
      <c r="BN24">
        <f t="shared" si="40"/>
        <v>9.6650414489592995E-2</v>
      </c>
      <c r="BO24" s="147">
        <f t="shared" si="58"/>
        <v>96.65041448959299</v>
      </c>
      <c r="BP24" s="153">
        <f t="shared" si="41"/>
        <v>4.6112123497211749E-2</v>
      </c>
      <c r="BQ24" s="153">
        <f t="shared" si="42"/>
        <v>7.6519127613980942E-3</v>
      </c>
      <c r="BR24" s="463"/>
      <c r="BT24" s="147">
        <f t="shared" si="59"/>
        <v>53.764036258609842</v>
      </c>
      <c r="BU24" s="463">
        <f t="shared" si="43"/>
        <v>9.2481933041487895E-3</v>
      </c>
      <c r="BV24" s="463">
        <f t="shared" si="60"/>
        <v>1.2213373458574811E-2</v>
      </c>
      <c r="BW24" s="463">
        <f t="shared" si="44"/>
        <v>1.2889815490775295E-4</v>
      </c>
      <c r="BX24" s="463">
        <f t="shared" si="45"/>
        <v>0</v>
      </c>
      <c r="BY24" s="463">
        <f t="shared" si="46"/>
        <v>2.4223159850382626E-2</v>
      </c>
      <c r="BZ24" s="463">
        <f t="shared" si="61"/>
        <v>2.1590464917631353E-2</v>
      </c>
      <c r="CA24" s="549">
        <f t="shared" si="47"/>
        <v>0.1921111111111112</v>
      </c>
      <c r="CB24" s="147">
        <f t="shared" si="62"/>
        <v>216.33427096149381</v>
      </c>
      <c r="CC24" s="153">
        <f t="shared" si="63"/>
        <v>0.36674872170969663</v>
      </c>
      <c r="CD24" s="5">
        <f t="shared" si="64"/>
        <v>1.7290000000000001</v>
      </c>
      <c r="CE24" s="153">
        <f t="shared" si="65"/>
        <v>0.82500348543192437</v>
      </c>
      <c r="CF24" s="5">
        <f t="shared" si="66"/>
        <v>82.50034854319243</v>
      </c>
      <c r="CG24">
        <f t="shared" si="67"/>
        <v>19</v>
      </c>
      <c r="CI24" s="59">
        <f t="shared" si="48"/>
        <v>-50</v>
      </c>
      <c r="CJ24">
        <f t="shared" si="49"/>
        <v>-50</v>
      </c>
    </row>
    <row r="25" spans="5:88" x14ac:dyDescent="0.25">
      <c r="E25" s="150">
        <v>20</v>
      </c>
      <c r="F25" s="191">
        <f t="shared" si="68"/>
        <v>0.1</v>
      </c>
      <c r="G25" s="191">
        <f t="shared" si="50"/>
        <v>2.0000000000000004E-2</v>
      </c>
      <c r="H25" s="191">
        <f t="shared" si="0"/>
        <v>1.5</v>
      </c>
      <c r="I25" s="191">
        <f t="shared" si="69"/>
        <v>0.32000000000000006</v>
      </c>
      <c r="J25" s="472">
        <f t="shared" si="1"/>
        <v>11.1</v>
      </c>
      <c r="K25" s="386">
        <f t="shared" si="2"/>
        <v>7.66</v>
      </c>
      <c r="L25" s="386">
        <f t="shared" si="3"/>
        <v>18.759999999999998</v>
      </c>
      <c r="M25" s="386"/>
      <c r="N25" s="191">
        <f t="shared" si="4"/>
        <v>0.40831556503198302</v>
      </c>
      <c r="O25" s="152">
        <f t="shared" si="51"/>
        <v>6.8918395170927162</v>
      </c>
      <c r="P25" s="152">
        <f t="shared" si="5"/>
        <v>1.7839143710021326</v>
      </c>
      <c r="Q25" s="191">
        <f t="shared" si="6"/>
        <v>0.45945596780618109</v>
      </c>
      <c r="R25" s="191">
        <f t="shared" si="7"/>
        <v>0.43073996981829477</v>
      </c>
      <c r="S25" s="386">
        <f t="shared" si="8"/>
        <v>15</v>
      </c>
      <c r="T25" s="191">
        <f t="shared" si="9"/>
        <v>0.89235972264692864</v>
      </c>
      <c r="U25" s="191">
        <f t="shared" si="10"/>
        <v>0.72353491025426653</v>
      </c>
      <c r="V25" s="191">
        <f t="shared" si="11"/>
        <v>1.0484644260864697</v>
      </c>
      <c r="W25" s="175">
        <f t="shared" si="12"/>
        <v>350</v>
      </c>
      <c r="X25" s="386">
        <f t="shared" si="52"/>
        <v>350</v>
      </c>
      <c r="Z25" s="191">
        <f t="shared" si="13"/>
        <v>1.4388262767793685</v>
      </c>
      <c r="AA25" s="153">
        <f t="shared" si="14"/>
        <v>1.6905269570514774</v>
      </c>
      <c r="AB25" s="153">
        <f t="shared" si="15"/>
        <v>0.21283277814833412</v>
      </c>
      <c r="AC25" s="153"/>
      <c r="AD25" s="153">
        <f t="shared" si="16"/>
        <v>0.96344647519582249</v>
      </c>
      <c r="AE25" s="317">
        <f t="shared" si="17"/>
        <v>506.31238019697281</v>
      </c>
      <c r="AF25" s="463">
        <f t="shared" si="18"/>
        <v>6.9127284595300251E-2</v>
      </c>
      <c r="AH25" s="153">
        <f t="shared" si="19"/>
        <v>1.0749676997731401</v>
      </c>
      <c r="AI25" s="153">
        <f t="shared" si="20"/>
        <v>1.0749676997731401</v>
      </c>
      <c r="AJ25" s="153">
        <f t="shared" si="21"/>
        <v>1.3888649627949186</v>
      </c>
      <c r="AL25" s="317">
        <f t="shared" si="22"/>
        <v>100</v>
      </c>
      <c r="AM25" s="147">
        <f t="shared" si="23"/>
        <v>350</v>
      </c>
      <c r="AO25">
        <f t="shared" si="53"/>
        <v>100</v>
      </c>
      <c r="AP25" s="147">
        <f t="shared" si="24"/>
        <v>350</v>
      </c>
      <c r="AQ25" s="147"/>
      <c r="AR25" s="5">
        <f t="shared" si="54"/>
        <v>2.8571428571428572</v>
      </c>
      <c r="AS25" s="5">
        <f t="shared" si="25"/>
        <v>0.87159543224849201</v>
      </c>
      <c r="AT25" s="5">
        <f t="shared" si="55"/>
        <v>1.9855474248943652</v>
      </c>
      <c r="AU25" s="153">
        <f t="shared" si="56"/>
        <v>0.3050584012869722</v>
      </c>
      <c r="AW25" s="5">
        <f t="shared" si="26"/>
        <v>11.33051538024511</v>
      </c>
      <c r="AX25" s="5">
        <f t="shared" si="27"/>
        <v>0.97983092281470674</v>
      </c>
      <c r="AY25" s="5">
        <f t="shared" si="28"/>
        <v>0.45203804398448061</v>
      </c>
      <c r="AZ25" s="5">
        <f t="shared" si="29"/>
        <v>0.17150197643184892</v>
      </c>
      <c r="BA25" s="5">
        <f t="shared" si="30"/>
        <v>0.65176822106931154</v>
      </c>
      <c r="BB25" s="147">
        <f t="shared" si="31"/>
        <v>16.988881214431455</v>
      </c>
      <c r="BC25" s="5"/>
      <c r="BD25" s="153">
        <f t="shared" si="57"/>
        <v>0.34278853071831172</v>
      </c>
      <c r="BE25" s="153">
        <f t="shared" si="32"/>
        <v>0.25868958637388478</v>
      </c>
      <c r="BF25" s="153">
        <f t="shared" si="33"/>
        <v>5.180554853918843E-2</v>
      </c>
      <c r="BG25" s="153"/>
      <c r="BH25" s="463">
        <f t="shared" si="34"/>
        <v>1.2925437447122084E-2</v>
      </c>
      <c r="BI25" s="463">
        <f t="shared" si="35"/>
        <v>3.5291189583552186E-2</v>
      </c>
      <c r="BJ25" s="463">
        <f t="shared" si="36"/>
        <v>1.7499999999999998E-2</v>
      </c>
      <c r="BK25" s="463">
        <f t="shared" si="37"/>
        <v>2.7715085999999993E-2</v>
      </c>
      <c r="BL25">
        <f t="shared" si="38"/>
        <v>3.2190000000000001E-3</v>
      </c>
      <c r="BM25">
        <f t="shared" si="39"/>
        <v>2.1350000000000001E-5</v>
      </c>
      <c r="BN25">
        <f t="shared" si="40"/>
        <v>9.8652257386891068E-2</v>
      </c>
      <c r="BO25" s="147">
        <f t="shared" si="58"/>
        <v>98.652257386891065</v>
      </c>
      <c r="BP25" s="153">
        <f t="shared" si="41"/>
        <v>4.8425422160618965E-2</v>
      </c>
      <c r="BQ25" s="153">
        <f t="shared" si="42"/>
        <v>8.0500869105233821E-3</v>
      </c>
      <c r="BR25" s="463"/>
      <c r="BT25" s="147">
        <f t="shared" si="59"/>
        <v>56.475509071142348</v>
      </c>
      <c r="BU25" s="463">
        <f t="shared" si="43"/>
        <v>9.9878380273216109E-3</v>
      </c>
      <c r="BV25" s="463">
        <f t="shared" si="60"/>
        <v>1.2714857398675403E-2</v>
      </c>
      <c r="BW25" s="463">
        <f t="shared" si="44"/>
        <v>1.3419074297231043E-4</v>
      </c>
      <c r="BX25" s="463">
        <f t="shared" si="45"/>
        <v>0</v>
      </c>
      <c r="BY25" s="463">
        <f t="shared" si="46"/>
        <v>2.5624126530105432E-2</v>
      </c>
      <c r="BZ25" s="463">
        <f t="shared" si="61"/>
        <v>2.2836886168969325E-2</v>
      </c>
      <c r="CA25" s="549">
        <f t="shared" si="47"/>
        <v>0.2022222222222223</v>
      </c>
      <c r="CB25" s="147">
        <f t="shared" si="62"/>
        <v>227.84634875232774</v>
      </c>
      <c r="CC25" s="153">
        <f t="shared" si="63"/>
        <v>0.38297411521036118</v>
      </c>
      <c r="CD25" s="5">
        <f t="shared" si="64"/>
        <v>1.82</v>
      </c>
      <c r="CE25" s="153">
        <f t="shared" si="65"/>
        <v>0.82615587148022784</v>
      </c>
      <c r="CF25" s="5">
        <f t="shared" si="66"/>
        <v>82.615587148022783</v>
      </c>
      <c r="CG25">
        <f t="shared" si="67"/>
        <v>20</v>
      </c>
      <c r="CI25" s="59">
        <f t="shared" si="48"/>
        <v>-50</v>
      </c>
      <c r="CJ25">
        <f t="shared" si="49"/>
        <v>-50</v>
      </c>
    </row>
    <row r="26" spans="5:88" x14ac:dyDescent="0.25">
      <c r="E26" s="150">
        <v>21</v>
      </c>
      <c r="F26" s="191">
        <f t="shared" si="68"/>
        <v>0.105</v>
      </c>
      <c r="G26" s="191">
        <f t="shared" si="50"/>
        <v>2.1000000000000001E-2</v>
      </c>
      <c r="H26" s="191">
        <f t="shared" si="0"/>
        <v>1.575</v>
      </c>
      <c r="I26" s="191">
        <f t="shared" si="69"/>
        <v>0.33600000000000002</v>
      </c>
      <c r="J26" s="472">
        <f t="shared" si="1"/>
        <v>11.1</v>
      </c>
      <c r="K26" s="386">
        <f t="shared" si="2"/>
        <v>7.66</v>
      </c>
      <c r="L26" s="386">
        <f t="shared" si="3"/>
        <v>18.759999999999998</v>
      </c>
      <c r="M26" s="386"/>
      <c r="N26" s="191">
        <f t="shared" si="4"/>
        <v>0.40831556503198302</v>
      </c>
      <c r="O26" s="152">
        <f t="shared" si="51"/>
        <v>6.8918395170927162</v>
      </c>
      <c r="P26" s="152">
        <f t="shared" si="5"/>
        <v>1.7839143710021326</v>
      </c>
      <c r="Q26" s="191">
        <f t="shared" si="6"/>
        <v>0.45945596780618109</v>
      </c>
      <c r="R26" s="191">
        <f t="shared" si="7"/>
        <v>0.43073996981829477</v>
      </c>
      <c r="S26" s="386">
        <f t="shared" si="8"/>
        <v>15</v>
      </c>
      <c r="T26" s="191">
        <f t="shared" si="9"/>
        <v>0.93697770877927511</v>
      </c>
      <c r="U26" s="191">
        <f t="shared" si="10"/>
        <v>0.75971165576697985</v>
      </c>
      <c r="V26" s="191">
        <f t="shared" si="11"/>
        <v>1.1008876473907934</v>
      </c>
      <c r="W26" s="175">
        <f t="shared" si="12"/>
        <v>350</v>
      </c>
      <c r="X26" s="386">
        <f t="shared" si="52"/>
        <v>350</v>
      </c>
      <c r="Z26" s="191">
        <f t="shared" si="13"/>
        <v>1.4388262767793685</v>
      </c>
      <c r="AA26" s="153">
        <f t="shared" si="14"/>
        <v>1.6905269570514774</v>
      </c>
      <c r="AB26" s="153">
        <f t="shared" si="15"/>
        <v>0.21283277814833412</v>
      </c>
      <c r="AC26" s="153"/>
      <c r="AD26" s="153">
        <f t="shared" si="16"/>
        <v>0.96344647519582249</v>
      </c>
      <c r="AE26" s="317">
        <f t="shared" si="17"/>
        <v>531.62799920682141</v>
      </c>
      <c r="AF26" s="463">
        <f t="shared" si="18"/>
        <v>6.9127284595300251E-2</v>
      </c>
      <c r="AH26" s="153">
        <f t="shared" si="19"/>
        <v>1.1015141094572205</v>
      </c>
      <c r="AI26" s="153">
        <f t="shared" si="20"/>
        <v>1.1015141094572205</v>
      </c>
      <c r="AJ26" s="153">
        <f t="shared" si="21"/>
        <v>1.4085289699683115</v>
      </c>
      <c r="AL26" s="317">
        <f t="shared" si="22"/>
        <v>105</v>
      </c>
      <c r="AM26" s="147">
        <f t="shared" si="23"/>
        <v>350</v>
      </c>
      <c r="AO26">
        <f t="shared" si="53"/>
        <v>105</v>
      </c>
      <c r="AP26" s="147">
        <f t="shared" si="24"/>
        <v>350</v>
      </c>
      <c r="AQ26" s="147"/>
      <c r="AR26" s="5">
        <f t="shared" si="54"/>
        <v>2.8571428571428572</v>
      </c>
      <c r="AS26" s="5">
        <f t="shared" si="25"/>
        <v>0.89311954820855721</v>
      </c>
      <c r="AT26" s="5">
        <f t="shared" si="55"/>
        <v>1.9640233089343</v>
      </c>
      <c r="AU26" s="153">
        <f t="shared" si="56"/>
        <v>0.31259184187299499</v>
      </c>
      <c r="AW26" s="5">
        <f t="shared" si="26"/>
        <v>11.33051538024511</v>
      </c>
      <c r="AX26" s="5">
        <f t="shared" si="27"/>
        <v>1.0645135924032141</v>
      </c>
      <c r="AY26" s="5">
        <f t="shared" si="28"/>
        <v>0.45203804398448061</v>
      </c>
      <c r="AZ26" s="5">
        <f t="shared" si="29"/>
        <v>0.18698092901611341</v>
      </c>
      <c r="BA26" s="5">
        <f t="shared" si="30"/>
        <v>0.67693793674276936</v>
      </c>
      <c r="BB26" s="147">
        <f t="shared" si="31"/>
        <v>17.651171823521008</v>
      </c>
      <c r="BC26" s="5"/>
      <c r="BD26" s="153">
        <f t="shared" si="57"/>
        <v>0.35556438773334581</v>
      </c>
      <c r="BE26" s="153">
        <f t="shared" si="32"/>
        <v>0.26363725581765535</v>
      </c>
      <c r="BF26" s="153">
        <f t="shared" si="33"/>
        <v>5.2796375936293861E-2</v>
      </c>
      <c r="BG26" s="153"/>
      <c r="BH26" s="463">
        <f t="shared" si="34"/>
        <v>1.3906863720660799E-2</v>
      </c>
      <c r="BI26" s="463">
        <f t="shared" si="35"/>
        <v>3.6162708213480547E-2</v>
      </c>
      <c r="BJ26" s="463">
        <f t="shared" si="36"/>
        <v>1.7499999999999998E-2</v>
      </c>
      <c r="BK26" s="463">
        <f t="shared" si="37"/>
        <v>2.7715085999999993E-2</v>
      </c>
      <c r="BL26">
        <f t="shared" si="38"/>
        <v>3.2190000000000001E-3</v>
      </c>
      <c r="BM26">
        <f t="shared" si="39"/>
        <v>2.1350000000000001E-5</v>
      </c>
      <c r="BN26">
        <f t="shared" si="40"/>
        <v>0.10066071143628687</v>
      </c>
      <c r="BO26" s="147">
        <f t="shared" si="58"/>
        <v>100.66071143628687</v>
      </c>
      <c r="BP26" s="153">
        <f t="shared" si="41"/>
        <v>5.0730303285693758E-2</v>
      </c>
      <c r="BQ26" s="153">
        <f t="shared" si="42"/>
        <v>8.4479234772745909E-3</v>
      </c>
      <c r="BR26" s="463"/>
      <c r="BT26" s="147">
        <f t="shared" si="59"/>
        <v>59.17822676296835</v>
      </c>
      <c r="BU26" s="463">
        <f t="shared" si="43"/>
        <v>1.0746212875056073E-2</v>
      </c>
      <c r="BV26" s="463">
        <f t="shared" si="60"/>
        <v>1.3205874504462131E-2</v>
      </c>
      <c r="BW26" s="463">
        <f t="shared" si="44"/>
        <v>1.3937286560032348E-4</v>
      </c>
      <c r="BX26" s="463">
        <f t="shared" si="45"/>
        <v>0</v>
      </c>
      <c r="BY26" s="463">
        <f t="shared" si="46"/>
        <v>2.7034539597409236E-2</v>
      </c>
      <c r="BZ26" s="463">
        <f t="shared" si="61"/>
        <v>2.4091460245118528E-2</v>
      </c>
      <c r="CA26" s="549">
        <f t="shared" si="47"/>
        <v>0.2123333333333334</v>
      </c>
      <c r="CB26" s="147">
        <f t="shared" si="62"/>
        <v>239.36787293074264</v>
      </c>
      <c r="CC26" s="153">
        <f t="shared" si="63"/>
        <v>0.39920681112999784</v>
      </c>
      <c r="CD26" s="5">
        <f t="shared" si="64"/>
        <v>1.911</v>
      </c>
      <c r="CE26" s="153">
        <f t="shared" si="65"/>
        <v>0.8271986693110247</v>
      </c>
      <c r="CF26" s="5">
        <f t="shared" si="66"/>
        <v>82.719866931102473</v>
      </c>
      <c r="CG26">
        <f t="shared" si="67"/>
        <v>21</v>
      </c>
      <c r="CI26" s="59">
        <f t="shared" si="48"/>
        <v>-50</v>
      </c>
      <c r="CJ26">
        <f t="shared" si="49"/>
        <v>-50</v>
      </c>
    </row>
    <row r="27" spans="5:88" x14ac:dyDescent="0.25">
      <c r="E27" s="150">
        <v>22</v>
      </c>
      <c r="F27" s="191">
        <f t="shared" si="68"/>
        <v>0.11</v>
      </c>
      <c r="G27" s="191">
        <f t="shared" si="50"/>
        <v>2.2000000000000002E-2</v>
      </c>
      <c r="H27" s="191">
        <f t="shared" si="0"/>
        <v>1.65</v>
      </c>
      <c r="I27" s="191">
        <f t="shared" si="69"/>
        <v>0.35200000000000004</v>
      </c>
      <c r="J27" s="472">
        <f t="shared" si="1"/>
        <v>11.1</v>
      </c>
      <c r="K27" s="386">
        <f t="shared" si="2"/>
        <v>7.66</v>
      </c>
      <c r="L27" s="386">
        <f t="shared" si="3"/>
        <v>18.759999999999998</v>
      </c>
      <c r="M27" s="386"/>
      <c r="N27" s="191">
        <f t="shared" si="4"/>
        <v>0.40831556503198302</v>
      </c>
      <c r="O27" s="152">
        <f t="shared" si="51"/>
        <v>6.8918395170927162</v>
      </c>
      <c r="P27" s="152">
        <f t="shared" si="5"/>
        <v>1.7839143710021326</v>
      </c>
      <c r="Q27" s="191">
        <f t="shared" si="6"/>
        <v>0.45945596780618109</v>
      </c>
      <c r="R27" s="191">
        <f t="shared" si="7"/>
        <v>0.43073996981829477</v>
      </c>
      <c r="S27" s="386">
        <f t="shared" si="8"/>
        <v>15</v>
      </c>
      <c r="T27" s="191">
        <f t="shared" si="9"/>
        <v>0.98159569491162146</v>
      </c>
      <c r="U27" s="191">
        <f t="shared" si="10"/>
        <v>0.79588840127969318</v>
      </c>
      <c r="V27" s="191">
        <f t="shared" si="11"/>
        <v>1.1533108686951166</v>
      </c>
      <c r="W27" s="175">
        <f t="shared" si="12"/>
        <v>350</v>
      </c>
      <c r="X27" s="386">
        <f t="shared" si="52"/>
        <v>350</v>
      </c>
      <c r="Z27" s="191">
        <f t="shared" si="13"/>
        <v>1.4388262767793685</v>
      </c>
      <c r="AA27" s="153">
        <f t="shared" si="14"/>
        <v>1.6905269570514774</v>
      </c>
      <c r="AB27" s="153">
        <f t="shared" si="15"/>
        <v>0.21283277814833412</v>
      </c>
      <c r="AC27" s="153"/>
      <c r="AD27" s="153">
        <f t="shared" si="16"/>
        <v>0.96344647519582249</v>
      </c>
      <c r="AE27" s="317">
        <f t="shared" si="17"/>
        <v>556.94361821666996</v>
      </c>
      <c r="AF27" s="463">
        <f t="shared" si="18"/>
        <v>6.9127284595300251E-2</v>
      </c>
      <c r="AH27" s="153">
        <f t="shared" si="19"/>
        <v>1.1274356350191841</v>
      </c>
      <c r="AI27" s="153">
        <f t="shared" si="20"/>
        <v>1.1274356350191841</v>
      </c>
      <c r="AJ27" s="153">
        <f t="shared" si="21"/>
        <v>1.4277301000142104</v>
      </c>
      <c r="AL27" s="317">
        <f t="shared" si="22"/>
        <v>110</v>
      </c>
      <c r="AM27" s="147">
        <f t="shared" si="23"/>
        <v>350</v>
      </c>
      <c r="AO27">
        <f t="shared" si="53"/>
        <v>110</v>
      </c>
      <c r="AP27" s="147">
        <f t="shared" si="24"/>
        <v>350</v>
      </c>
      <c r="AQ27" s="147"/>
      <c r="AR27" s="5">
        <f t="shared" si="54"/>
        <v>2.8571428571428572</v>
      </c>
      <c r="AS27" s="5">
        <f t="shared" si="25"/>
        <v>0.91413700136690612</v>
      </c>
      <c r="AT27" s="5">
        <f t="shared" si="55"/>
        <v>1.9430058557759511</v>
      </c>
      <c r="AU27" s="153">
        <f t="shared" si="56"/>
        <v>0.31994795047841712</v>
      </c>
      <c r="AW27" s="5">
        <f t="shared" si="26"/>
        <v>11.33051538024511</v>
      </c>
      <c r="AX27" s="5">
        <f t="shared" si="27"/>
        <v>1.152595416605795</v>
      </c>
      <c r="AY27" s="5">
        <f t="shared" si="28"/>
        <v>0.45203804398448061</v>
      </c>
      <c r="AZ27" s="5">
        <f t="shared" si="29"/>
        <v>0.20311739148253719</v>
      </c>
      <c r="BA27" s="5">
        <f t="shared" si="30"/>
        <v>0.70158405671679835</v>
      </c>
      <c r="BB27" s="147">
        <f t="shared" si="31"/>
        <v>18.300253541102254</v>
      </c>
      <c r="BC27" s="5"/>
      <c r="BD27" s="153">
        <f t="shared" si="57"/>
        <v>0.3681889889854319</v>
      </c>
      <c r="BE27" s="153">
        <f t="shared" si="32"/>
        <v>0.26839363446884745</v>
      </c>
      <c r="BF27" s="153">
        <f t="shared" si="33"/>
        <v>5.3748895164218859E-2</v>
      </c>
      <c r="BG27" s="153"/>
      <c r="BH27" s="463">
        <f t="shared" si="34"/>
        <v>1.4911944477112594E-2</v>
      </c>
      <c r="BI27" s="463">
        <f t="shared" si="35"/>
        <v>3.7013711897679817E-2</v>
      </c>
      <c r="BJ27" s="463">
        <f t="shared" si="36"/>
        <v>1.7499999999999998E-2</v>
      </c>
      <c r="BK27" s="463">
        <f t="shared" si="37"/>
        <v>2.7715085999999993E-2</v>
      </c>
      <c r="BL27">
        <f t="shared" si="38"/>
        <v>3.2190000000000001E-3</v>
      </c>
      <c r="BM27">
        <f t="shared" si="39"/>
        <v>2.1350000000000001E-5</v>
      </c>
      <c r="BN27">
        <f t="shared" si="40"/>
        <v>0.10267669452065904</v>
      </c>
      <c r="BO27" s="147">
        <f t="shared" si="58"/>
        <v>102.67669452065904</v>
      </c>
      <c r="BP27" s="153">
        <f t="shared" si="41"/>
        <v>5.3026969853975113E-2</v>
      </c>
      <c r="BQ27" s="153">
        <f t="shared" si="42"/>
        <v>8.8454306021539756E-3</v>
      </c>
      <c r="BR27" s="463"/>
      <c r="BT27" s="147">
        <f t="shared" si="59"/>
        <v>61.872400456129085</v>
      </c>
      <c r="BU27" s="463">
        <f t="shared" si="43"/>
        <v>1.1522866186859732E-2</v>
      </c>
      <c r="BV27" s="463">
        <f t="shared" si="60"/>
        <v>1.3686677174445485E-2</v>
      </c>
      <c r="BW27" s="463">
        <f t="shared" si="44"/>
        <v>1.4444718656870948E-4</v>
      </c>
      <c r="BX27" s="463">
        <f t="shared" si="45"/>
        <v>0</v>
      </c>
      <c r="BY27" s="463">
        <f t="shared" si="46"/>
        <v>2.8454183581745125E-2</v>
      </c>
      <c r="BZ27" s="463">
        <f t="shared" si="61"/>
        <v>2.5353990547873927E-2</v>
      </c>
      <c r="CA27" s="549">
        <f t="shared" si="47"/>
        <v>0.22244444444444444</v>
      </c>
      <c r="CB27" s="147">
        <f t="shared" si="62"/>
        <v>250.89862802618956</v>
      </c>
      <c r="CC27" s="153">
        <f t="shared" si="63"/>
        <v>0.41544772300297772</v>
      </c>
      <c r="CD27" s="5">
        <f t="shared" si="64"/>
        <v>2.0019999999999998</v>
      </c>
      <c r="CE27" s="153">
        <f t="shared" si="65"/>
        <v>0.82814613981107954</v>
      </c>
      <c r="CF27" s="5">
        <f t="shared" si="66"/>
        <v>82.814613981107954</v>
      </c>
      <c r="CG27">
        <f t="shared" si="67"/>
        <v>22</v>
      </c>
      <c r="CI27" s="59">
        <f t="shared" si="48"/>
        <v>-50</v>
      </c>
      <c r="CJ27">
        <f t="shared" si="49"/>
        <v>-50</v>
      </c>
    </row>
    <row r="28" spans="5:88" x14ac:dyDescent="0.25">
      <c r="E28" s="150">
        <v>23</v>
      </c>
      <c r="F28" s="191">
        <f t="shared" si="68"/>
        <v>0.115</v>
      </c>
      <c r="G28" s="191">
        <f t="shared" si="50"/>
        <v>2.3000000000000003E-2</v>
      </c>
      <c r="H28" s="191">
        <f t="shared" si="0"/>
        <v>1.7250000000000001</v>
      </c>
      <c r="I28" s="191">
        <f t="shared" si="69"/>
        <v>0.36800000000000005</v>
      </c>
      <c r="J28" s="472">
        <f t="shared" si="1"/>
        <v>11.1</v>
      </c>
      <c r="K28" s="386">
        <f t="shared" si="2"/>
        <v>7.66</v>
      </c>
      <c r="L28" s="386">
        <f t="shared" si="3"/>
        <v>18.759999999999998</v>
      </c>
      <c r="M28" s="386"/>
      <c r="N28" s="191">
        <f t="shared" si="4"/>
        <v>0.40831556503198302</v>
      </c>
      <c r="O28" s="152">
        <f t="shared" si="51"/>
        <v>6.8918395170927162</v>
      </c>
      <c r="P28" s="152">
        <f t="shared" si="5"/>
        <v>1.7839143710021326</v>
      </c>
      <c r="Q28" s="191">
        <f t="shared" si="6"/>
        <v>0.45945596780618109</v>
      </c>
      <c r="R28" s="191">
        <f t="shared" si="7"/>
        <v>0.43073996981829477</v>
      </c>
      <c r="S28" s="386">
        <f t="shared" si="8"/>
        <v>15</v>
      </c>
      <c r="T28" s="191">
        <f t="shared" si="9"/>
        <v>1.0262136810439679</v>
      </c>
      <c r="U28" s="191">
        <f t="shared" si="10"/>
        <v>0.8320651467924064</v>
      </c>
      <c r="V28" s="191">
        <f t="shared" si="11"/>
        <v>1.20573408999944</v>
      </c>
      <c r="W28" s="175">
        <f t="shared" si="12"/>
        <v>350</v>
      </c>
      <c r="X28" s="386">
        <f t="shared" si="52"/>
        <v>350</v>
      </c>
      <c r="Z28" s="191">
        <f t="shared" si="13"/>
        <v>1.4388262767793685</v>
      </c>
      <c r="AA28" s="153">
        <f t="shared" si="14"/>
        <v>1.6905269570514774</v>
      </c>
      <c r="AB28" s="153">
        <f t="shared" si="15"/>
        <v>0.21283277814833412</v>
      </c>
      <c r="AC28" s="153"/>
      <c r="AD28" s="153">
        <f t="shared" si="16"/>
        <v>0.96344647519582249</v>
      </c>
      <c r="AE28" s="317">
        <f t="shared" si="17"/>
        <v>582.25923722651874</v>
      </c>
      <c r="AF28" s="463">
        <f t="shared" si="18"/>
        <v>6.9127284595300251E-2</v>
      </c>
      <c r="AH28" s="153">
        <f t="shared" si="19"/>
        <v>1.1527744310527055</v>
      </c>
      <c r="AI28" s="153">
        <f t="shared" si="20"/>
        <v>1.1527744310527055</v>
      </c>
      <c r="AJ28" s="153">
        <f t="shared" si="21"/>
        <v>1.4464995785575596</v>
      </c>
      <c r="AL28" s="317">
        <f t="shared" si="22"/>
        <v>115</v>
      </c>
      <c r="AM28" s="147">
        <f t="shared" si="23"/>
        <v>350</v>
      </c>
      <c r="AO28">
        <f t="shared" si="53"/>
        <v>115</v>
      </c>
      <c r="AP28" s="147">
        <f t="shared" si="24"/>
        <v>350</v>
      </c>
      <c r="AQ28" s="147"/>
      <c r="AR28" s="5">
        <f t="shared" si="54"/>
        <v>2.8571428571428572</v>
      </c>
      <c r="AS28" s="5">
        <f t="shared" si="25"/>
        <v>0.93468197112381535</v>
      </c>
      <c r="AT28" s="5">
        <f t="shared" si="55"/>
        <v>1.9224608860190417</v>
      </c>
      <c r="AU28" s="153">
        <f t="shared" si="56"/>
        <v>0.32713868989333539</v>
      </c>
      <c r="AW28" s="5">
        <f t="shared" si="26"/>
        <v>11.33051538024511</v>
      </c>
      <c r="AX28" s="5">
        <f t="shared" si="27"/>
        <v>1.2440763954224496</v>
      </c>
      <c r="AY28" s="5">
        <f t="shared" si="28"/>
        <v>0.45203804398448061</v>
      </c>
      <c r="AZ28" s="5">
        <f t="shared" si="29"/>
        <v>0.2199113638311202</v>
      </c>
      <c r="BA28" s="5">
        <f t="shared" si="30"/>
        <v>0.72571862573165125</v>
      </c>
      <c r="BB28" s="147">
        <f t="shared" si="31"/>
        <v>18.936430223122461</v>
      </c>
      <c r="BC28" s="5"/>
      <c r="BD28" s="153">
        <f t="shared" si="57"/>
        <v>0.38067088590404935</v>
      </c>
      <c r="BE28" s="153">
        <f t="shared" si="32"/>
        <v>0.27297098728069491</v>
      </c>
      <c r="BF28" s="153">
        <f t="shared" si="33"/>
        <v>5.4665562420133935E-2</v>
      </c>
      <c r="BG28" s="153"/>
      <c r="BH28" s="463">
        <f t="shared" si="34"/>
        <v>1.5940135571247113E-2</v>
      </c>
      <c r="BI28" s="463">
        <f t="shared" si="35"/>
        <v>3.7845584571460318E-2</v>
      </c>
      <c r="BJ28" s="463">
        <f t="shared" si="36"/>
        <v>1.7499999999999998E-2</v>
      </c>
      <c r="BK28" s="463">
        <f t="shared" si="37"/>
        <v>2.7715085999999993E-2</v>
      </c>
      <c r="BL28">
        <f t="shared" si="38"/>
        <v>3.2190000000000001E-3</v>
      </c>
      <c r="BM28">
        <f t="shared" si="39"/>
        <v>2.1350000000000001E-5</v>
      </c>
      <c r="BN28">
        <f t="shared" si="40"/>
        <v>0.10470099536199072</v>
      </c>
      <c r="BO28" s="147">
        <f t="shared" si="58"/>
        <v>104.70099536199072</v>
      </c>
      <c r="BP28" s="153">
        <f t="shared" si="41"/>
        <v>5.5315610832261199E-2</v>
      </c>
      <c r="BQ28" s="153">
        <f t="shared" si="42"/>
        <v>9.2426158636076203E-3</v>
      </c>
      <c r="BR28" s="463"/>
      <c r="BT28" s="147">
        <f t="shared" si="59"/>
        <v>64.558226695868811</v>
      </c>
      <c r="BU28" s="463">
        <f t="shared" si="43"/>
        <v>1.231737748687277E-2</v>
      </c>
      <c r="BV28" s="463">
        <f t="shared" si="60"/>
        <v>1.4157500380429488E-2</v>
      </c>
      <c r="BW28" s="463">
        <f t="shared" si="44"/>
        <v>1.4941618573547798E-4</v>
      </c>
      <c r="BX28" s="463">
        <f t="shared" si="45"/>
        <v>0</v>
      </c>
      <c r="BY28" s="463">
        <f t="shared" si="46"/>
        <v>2.9882858139582545E-2</v>
      </c>
      <c r="BZ28" s="463">
        <f t="shared" si="61"/>
        <v>2.6624294053037737E-2</v>
      </c>
      <c r="CA28" s="549">
        <f t="shared" si="47"/>
        <v>0.2325555555555556</v>
      </c>
      <c r="CB28" s="147">
        <f t="shared" si="62"/>
        <v>262.43841369513814</v>
      </c>
      <c r="CC28" s="153">
        <f t="shared" si="63"/>
        <v>0.43169763575299769</v>
      </c>
      <c r="CD28" s="5">
        <f t="shared" si="64"/>
        <v>2.093</v>
      </c>
      <c r="CE28" s="153">
        <f t="shared" si="65"/>
        <v>0.82901016357776935</v>
      </c>
      <c r="CF28" s="5">
        <f t="shared" si="66"/>
        <v>82.901016357776939</v>
      </c>
      <c r="CG28">
        <f t="shared" si="67"/>
        <v>23</v>
      </c>
      <c r="CI28" s="59">
        <f t="shared" si="48"/>
        <v>-50</v>
      </c>
      <c r="CJ28">
        <f t="shared" si="49"/>
        <v>-50</v>
      </c>
    </row>
    <row r="29" spans="5:88" x14ac:dyDescent="0.25">
      <c r="E29" s="150">
        <v>24</v>
      </c>
      <c r="F29" s="191">
        <f t="shared" si="68"/>
        <v>0.12</v>
      </c>
      <c r="G29" s="191">
        <f t="shared" si="50"/>
        <v>2.4E-2</v>
      </c>
      <c r="H29" s="191">
        <f t="shared" si="0"/>
        <v>1.7999999999999998</v>
      </c>
      <c r="I29" s="191">
        <f t="shared" si="69"/>
        <v>0.38400000000000001</v>
      </c>
      <c r="J29" s="472">
        <f t="shared" si="1"/>
        <v>11.1</v>
      </c>
      <c r="K29" s="386">
        <f t="shared" si="2"/>
        <v>7.66</v>
      </c>
      <c r="L29" s="386">
        <f t="shared" si="3"/>
        <v>18.759999999999998</v>
      </c>
      <c r="M29" s="386"/>
      <c r="N29" s="191">
        <f t="shared" si="4"/>
        <v>0.40831556503198302</v>
      </c>
      <c r="O29" s="152">
        <f t="shared" si="51"/>
        <v>6.8918395170927162</v>
      </c>
      <c r="P29" s="152">
        <f t="shared" si="5"/>
        <v>1.7839143710021326</v>
      </c>
      <c r="Q29" s="191">
        <f t="shared" si="6"/>
        <v>0.45945596780618109</v>
      </c>
      <c r="R29" s="191">
        <f t="shared" si="7"/>
        <v>0.43073996981829477</v>
      </c>
      <c r="S29" s="386">
        <f t="shared" si="8"/>
        <v>15</v>
      </c>
      <c r="T29" s="191">
        <f t="shared" si="9"/>
        <v>1.0708316671763143</v>
      </c>
      <c r="U29" s="191">
        <f t="shared" si="10"/>
        <v>0.86824189230511972</v>
      </c>
      <c r="V29" s="191">
        <f t="shared" si="11"/>
        <v>1.2581573113037634</v>
      </c>
      <c r="W29" s="175">
        <f t="shared" si="12"/>
        <v>350</v>
      </c>
      <c r="X29" s="386">
        <f t="shared" si="52"/>
        <v>350</v>
      </c>
      <c r="Z29" s="191">
        <f t="shared" si="13"/>
        <v>1.4388262767793685</v>
      </c>
      <c r="AA29" s="153">
        <f t="shared" si="14"/>
        <v>1.6905269570514774</v>
      </c>
      <c r="AB29" s="153">
        <f t="shared" si="15"/>
        <v>0.21283277814833412</v>
      </c>
      <c r="AC29" s="153"/>
      <c r="AD29" s="153">
        <f t="shared" si="16"/>
        <v>0.96344647519582249</v>
      </c>
      <c r="AE29" s="317">
        <f t="shared" si="17"/>
        <v>607.57485623636728</v>
      </c>
      <c r="AF29" s="463">
        <f t="shared" si="18"/>
        <v>6.9127284595300251E-2</v>
      </c>
      <c r="AH29" s="153">
        <f t="shared" si="19"/>
        <v>1.1775681155103794</v>
      </c>
      <c r="AI29" s="153">
        <f t="shared" si="20"/>
        <v>1.1775681155103794</v>
      </c>
      <c r="AJ29" s="153">
        <f t="shared" si="21"/>
        <v>1.4648652707484291</v>
      </c>
      <c r="AL29" s="317">
        <f t="shared" si="22"/>
        <v>120</v>
      </c>
      <c r="AM29" s="147">
        <f t="shared" si="23"/>
        <v>350</v>
      </c>
      <c r="AO29">
        <f t="shared" si="53"/>
        <v>120</v>
      </c>
      <c r="AP29" s="147">
        <f t="shared" si="24"/>
        <v>350</v>
      </c>
      <c r="AQ29" s="147"/>
      <c r="AR29" s="5">
        <f t="shared" si="54"/>
        <v>2.8571428571428572</v>
      </c>
      <c r="AS29" s="5">
        <f t="shared" si="25"/>
        <v>0.95478495852192924</v>
      </c>
      <c r="AT29" s="5">
        <f t="shared" si="55"/>
        <v>1.902357898620928</v>
      </c>
      <c r="AU29" s="153">
        <f t="shared" si="56"/>
        <v>0.33417473548267523</v>
      </c>
      <c r="AW29" s="5">
        <f t="shared" si="26"/>
        <v>11.33051538024511</v>
      </c>
      <c r="AX29" s="5">
        <f t="shared" si="27"/>
        <v>1.3389565288531773</v>
      </c>
      <c r="AY29" s="5">
        <f t="shared" si="28"/>
        <v>0.45203804398448061</v>
      </c>
      <c r="AZ29" s="5">
        <f t="shared" si="29"/>
        <v>0.23736284606186236</v>
      </c>
      <c r="BA29" s="5">
        <f t="shared" si="30"/>
        <v>0.74935289354004564</v>
      </c>
      <c r="BB29" s="147">
        <f t="shared" si="31"/>
        <v>19.559985670161552</v>
      </c>
      <c r="BC29" s="5"/>
      <c r="BD29" s="153">
        <f t="shared" si="57"/>
        <v>0.39301779711016316</v>
      </c>
      <c r="BE29" s="153">
        <f t="shared" si="32"/>
        <v>0.27738025947104489</v>
      </c>
      <c r="BF29" s="153">
        <f t="shared" si="33"/>
        <v>5.5548569609103371E-2</v>
      </c>
      <c r="BG29" s="153"/>
      <c r="BH29" s="463">
        <f t="shared" si="34"/>
        <v>1.6990928772985789E-2</v>
      </c>
      <c r="BI29" s="463">
        <f t="shared" si="35"/>
        <v>3.865956123220575E-2</v>
      </c>
      <c r="BJ29" s="463">
        <f t="shared" si="36"/>
        <v>1.7499999999999998E-2</v>
      </c>
      <c r="BK29" s="463">
        <f t="shared" si="37"/>
        <v>2.7715085999999993E-2</v>
      </c>
      <c r="BL29">
        <f t="shared" si="38"/>
        <v>3.2190000000000001E-3</v>
      </c>
      <c r="BM29">
        <f t="shared" si="39"/>
        <v>2.1350000000000001E-5</v>
      </c>
      <c r="BN29">
        <f t="shared" si="40"/>
        <v>0.10673429487047287</v>
      </c>
      <c r="BO29" s="147">
        <f t="shared" si="58"/>
        <v>106.73429487047287</v>
      </c>
      <c r="BP29" s="153">
        <f t="shared" si="41"/>
        <v>5.7596402714997455E-2</v>
      </c>
      <c r="BQ29" s="153">
        <f t="shared" si="42"/>
        <v>9.6394863398823402E-3</v>
      </c>
      <c r="BR29" s="463"/>
      <c r="BT29" s="147">
        <f t="shared" si="59"/>
        <v>67.235889054879792</v>
      </c>
      <c r="BU29" s="463">
        <f t="shared" si="43"/>
        <v>1.3129354051852657E-2</v>
      </c>
      <c r="BV29" s="463">
        <f t="shared" si="60"/>
        <v>1.4618563585402596E-2</v>
      </c>
      <c r="BW29" s="463">
        <f t="shared" si="44"/>
        <v>1.5428217928087015E-4</v>
      </c>
      <c r="BX29" s="463">
        <f t="shared" si="45"/>
        <v>0</v>
      </c>
      <c r="BY29" s="463">
        <f t="shared" si="46"/>
        <v>3.1320376386541775E-2</v>
      </c>
      <c r="BZ29" s="463">
        <f t="shared" si="61"/>
        <v>2.7902199816536122E-2</v>
      </c>
      <c r="CA29" s="549">
        <f t="shared" si="47"/>
        <v>0.24266666666666667</v>
      </c>
      <c r="CB29" s="147">
        <f t="shared" si="62"/>
        <v>273.98704305320842</v>
      </c>
      <c r="CC29" s="153">
        <f t="shared" si="63"/>
        <v>0.44795722697856111</v>
      </c>
      <c r="CD29" s="5">
        <f t="shared" si="64"/>
        <v>2.1839999999999997</v>
      </c>
      <c r="CE29" s="153">
        <f t="shared" si="65"/>
        <v>0.82980071925682175</v>
      </c>
      <c r="CF29" s="5">
        <f t="shared" si="66"/>
        <v>82.980071925682182</v>
      </c>
      <c r="CG29">
        <f t="shared" si="67"/>
        <v>24</v>
      </c>
      <c r="CI29" s="59">
        <f t="shared" si="48"/>
        <v>-50</v>
      </c>
      <c r="CJ29">
        <f t="shared" si="49"/>
        <v>-50</v>
      </c>
    </row>
    <row r="30" spans="5:88" x14ac:dyDescent="0.25">
      <c r="E30" s="150">
        <v>25</v>
      </c>
      <c r="F30" s="191">
        <f t="shared" si="68"/>
        <v>0.125</v>
      </c>
      <c r="G30" s="191">
        <f t="shared" si="50"/>
        <v>2.5000000000000001E-2</v>
      </c>
      <c r="H30" s="191">
        <f t="shared" si="0"/>
        <v>1.875</v>
      </c>
      <c r="I30" s="191">
        <f t="shared" si="69"/>
        <v>0.4</v>
      </c>
      <c r="J30" s="472">
        <f t="shared" si="1"/>
        <v>11.1</v>
      </c>
      <c r="K30" s="386">
        <f t="shared" si="2"/>
        <v>7.66</v>
      </c>
      <c r="L30" s="386">
        <f t="shared" si="3"/>
        <v>18.759999999999998</v>
      </c>
      <c r="M30" s="386"/>
      <c r="N30" s="191">
        <f t="shared" si="4"/>
        <v>0.40831556503198302</v>
      </c>
      <c r="O30" s="152">
        <f t="shared" si="51"/>
        <v>6.8918395170927162</v>
      </c>
      <c r="P30" s="152">
        <f t="shared" si="5"/>
        <v>1.7839143710021326</v>
      </c>
      <c r="Q30" s="191">
        <f t="shared" si="6"/>
        <v>0.45945596780618109</v>
      </c>
      <c r="R30" s="191">
        <f t="shared" si="7"/>
        <v>0.43073996981829477</v>
      </c>
      <c r="S30" s="386">
        <f t="shared" si="8"/>
        <v>15</v>
      </c>
      <c r="T30" s="191">
        <f t="shared" si="9"/>
        <v>1.1154496533086609</v>
      </c>
      <c r="U30" s="191">
        <f t="shared" si="10"/>
        <v>0.90441863781783305</v>
      </c>
      <c r="V30" s="191">
        <f t="shared" si="11"/>
        <v>1.3105805326080873</v>
      </c>
      <c r="W30" s="175">
        <f t="shared" si="12"/>
        <v>350</v>
      </c>
      <c r="X30" s="386">
        <f t="shared" si="52"/>
        <v>350</v>
      </c>
      <c r="Z30" s="191">
        <f t="shared" si="13"/>
        <v>1.4388262767793685</v>
      </c>
      <c r="AA30" s="153">
        <f t="shared" si="14"/>
        <v>1.6905269570514774</v>
      </c>
      <c r="AB30" s="153">
        <f t="shared" si="15"/>
        <v>0.21283277814833412</v>
      </c>
      <c r="AC30" s="153"/>
      <c r="AD30" s="153">
        <f t="shared" si="16"/>
        <v>0.96344647519582249</v>
      </c>
      <c r="AE30" s="317">
        <f t="shared" si="17"/>
        <v>632.89047524621594</v>
      </c>
      <c r="AF30" s="463">
        <f t="shared" si="18"/>
        <v>6.9127284595300251E-2</v>
      </c>
      <c r="AH30" s="153">
        <f t="shared" si="19"/>
        <v>1.2018504251546631</v>
      </c>
      <c r="AI30" s="153">
        <f t="shared" si="20"/>
        <v>1.2018504251546631</v>
      </c>
      <c r="AJ30" s="153">
        <f t="shared" si="21"/>
        <v>1.482852166781232</v>
      </c>
      <c r="AL30" s="317">
        <f t="shared" si="22"/>
        <v>125</v>
      </c>
      <c r="AM30" s="147">
        <f t="shared" si="23"/>
        <v>350</v>
      </c>
      <c r="AO30">
        <f t="shared" si="53"/>
        <v>125</v>
      </c>
      <c r="AP30" s="147">
        <f t="shared" si="24"/>
        <v>350</v>
      </c>
      <c r="AQ30" s="147"/>
      <c r="AR30" s="5">
        <f t="shared" si="54"/>
        <v>2.8571428571428572</v>
      </c>
      <c r="AS30" s="5">
        <f t="shared" si="25"/>
        <v>0.97447331769297019</v>
      </c>
      <c r="AT30" s="5">
        <f t="shared" si="55"/>
        <v>1.8826695394498869</v>
      </c>
      <c r="AU30" s="153">
        <f t="shared" si="56"/>
        <v>0.34106566119253956</v>
      </c>
      <c r="AW30" s="5">
        <f t="shared" si="26"/>
        <v>11.33051538024511</v>
      </c>
      <c r="AX30" s="5">
        <f t="shared" si="27"/>
        <v>1.4372358168979791</v>
      </c>
      <c r="AY30" s="5">
        <f t="shared" si="28"/>
        <v>0.45203804398448061</v>
      </c>
      <c r="AZ30" s="5">
        <f t="shared" si="29"/>
        <v>0.25547183817476393</v>
      </c>
      <c r="BA30" s="5">
        <f t="shared" si="30"/>
        <v>0.77249739870473944</v>
      </c>
      <c r="BB30" s="147">
        <f t="shared" si="31"/>
        <v>20.171185741416384</v>
      </c>
      <c r="BC30" s="5"/>
      <c r="BD30" s="153">
        <f t="shared" si="57"/>
        <v>0.40523672073671335</v>
      </c>
      <c r="BE30" s="153">
        <f t="shared" si="32"/>
        <v>0.28163126675141936</v>
      </c>
      <c r="BF30" s="153">
        <f t="shared" si="33"/>
        <v>5.639988243963065E-2</v>
      </c>
      <c r="BG30" s="153"/>
      <c r="BH30" s="463">
        <f t="shared" si="34"/>
        <v>1.8063847981678951E-2</v>
      </c>
      <c r="BI30" s="463">
        <f t="shared" si="35"/>
        <v>3.9456749457827588E-2</v>
      </c>
      <c r="BJ30" s="463">
        <f t="shared" si="36"/>
        <v>1.7499999999999998E-2</v>
      </c>
      <c r="BK30" s="463">
        <f t="shared" si="37"/>
        <v>2.7715085999999993E-2</v>
      </c>
      <c r="BL30">
        <f t="shared" si="38"/>
        <v>3.2190000000000001E-3</v>
      </c>
      <c r="BM30">
        <f t="shared" si="39"/>
        <v>2.1350000000000001E-5</v>
      </c>
      <c r="BN30">
        <f t="shared" si="40"/>
        <v>0.10877718333294768</v>
      </c>
      <c r="BO30" s="147">
        <f t="shared" si="58"/>
        <v>108.77718333294769</v>
      </c>
      <c r="BP30" s="153">
        <f t="shared" si="41"/>
        <v>5.9869510838955003E-2</v>
      </c>
      <c r="BQ30" s="153">
        <f t="shared" si="42"/>
        <v>1.0036048661750396E-2</v>
      </c>
      <c r="BR30" s="463"/>
      <c r="BT30" s="147">
        <f t="shared" si="59"/>
        <v>69.905559500705394</v>
      </c>
      <c r="BU30" s="463">
        <f t="shared" si="43"/>
        <v>1.3958427985842826E-2</v>
      </c>
      <c r="BV30" s="463">
        <f t="shared" si="60"/>
        <v>1.5070072378281734E-2</v>
      </c>
      <c r="BW30" s="463">
        <f t="shared" si="44"/>
        <v>1.5904733696020789E-4</v>
      </c>
      <c r="BX30" s="463">
        <f t="shared" si="45"/>
        <v>0</v>
      </c>
      <c r="BY30" s="463">
        <f t="shared" si="46"/>
        <v>3.2766563475971393E-2</v>
      </c>
      <c r="BZ30" s="463">
        <f t="shared" si="61"/>
        <v>2.9187547701084771E-2</v>
      </c>
      <c r="CA30" s="549">
        <f t="shared" si="47"/>
        <v>0.25277777777777782</v>
      </c>
      <c r="CB30" s="147">
        <f t="shared" si="62"/>
        <v>285.54434125374922</v>
      </c>
      <c r="CC30" s="153">
        <f t="shared" si="63"/>
        <v>0.46422708408740232</v>
      </c>
      <c r="CD30" s="5">
        <f t="shared" si="64"/>
        <v>2.2749999999999999</v>
      </c>
      <c r="CE30" s="153">
        <f t="shared" si="65"/>
        <v>0.83052625071350594</v>
      </c>
      <c r="CF30" s="5">
        <f t="shared" si="66"/>
        <v>83.05262507135059</v>
      </c>
      <c r="CG30">
        <f t="shared" si="67"/>
        <v>25</v>
      </c>
      <c r="CI30" s="59">
        <f t="shared" si="48"/>
        <v>-50</v>
      </c>
      <c r="CJ30">
        <f t="shared" si="49"/>
        <v>-50</v>
      </c>
    </row>
    <row r="31" spans="5:88" x14ac:dyDescent="0.25">
      <c r="E31" s="150">
        <v>26</v>
      </c>
      <c r="F31" s="191">
        <f t="shared" si="68"/>
        <v>0.13</v>
      </c>
      <c r="G31" s="191">
        <f t="shared" si="50"/>
        <v>2.6000000000000002E-2</v>
      </c>
      <c r="H31" s="191">
        <f t="shared" si="0"/>
        <v>1.9500000000000002</v>
      </c>
      <c r="I31" s="191">
        <f t="shared" si="69"/>
        <v>0.41600000000000004</v>
      </c>
      <c r="J31" s="472">
        <f t="shared" si="1"/>
        <v>11.1</v>
      </c>
      <c r="K31" s="386">
        <f t="shared" si="2"/>
        <v>7.66</v>
      </c>
      <c r="L31" s="386">
        <f t="shared" si="3"/>
        <v>18.759999999999998</v>
      </c>
      <c r="M31" s="386"/>
      <c r="N31" s="191">
        <f t="shared" si="4"/>
        <v>0.40831556503198302</v>
      </c>
      <c r="O31" s="152">
        <f t="shared" si="51"/>
        <v>6.8918395170927162</v>
      </c>
      <c r="P31" s="152">
        <f t="shared" si="5"/>
        <v>1.7839143710021326</v>
      </c>
      <c r="Q31" s="191">
        <f t="shared" si="6"/>
        <v>0.45945596780618109</v>
      </c>
      <c r="R31" s="191">
        <f t="shared" si="7"/>
        <v>0.43073996981829477</v>
      </c>
      <c r="S31" s="386">
        <f t="shared" si="8"/>
        <v>15</v>
      </c>
      <c r="T31" s="191">
        <f t="shared" si="9"/>
        <v>1.1600676394410072</v>
      </c>
      <c r="U31" s="191">
        <f t="shared" si="10"/>
        <v>0.94059538333054638</v>
      </c>
      <c r="V31" s="191">
        <f t="shared" si="11"/>
        <v>1.3630037539124107</v>
      </c>
      <c r="W31" s="175">
        <f t="shared" si="12"/>
        <v>350</v>
      </c>
      <c r="X31" s="386">
        <f t="shared" si="52"/>
        <v>350</v>
      </c>
      <c r="Z31" s="191">
        <f t="shared" si="13"/>
        <v>1.4388262767793685</v>
      </c>
      <c r="AA31" s="153">
        <f t="shared" si="14"/>
        <v>1.6905269570514774</v>
      </c>
      <c r="AB31" s="153">
        <f t="shared" si="15"/>
        <v>0.21283277814833412</v>
      </c>
      <c r="AC31" s="153"/>
      <c r="AD31" s="153">
        <f t="shared" si="16"/>
        <v>0.96344647519582249</v>
      </c>
      <c r="AE31" s="317">
        <f t="shared" si="17"/>
        <v>658.2060942560646</v>
      </c>
      <c r="AF31" s="463">
        <f t="shared" si="18"/>
        <v>6.9127284595300251E-2</v>
      </c>
      <c r="AH31" s="153">
        <f t="shared" si="19"/>
        <v>1.2256517540566825</v>
      </c>
      <c r="AI31" s="153">
        <f t="shared" si="20"/>
        <v>1.2256517540566825</v>
      </c>
      <c r="AJ31" s="153">
        <f t="shared" si="21"/>
        <v>1.5004827807827277</v>
      </c>
      <c r="AL31" s="317">
        <f t="shared" si="22"/>
        <v>130</v>
      </c>
      <c r="AM31" s="147">
        <f t="shared" si="23"/>
        <v>350</v>
      </c>
      <c r="AO31">
        <f t="shared" si="53"/>
        <v>130</v>
      </c>
      <c r="AP31" s="147">
        <f t="shared" si="24"/>
        <v>350</v>
      </c>
      <c r="AQ31" s="147"/>
      <c r="AR31" s="5">
        <f t="shared" si="54"/>
        <v>2.8571428571428572</v>
      </c>
      <c r="AS31" s="5">
        <f t="shared" si="25"/>
        <v>0.99377169247839126</v>
      </c>
      <c r="AT31" s="5">
        <f t="shared" si="55"/>
        <v>1.863371164664466</v>
      </c>
      <c r="AU31" s="153">
        <f t="shared" si="56"/>
        <v>0.34782009236743694</v>
      </c>
      <c r="AW31" s="5">
        <f t="shared" si="26"/>
        <v>11.33051538024511</v>
      </c>
      <c r="AX31" s="5">
        <f t="shared" si="27"/>
        <v>1.5389142595568543</v>
      </c>
      <c r="AY31" s="5">
        <f t="shared" si="28"/>
        <v>0.45203804398448061</v>
      </c>
      <c r="AZ31" s="5">
        <f t="shared" si="29"/>
        <v>0.27423834016982462</v>
      </c>
      <c r="BA31" s="5">
        <f t="shared" si="30"/>
        <v>0.79516204052631489</v>
      </c>
      <c r="BB31" s="147">
        <f t="shared" si="31"/>
        <v>20.770280169242543</v>
      </c>
      <c r="BC31" s="5"/>
      <c r="BD31" s="153">
        <f t="shared" si="57"/>
        <v>0.41733402772429579</v>
      </c>
      <c r="BE31" s="153">
        <f t="shared" si="32"/>
        <v>0.28573285164824747</v>
      </c>
      <c r="BF31" s="153">
        <f t="shared" si="33"/>
        <v>5.7221271728773219E-2</v>
      </c>
      <c r="BG31" s="153"/>
      <c r="BH31" s="463">
        <f t="shared" si="34"/>
        <v>1.915844597662416E-2</v>
      </c>
      <c r="BI31" s="463">
        <f t="shared" si="35"/>
        <v>4.0238147085680881E-2</v>
      </c>
      <c r="BJ31" s="463">
        <f t="shared" si="36"/>
        <v>1.7499999999999998E-2</v>
      </c>
      <c r="BK31" s="463">
        <f t="shared" si="37"/>
        <v>2.7715085999999993E-2</v>
      </c>
      <c r="BL31">
        <f t="shared" si="38"/>
        <v>3.2190000000000001E-3</v>
      </c>
      <c r="BM31">
        <f t="shared" si="39"/>
        <v>2.1350000000000001E-5</v>
      </c>
      <c r="BN31">
        <f t="shared" si="40"/>
        <v>0.11083017437523948</v>
      </c>
      <c r="BO31" s="147">
        <f t="shared" si="58"/>
        <v>110.83017437523948</v>
      </c>
      <c r="BP31" s="153">
        <f t="shared" si="41"/>
        <v>6.2135090511686815E-2</v>
      </c>
      <c r="BQ31" s="153">
        <f t="shared" si="42"/>
        <v>1.0432309057765838E-2</v>
      </c>
      <c r="BR31" s="463"/>
      <c r="BT31" s="147">
        <f t="shared" si="59"/>
        <v>72.567399569452661</v>
      </c>
      <c r="BU31" s="463">
        <f t="shared" si="43"/>
        <v>1.480425370920958E-2</v>
      </c>
      <c r="BV31" s="463">
        <f t="shared" si="60"/>
        <v>1.5512219877097486E-2</v>
      </c>
      <c r="BW31" s="463">
        <f t="shared" si="44"/>
        <v>1.6371369691290508E-4</v>
      </c>
      <c r="BX31" s="463">
        <f t="shared" si="45"/>
        <v>0</v>
      </c>
      <c r="BY31" s="463">
        <f t="shared" si="46"/>
        <v>3.4221255379047993E-2</v>
      </c>
      <c r="BZ31" s="463">
        <f t="shared" si="61"/>
        <v>3.0480187283219971E-2</v>
      </c>
      <c r="CA31" s="549">
        <f t="shared" si="47"/>
        <v>0.26288888888888901</v>
      </c>
      <c r="CB31" s="147">
        <f t="shared" si="62"/>
        <v>297.11014426793702</v>
      </c>
      <c r="CC31" s="153">
        <f t="shared" si="63"/>
        <v>0.48050771821262916</v>
      </c>
      <c r="CD31" s="5">
        <f t="shared" si="64"/>
        <v>2.3660000000000001</v>
      </c>
      <c r="CE31" s="153">
        <f t="shared" si="65"/>
        <v>0.83119395210551261</v>
      </c>
      <c r="CF31" s="5">
        <f t="shared" si="66"/>
        <v>83.119395210551261</v>
      </c>
      <c r="CG31">
        <f t="shared" si="67"/>
        <v>26</v>
      </c>
      <c r="CI31" s="59">
        <f t="shared" si="48"/>
        <v>-50</v>
      </c>
      <c r="CJ31">
        <f t="shared" si="49"/>
        <v>-50</v>
      </c>
    </row>
    <row r="32" spans="5:88" x14ac:dyDescent="0.25">
      <c r="E32" s="150">
        <v>27</v>
      </c>
      <c r="F32" s="191">
        <f t="shared" si="68"/>
        <v>0.13500000000000001</v>
      </c>
      <c r="G32" s="191">
        <f t="shared" si="50"/>
        <v>2.7000000000000003E-2</v>
      </c>
      <c r="H32" s="191">
        <f t="shared" si="0"/>
        <v>2.0250000000000004</v>
      </c>
      <c r="I32" s="191">
        <f t="shared" si="69"/>
        <v>0.43200000000000005</v>
      </c>
      <c r="J32" s="472">
        <f t="shared" si="1"/>
        <v>11.1</v>
      </c>
      <c r="K32" s="386">
        <f t="shared" si="2"/>
        <v>7.66</v>
      </c>
      <c r="L32" s="386">
        <f t="shared" si="3"/>
        <v>18.759999999999998</v>
      </c>
      <c r="M32" s="386"/>
      <c r="N32" s="191">
        <f t="shared" si="4"/>
        <v>0.40831556503198302</v>
      </c>
      <c r="O32" s="152">
        <f t="shared" si="51"/>
        <v>6.8918395170927162</v>
      </c>
      <c r="P32" s="152">
        <f t="shared" si="5"/>
        <v>1.7839143710021326</v>
      </c>
      <c r="Q32" s="191">
        <f t="shared" si="6"/>
        <v>0.45945596780618109</v>
      </c>
      <c r="R32" s="191">
        <f t="shared" si="7"/>
        <v>0.43073996981829477</v>
      </c>
      <c r="S32" s="386">
        <f t="shared" si="8"/>
        <v>15</v>
      </c>
      <c r="T32" s="191">
        <f t="shared" si="9"/>
        <v>1.2046856255733538</v>
      </c>
      <c r="U32" s="191">
        <f t="shared" si="10"/>
        <v>0.97677212884325981</v>
      </c>
      <c r="V32" s="191">
        <f t="shared" si="11"/>
        <v>1.4154269752167341</v>
      </c>
      <c r="W32" s="175">
        <f t="shared" si="12"/>
        <v>350</v>
      </c>
      <c r="X32" s="386">
        <f t="shared" si="52"/>
        <v>350</v>
      </c>
      <c r="Z32" s="191">
        <f t="shared" si="13"/>
        <v>1.4388262767793685</v>
      </c>
      <c r="AA32" s="153">
        <f t="shared" si="14"/>
        <v>1.6905269570514774</v>
      </c>
      <c r="AB32" s="153">
        <f t="shared" si="15"/>
        <v>0.21283277814833412</v>
      </c>
      <c r="AC32" s="153"/>
      <c r="AD32" s="153">
        <f t="shared" si="16"/>
        <v>0.96344647519582249</v>
      </c>
      <c r="AE32" s="317">
        <f t="shared" si="17"/>
        <v>683.52171326591326</v>
      </c>
      <c r="AF32" s="463">
        <f t="shared" si="18"/>
        <v>6.9127284595300251E-2</v>
      </c>
      <c r="AH32" s="153">
        <f t="shared" si="19"/>
        <v>1.2489995996796797</v>
      </c>
      <c r="AI32" s="153">
        <f t="shared" si="20"/>
        <v>1.2489995996796797</v>
      </c>
      <c r="AJ32" s="153">
        <f t="shared" si="21"/>
        <v>1.5177774812442071</v>
      </c>
      <c r="AL32" s="317">
        <f t="shared" si="22"/>
        <v>135</v>
      </c>
      <c r="AM32" s="147">
        <f t="shared" si="23"/>
        <v>350</v>
      </c>
      <c r="AO32">
        <f t="shared" si="53"/>
        <v>135</v>
      </c>
      <c r="AP32" s="147">
        <f t="shared" si="24"/>
        <v>350</v>
      </c>
      <c r="AQ32" s="147"/>
      <c r="AR32" s="5">
        <f t="shared" si="54"/>
        <v>2.8571428571428572</v>
      </c>
      <c r="AS32" s="5">
        <f t="shared" si="25"/>
        <v>1.0127023781186593</v>
      </c>
      <c r="AT32" s="5">
        <f t="shared" si="55"/>
        <v>1.8444404790241979</v>
      </c>
      <c r="AU32" s="153">
        <f t="shared" si="56"/>
        <v>0.35444583234153071</v>
      </c>
      <c r="AW32" s="5">
        <f t="shared" si="26"/>
        <v>11.33051538024511</v>
      </c>
      <c r="AX32" s="5">
        <f t="shared" si="27"/>
        <v>1.6439918568298031</v>
      </c>
      <c r="AY32" s="5">
        <f t="shared" si="28"/>
        <v>0.45203804398448061</v>
      </c>
      <c r="AZ32" s="5">
        <f t="shared" si="29"/>
        <v>0.29366235204704461</v>
      </c>
      <c r="BA32" s="5">
        <f t="shared" si="30"/>
        <v>0.81735614117945954</v>
      </c>
      <c r="BB32" s="147">
        <f t="shared" si="31"/>
        <v>21.357504126683299</v>
      </c>
      <c r="BC32" s="5"/>
      <c r="BD32" s="153">
        <f t="shared" si="57"/>
        <v>0.42931553992092569</v>
      </c>
      <c r="BE32" s="153">
        <f t="shared" si="32"/>
        <v>0.28969301302516948</v>
      </c>
      <c r="BF32" s="153">
        <f t="shared" si="33"/>
        <v>5.8014339340465321E-2</v>
      </c>
      <c r="BG32" s="153"/>
      <c r="BH32" s="463">
        <f t="shared" si="34"/>
        <v>2.0274301609935555E-2</v>
      </c>
      <c r="BI32" s="463">
        <f t="shared" si="35"/>
        <v>4.1004656857483883E-2</v>
      </c>
      <c r="BJ32" s="463">
        <f t="shared" si="36"/>
        <v>1.7499999999999998E-2</v>
      </c>
      <c r="BK32" s="463">
        <f t="shared" si="37"/>
        <v>2.7715085999999993E-2</v>
      </c>
      <c r="BL32">
        <f t="shared" si="38"/>
        <v>3.2190000000000001E-3</v>
      </c>
      <c r="BM32">
        <f t="shared" si="39"/>
        <v>2.1350000000000001E-5</v>
      </c>
      <c r="BN32">
        <f t="shared" si="40"/>
        <v>0.11289371639650922</v>
      </c>
      <c r="BO32" s="147">
        <f t="shared" si="58"/>
        <v>112.89371639650922</v>
      </c>
      <c r="BP32" s="153">
        <f t="shared" si="41"/>
        <v>6.4393287986367842E-2</v>
      </c>
      <c r="BQ32" s="153">
        <f t="shared" si="42"/>
        <v>1.0828273393360111E-2</v>
      </c>
      <c r="BR32" s="463"/>
      <c r="BT32" s="147">
        <f t="shared" si="59"/>
        <v>75.221561379727945</v>
      </c>
      <c r="BU32" s="463">
        <f t="shared" si="43"/>
        <v>1.5666505789495657E-2</v>
      </c>
      <c r="BV32" s="463">
        <f t="shared" si="60"/>
        <v>1.5945187941164195E-2</v>
      </c>
      <c r="BW32" s="463">
        <f t="shared" si="44"/>
        <v>1.6828317845553312E-4</v>
      </c>
      <c r="BX32" s="463">
        <f t="shared" si="45"/>
        <v>0</v>
      </c>
      <c r="BY32" s="463">
        <f t="shared" si="46"/>
        <v>3.5684297831096452E-2</v>
      </c>
      <c r="BZ32" s="463">
        <f t="shared" si="61"/>
        <v>3.1779976909115382E-2</v>
      </c>
      <c r="CA32" s="549">
        <f t="shared" si="47"/>
        <v>0.27300000000000008</v>
      </c>
      <c r="CB32" s="147">
        <f t="shared" si="62"/>
        <v>308.6842978310965</v>
      </c>
      <c r="CC32" s="153">
        <f t="shared" si="63"/>
        <v>0.49679957560733368</v>
      </c>
      <c r="CD32" s="5">
        <f t="shared" si="64"/>
        <v>2.4570000000000003</v>
      </c>
      <c r="CE32" s="153">
        <f t="shared" si="65"/>
        <v>0.83180999154108615</v>
      </c>
      <c r="CF32" s="5">
        <f t="shared" si="66"/>
        <v>83.180999154108619</v>
      </c>
      <c r="CG32">
        <f t="shared" si="67"/>
        <v>27</v>
      </c>
      <c r="CI32" s="59">
        <f t="shared" si="48"/>
        <v>-50</v>
      </c>
      <c r="CJ32">
        <f t="shared" si="49"/>
        <v>-50</v>
      </c>
    </row>
    <row r="33" spans="5:88" x14ac:dyDescent="0.25">
      <c r="E33" s="150">
        <v>28</v>
      </c>
      <c r="F33" s="191">
        <f t="shared" si="68"/>
        <v>0.14000000000000001</v>
      </c>
      <c r="G33" s="191">
        <f t="shared" si="50"/>
        <v>2.8000000000000004E-2</v>
      </c>
      <c r="H33" s="191">
        <f t="shared" si="0"/>
        <v>2.1</v>
      </c>
      <c r="I33" s="191">
        <f t="shared" si="69"/>
        <v>0.44800000000000006</v>
      </c>
      <c r="J33" s="472">
        <f t="shared" si="1"/>
        <v>11.1</v>
      </c>
      <c r="K33" s="386">
        <f t="shared" si="2"/>
        <v>7.66</v>
      </c>
      <c r="L33" s="386">
        <f t="shared" si="3"/>
        <v>18.759999999999998</v>
      </c>
      <c r="M33" s="386"/>
      <c r="N33" s="191">
        <f t="shared" si="4"/>
        <v>0.40831556503198302</v>
      </c>
      <c r="O33" s="152">
        <f t="shared" si="51"/>
        <v>6.8918395170927162</v>
      </c>
      <c r="P33" s="152">
        <f t="shared" si="5"/>
        <v>1.7839143710021326</v>
      </c>
      <c r="Q33" s="191">
        <f t="shared" si="6"/>
        <v>0.45945596780618109</v>
      </c>
      <c r="R33" s="191">
        <f t="shared" si="7"/>
        <v>0.43073996981829477</v>
      </c>
      <c r="S33" s="386">
        <f t="shared" si="8"/>
        <v>15</v>
      </c>
      <c r="T33" s="191">
        <f t="shared" si="9"/>
        <v>1.2493036117057001</v>
      </c>
      <c r="U33" s="191">
        <f t="shared" si="10"/>
        <v>1.0129488743559731</v>
      </c>
      <c r="V33" s="191">
        <f t="shared" si="11"/>
        <v>1.4678501965210575</v>
      </c>
      <c r="W33" s="175">
        <f t="shared" si="12"/>
        <v>350</v>
      </c>
      <c r="X33" s="386">
        <f t="shared" si="52"/>
        <v>350</v>
      </c>
      <c r="Z33" s="191">
        <f t="shared" si="13"/>
        <v>1.4388262767793685</v>
      </c>
      <c r="AA33" s="153">
        <f t="shared" si="14"/>
        <v>1.6905269570514774</v>
      </c>
      <c r="AB33" s="153">
        <f t="shared" si="15"/>
        <v>0.21283277814833412</v>
      </c>
      <c r="AC33" s="153"/>
      <c r="AD33" s="153">
        <f t="shared" si="16"/>
        <v>0.96344647519582249</v>
      </c>
      <c r="AE33" s="317">
        <f t="shared" si="17"/>
        <v>708.83733227576192</v>
      </c>
      <c r="AF33" s="463">
        <f t="shared" si="18"/>
        <v>6.9127284595300251E-2</v>
      </c>
      <c r="AH33" s="153">
        <f t="shared" si="19"/>
        <v>1.2719189352225941</v>
      </c>
      <c r="AI33" s="153">
        <f t="shared" si="20"/>
        <v>1.2719189352225941</v>
      </c>
      <c r="AJ33" s="153">
        <f t="shared" si="21"/>
        <v>1.5347547668315511</v>
      </c>
      <c r="AL33" s="317">
        <f t="shared" si="22"/>
        <v>140</v>
      </c>
      <c r="AM33" s="147">
        <f t="shared" si="23"/>
        <v>350</v>
      </c>
      <c r="AO33">
        <f t="shared" si="53"/>
        <v>140</v>
      </c>
      <c r="AP33" s="147">
        <f t="shared" si="24"/>
        <v>350</v>
      </c>
      <c r="AQ33" s="147"/>
      <c r="AR33" s="5">
        <f t="shared" si="54"/>
        <v>2.8571428571428572</v>
      </c>
      <c r="AS33" s="5">
        <f t="shared" si="25"/>
        <v>1.0312856231534546</v>
      </c>
      <c r="AT33" s="5">
        <f t="shared" si="55"/>
        <v>1.8258572339894026</v>
      </c>
      <c r="AU33" s="153">
        <f t="shared" si="56"/>
        <v>0.36094996810370911</v>
      </c>
      <c r="AW33" s="5">
        <f t="shared" si="26"/>
        <v>11.33051538024511</v>
      </c>
      <c r="AX33" s="5">
        <f t="shared" si="27"/>
        <v>1.7524686087168253</v>
      </c>
      <c r="AY33" s="5">
        <f t="shared" si="28"/>
        <v>0.45203804398448061</v>
      </c>
      <c r="AZ33" s="5">
        <f t="shared" si="29"/>
        <v>0.31374387380642388</v>
      </c>
      <c r="BA33" s="5">
        <f t="shared" si="30"/>
        <v>0.83908849970781541</v>
      </c>
      <c r="BB33" s="147">
        <f t="shared" si="31"/>
        <v>21.93307958961233</v>
      </c>
      <c r="BC33" s="5"/>
      <c r="BD33" s="153">
        <f t="shared" si="57"/>
        <v>0.44118659593108606</v>
      </c>
      <c r="BE33" s="153">
        <f t="shared" si="32"/>
        <v>0.29351901421798887</v>
      </c>
      <c r="BF33" s="153">
        <f t="shared" si="33"/>
        <v>5.878053984077896E-2</v>
      </c>
      <c r="BG33" s="153"/>
      <c r="BH33" s="463">
        <f t="shared" si="34"/>
        <v>2.1411017367218534E-2</v>
      </c>
      <c r="BI33" s="463">
        <f t="shared" si="35"/>
        <v>4.1757098643357762E-2</v>
      </c>
      <c r="BJ33" s="463">
        <f t="shared" si="36"/>
        <v>1.7499999999999998E-2</v>
      </c>
      <c r="BK33" s="463">
        <f t="shared" si="37"/>
        <v>2.7715085999999993E-2</v>
      </c>
      <c r="BL33">
        <f t="shared" si="38"/>
        <v>3.2190000000000001E-3</v>
      </c>
      <c r="BM33">
        <f t="shared" si="39"/>
        <v>2.1350000000000001E-5</v>
      </c>
      <c r="BN33">
        <f t="shared" si="40"/>
        <v>0.11496820200347416</v>
      </c>
      <c r="BO33" s="147">
        <f t="shared" si="58"/>
        <v>114.96820200347416</v>
      </c>
      <c r="BP33" s="153">
        <f t="shared" si="41"/>
        <v>6.6644241308906005E-2</v>
      </c>
      <c r="BQ33" s="153">
        <f t="shared" si="42"/>
        <v>1.1223947204815137E-2</v>
      </c>
      <c r="BR33" s="463"/>
      <c r="BT33" s="147">
        <f t="shared" si="59"/>
        <v>77.868188513721137</v>
      </c>
      <c r="BU33" s="463">
        <f t="shared" si="43"/>
        <v>1.6544877056487051E-2</v>
      </c>
      <c r="BV33" s="463">
        <f t="shared" si="60"/>
        <v>1.6369148224424989E-2</v>
      </c>
      <c r="BW33" s="463">
        <f t="shared" si="44"/>
        <v>1.7275759319867014E-4</v>
      </c>
      <c r="BX33" s="463">
        <f t="shared" si="45"/>
        <v>0</v>
      </c>
      <c r="BY33" s="463">
        <f t="shared" si="46"/>
        <v>3.7155545416104149E-2</v>
      </c>
      <c r="BZ33" s="463">
        <f t="shared" si="61"/>
        <v>3.3086782874110716E-2</v>
      </c>
      <c r="CA33" s="549">
        <f t="shared" si="47"/>
        <v>0.28311111111111109</v>
      </c>
      <c r="CB33" s="147">
        <f t="shared" si="62"/>
        <v>320.26665652721528</v>
      </c>
      <c r="CC33" s="153">
        <f t="shared" si="63"/>
        <v>0.51310304704441057</v>
      </c>
      <c r="CD33" s="5">
        <f t="shared" si="64"/>
        <v>2.548</v>
      </c>
      <c r="CE33" s="153">
        <f t="shared" si="65"/>
        <v>0.83237968825001585</v>
      </c>
      <c r="CF33" s="5">
        <f t="shared" si="66"/>
        <v>83.237968825001587</v>
      </c>
      <c r="CG33">
        <f t="shared" si="67"/>
        <v>28.000000000000004</v>
      </c>
      <c r="CI33" s="59">
        <f t="shared" si="48"/>
        <v>-50</v>
      </c>
      <c r="CJ33">
        <f t="shared" si="49"/>
        <v>-50</v>
      </c>
    </row>
    <row r="34" spans="5:88" x14ac:dyDescent="0.25">
      <c r="E34" s="150">
        <v>29</v>
      </c>
      <c r="F34" s="191">
        <f t="shared" si="68"/>
        <v>0.14499999999999999</v>
      </c>
      <c r="G34" s="191">
        <f t="shared" si="50"/>
        <v>2.8999999999999998E-2</v>
      </c>
      <c r="H34" s="191">
        <f t="shared" si="0"/>
        <v>2.1749999999999998</v>
      </c>
      <c r="I34" s="191">
        <f t="shared" si="69"/>
        <v>0.46399999999999997</v>
      </c>
      <c r="J34" s="472">
        <f t="shared" si="1"/>
        <v>11.1</v>
      </c>
      <c r="K34" s="386">
        <f t="shared" si="2"/>
        <v>7.66</v>
      </c>
      <c r="L34" s="386">
        <f t="shared" si="3"/>
        <v>18.759999999999998</v>
      </c>
      <c r="M34" s="386"/>
      <c r="N34" s="191">
        <f t="shared" si="4"/>
        <v>0.40831556503198302</v>
      </c>
      <c r="O34" s="152">
        <f t="shared" si="51"/>
        <v>6.8918395170927162</v>
      </c>
      <c r="P34" s="152">
        <f t="shared" si="5"/>
        <v>1.7839143710021326</v>
      </c>
      <c r="Q34" s="191">
        <f t="shared" si="6"/>
        <v>0.45945596780618109</v>
      </c>
      <c r="R34" s="191">
        <f t="shared" si="7"/>
        <v>0.43073996981829477</v>
      </c>
      <c r="S34" s="386">
        <f t="shared" si="8"/>
        <v>15</v>
      </c>
      <c r="T34" s="191">
        <f t="shared" si="9"/>
        <v>1.2939215978380465</v>
      </c>
      <c r="U34" s="191">
        <f t="shared" si="10"/>
        <v>1.0491256198686865</v>
      </c>
      <c r="V34" s="191">
        <f t="shared" si="11"/>
        <v>1.5202734178253809</v>
      </c>
      <c r="W34" s="175">
        <f t="shared" si="12"/>
        <v>350</v>
      </c>
      <c r="X34" s="386">
        <f t="shared" si="52"/>
        <v>350</v>
      </c>
      <c r="Z34" s="191">
        <f t="shared" si="13"/>
        <v>1.4388262767793685</v>
      </c>
      <c r="AA34" s="153">
        <f t="shared" si="14"/>
        <v>1.6905269570514774</v>
      </c>
      <c r="AB34" s="153">
        <f t="shared" si="15"/>
        <v>0.21283277814833412</v>
      </c>
      <c r="AC34" s="153"/>
      <c r="AD34" s="153">
        <f t="shared" si="16"/>
        <v>0.96344647519582249</v>
      </c>
      <c r="AE34" s="317">
        <f t="shared" si="17"/>
        <v>734.15295128561047</v>
      </c>
      <c r="AF34" s="463">
        <f t="shared" si="18"/>
        <v>6.9127284595300251E-2</v>
      </c>
      <c r="AH34" s="153">
        <f t="shared" si="19"/>
        <v>1.2944325225965065</v>
      </c>
      <c r="AI34" s="153">
        <f t="shared" si="20"/>
        <v>1.2944325225965065</v>
      </c>
      <c r="AJ34" s="153">
        <f t="shared" si="21"/>
        <v>1.5514314982196344</v>
      </c>
      <c r="AL34" s="317">
        <f t="shared" si="22"/>
        <v>145</v>
      </c>
      <c r="AM34" s="147">
        <f t="shared" si="23"/>
        <v>350</v>
      </c>
      <c r="AO34">
        <f t="shared" si="53"/>
        <v>145</v>
      </c>
      <c r="AP34" s="147">
        <f t="shared" si="24"/>
        <v>350</v>
      </c>
      <c r="AQ34" s="147"/>
      <c r="AR34" s="5">
        <f t="shared" si="54"/>
        <v>2.8571428571428572</v>
      </c>
      <c r="AS34" s="5">
        <f t="shared" si="25"/>
        <v>1.0495398831863567</v>
      </c>
      <c r="AT34" s="5">
        <f t="shared" si="55"/>
        <v>1.8076029739565005</v>
      </c>
      <c r="AU34" s="153">
        <f t="shared" si="56"/>
        <v>0.36733895911522485</v>
      </c>
      <c r="AW34" s="5">
        <f t="shared" si="26"/>
        <v>11.33051538024511</v>
      </c>
      <c r="AX34" s="5">
        <f t="shared" si="27"/>
        <v>1.8643445152179208</v>
      </c>
      <c r="AY34" s="5">
        <f t="shared" si="28"/>
        <v>0.45203804398448061</v>
      </c>
      <c r="AZ34" s="5">
        <f t="shared" si="29"/>
        <v>0.33448290544796216</v>
      </c>
      <c r="BA34" s="5">
        <f t="shared" si="30"/>
        <v>0.8603674391997771</v>
      </c>
      <c r="BB34" s="147">
        <f t="shared" si="31"/>
        <v>22.497216526850508</v>
      </c>
      <c r="BC34" s="5"/>
      <c r="BD34" s="153">
        <f t="shared" si="57"/>
        <v>0.45295210700378685</v>
      </c>
      <c r="BE34" s="153">
        <f t="shared" si="32"/>
        <v>0.29721747394767545</v>
      </c>
      <c r="BF34" s="153">
        <f t="shared" si="33"/>
        <v>5.9521198704292649E-2</v>
      </c>
      <c r="BG34" s="153"/>
      <c r="BH34" s="463">
        <f t="shared" si="34"/>
        <v>2.25682172363087E-2</v>
      </c>
      <c r="BI34" s="463">
        <f t="shared" si="35"/>
        <v>4.2496219716843309E-2</v>
      </c>
      <c r="BJ34" s="463">
        <f t="shared" si="36"/>
        <v>1.7499999999999998E-2</v>
      </c>
      <c r="BK34" s="463">
        <f t="shared" si="37"/>
        <v>2.7715085999999993E-2</v>
      </c>
      <c r="BL34">
        <f t="shared" si="38"/>
        <v>3.2190000000000001E-3</v>
      </c>
      <c r="BM34">
        <f t="shared" si="39"/>
        <v>2.1350000000000001E-5</v>
      </c>
      <c r="BN34">
        <f t="shared" si="40"/>
        <v>0.11705397584800865</v>
      </c>
      <c r="BO34" s="147">
        <f t="shared" si="58"/>
        <v>117.05397584800865</v>
      </c>
      <c r="BP34" s="153">
        <f t="shared" si="41"/>
        <v>6.8888081058071107E-2</v>
      </c>
      <c r="BQ34" s="153">
        <f t="shared" si="42"/>
        <v>1.1619335728945931E-2</v>
      </c>
      <c r="BR34" s="463"/>
      <c r="BT34" s="147">
        <f t="shared" si="59"/>
        <v>80.507416787017036</v>
      </c>
      <c r="BU34" s="463">
        <f t="shared" si="43"/>
        <v>1.7439076955329449E-2</v>
      </c>
      <c r="BV34" s="463">
        <f t="shared" si="60"/>
        <v>1.6784263095769057E-2</v>
      </c>
      <c r="BW34" s="463">
        <f t="shared" si="44"/>
        <v>1.7713865475979445E-4</v>
      </c>
      <c r="BX34" s="463">
        <f t="shared" si="45"/>
        <v>0</v>
      </c>
      <c r="BY34" s="463">
        <f t="shared" si="46"/>
        <v>3.8634860766970737E-2</v>
      </c>
      <c r="BZ34" s="463">
        <f t="shared" si="61"/>
        <v>3.4400478705858301E-2</v>
      </c>
      <c r="CA34" s="549">
        <f t="shared" si="47"/>
        <v>0.29322222222222222</v>
      </c>
      <c r="CB34" s="147">
        <f t="shared" si="62"/>
        <v>331.85708298919297</v>
      </c>
      <c r="CC34" s="153">
        <f t="shared" si="63"/>
        <v>0.52941847562421862</v>
      </c>
      <c r="CD34" s="5">
        <f t="shared" si="64"/>
        <v>2.6389999999999998</v>
      </c>
      <c r="CE34" s="153">
        <f t="shared" si="65"/>
        <v>0.83290765418229162</v>
      </c>
      <c r="CF34" s="5">
        <f t="shared" si="66"/>
        <v>83.290765418229157</v>
      </c>
      <c r="CG34">
        <f t="shared" si="67"/>
        <v>28.999999999999996</v>
      </c>
      <c r="CI34" s="59">
        <f t="shared" si="48"/>
        <v>-50</v>
      </c>
      <c r="CJ34">
        <f t="shared" si="49"/>
        <v>-50</v>
      </c>
    </row>
    <row r="35" spans="5:88" x14ac:dyDescent="0.25">
      <c r="E35" s="150">
        <v>30</v>
      </c>
      <c r="F35" s="191">
        <f t="shared" si="68"/>
        <v>0.15</v>
      </c>
      <c r="G35" s="191">
        <f t="shared" si="50"/>
        <v>0.03</v>
      </c>
      <c r="H35" s="191">
        <f t="shared" si="0"/>
        <v>2.25</v>
      </c>
      <c r="I35" s="191">
        <f t="shared" si="69"/>
        <v>0.48</v>
      </c>
      <c r="J35" s="472">
        <f t="shared" si="1"/>
        <v>11.1</v>
      </c>
      <c r="K35" s="386">
        <f t="shared" si="2"/>
        <v>7.66</v>
      </c>
      <c r="L35" s="386">
        <f t="shared" si="3"/>
        <v>18.759999999999998</v>
      </c>
      <c r="M35" s="386"/>
      <c r="N35" s="191">
        <f t="shared" si="4"/>
        <v>0.40831556503198302</v>
      </c>
      <c r="O35" s="152">
        <f t="shared" si="51"/>
        <v>6.8918395170927162</v>
      </c>
      <c r="P35" s="152">
        <f t="shared" si="5"/>
        <v>1.7839143710021326</v>
      </c>
      <c r="Q35" s="191">
        <f t="shared" si="6"/>
        <v>0.45945596780618109</v>
      </c>
      <c r="R35" s="191">
        <f t="shared" si="7"/>
        <v>0.43073996981829477</v>
      </c>
      <c r="S35" s="386">
        <f t="shared" si="8"/>
        <v>15</v>
      </c>
      <c r="T35" s="191">
        <f t="shared" si="9"/>
        <v>1.3385395839703931</v>
      </c>
      <c r="U35" s="191">
        <f t="shared" si="10"/>
        <v>1.0853023653813998</v>
      </c>
      <c r="V35" s="191">
        <f t="shared" si="11"/>
        <v>1.5726966391297046</v>
      </c>
      <c r="W35" s="175">
        <f t="shared" si="12"/>
        <v>350</v>
      </c>
      <c r="X35" s="386">
        <f t="shared" si="52"/>
        <v>350</v>
      </c>
      <c r="Z35" s="191">
        <f t="shared" si="13"/>
        <v>1.4388262767793685</v>
      </c>
      <c r="AA35" s="153">
        <f t="shared" si="14"/>
        <v>1.6905269570514774</v>
      </c>
      <c r="AB35" s="153">
        <f t="shared" si="15"/>
        <v>0.21283277814833412</v>
      </c>
      <c r="AC35" s="153"/>
      <c r="AD35" s="153">
        <f t="shared" si="16"/>
        <v>0.96344647519582249</v>
      </c>
      <c r="AE35" s="317">
        <f t="shared" si="17"/>
        <v>759.46857029545913</v>
      </c>
      <c r="AF35" s="463">
        <f t="shared" si="18"/>
        <v>6.9127284595300251E-2</v>
      </c>
      <c r="AH35" s="153">
        <f t="shared" si="19"/>
        <v>1.3165611772087666</v>
      </c>
      <c r="AI35" s="153">
        <f t="shared" si="20"/>
        <v>1.3165611772087666</v>
      </c>
      <c r="AJ35" s="153">
        <f t="shared" si="21"/>
        <v>1.5678230942287161</v>
      </c>
      <c r="AL35" s="317">
        <f t="shared" si="22"/>
        <v>150</v>
      </c>
      <c r="AM35" s="147">
        <f t="shared" si="23"/>
        <v>350</v>
      </c>
      <c r="AO35">
        <f t="shared" si="53"/>
        <v>150</v>
      </c>
      <c r="AP35" s="147">
        <f t="shared" si="24"/>
        <v>350</v>
      </c>
      <c r="AQ35" s="147"/>
      <c r="AR35" s="5">
        <f t="shared" si="54"/>
        <v>2.8571428571428572</v>
      </c>
      <c r="AS35" s="5">
        <f t="shared" si="25"/>
        <v>1.0674820355746757</v>
      </c>
      <c r="AT35" s="5">
        <f t="shared" si="55"/>
        <v>1.7896608215681815</v>
      </c>
      <c r="AU35" s="153">
        <f t="shared" si="56"/>
        <v>0.37361871245113648</v>
      </c>
      <c r="AW35" s="5">
        <f t="shared" si="26"/>
        <v>11.33051538024511</v>
      </c>
      <c r="AX35" s="5">
        <f t="shared" si="27"/>
        <v>1.9796195763330899</v>
      </c>
      <c r="AY35" s="5">
        <f t="shared" si="28"/>
        <v>0.45203804398448061</v>
      </c>
      <c r="AZ35" s="5">
        <f t="shared" si="29"/>
        <v>0.35587944697165991</v>
      </c>
      <c r="BA35" s="5">
        <f t="shared" si="30"/>
        <v>0.88120084821418454</v>
      </c>
      <c r="BB35" s="147">
        <f t="shared" si="31"/>
        <v>23.050113945223114</v>
      </c>
      <c r="BC35" s="5"/>
      <c r="BD35" s="153">
        <f t="shared" si="57"/>
        <v>0.46461660475731192</v>
      </c>
      <c r="BE35" s="153">
        <f t="shared" si="32"/>
        <v>0.30079444325052179</v>
      </c>
      <c r="BF35" s="153">
        <f t="shared" si="33"/>
        <v>6.0237527720235225E-2</v>
      </c>
      <c r="BG35" s="153"/>
      <c r="BH35" s="463">
        <f t="shared" si="34"/>
        <v>2.3745544835783342E-2</v>
      </c>
      <c r="BI35" s="463">
        <f t="shared" si="35"/>
        <v>4.3222703447763806E-2</v>
      </c>
      <c r="BJ35" s="463">
        <f t="shared" si="36"/>
        <v>1.7499999999999998E-2</v>
      </c>
      <c r="BK35" s="463">
        <f t="shared" si="37"/>
        <v>2.7715085999999993E-2</v>
      </c>
      <c r="BL35">
        <f t="shared" si="38"/>
        <v>3.2190000000000001E-3</v>
      </c>
      <c r="BM35">
        <f t="shared" si="39"/>
        <v>2.1350000000000001E-5</v>
      </c>
      <c r="BN35">
        <f t="shared" si="40"/>
        <v>0.11915134117975287</v>
      </c>
      <c r="BO35" s="147">
        <f t="shared" si="58"/>
        <v>119.15134117975288</v>
      </c>
      <c r="BP35" s="153">
        <f t="shared" si="41"/>
        <v>7.1124930995411798E-2</v>
      </c>
      <c r="BQ35" s="153">
        <f t="shared" si="42"/>
        <v>1.2014443929165286E-2</v>
      </c>
      <c r="BR35" s="463"/>
      <c r="BT35" s="147">
        <f t="shared" si="59"/>
        <v>83.139374924577083</v>
      </c>
      <c r="BU35" s="463">
        <f t="shared" si="43"/>
        <v>1.8348830100378039E-2</v>
      </c>
      <c r="BV35" s="463">
        <f t="shared" si="60"/>
        <v>1.719068644717436E-2</v>
      </c>
      <c r="BW35" s="463">
        <f t="shared" si="44"/>
        <v>1.8142798729230537E-4</v>
      </c>
      <c r="BX35" s="463">
        <f t="shared" si="45"/>
        <v>0</v>
      </c>
      <c r="BY35" s="463">
        <f t="shared" si="46"/>
        <v>4.0122113863340726E-2</v>
      </c>
      <c r="BZ35" s="463">
        <f t="shared" si="61"/>
        <v>3.5720944534844708E-2</v>
      </c>
      <c r="CA35" s="549">
        <f t="shared" si="47"/>
        <v>0.3033333333333334</v>
      </c>
      <c r="CB35" s="147">
        <f t="shared" si="62"/>
        <v>343.45544719667413</v>
      </c>
      <c r="CC35" s="153">
        <f t="shared" si="63"/>
        <v>0.54574616330100412</v>
      </c>
      <c r="CD35" s="5">
        <f t="shared" si="64"/>
        <v>2.73</v>
      </c>
      <c r="CE35" s="153">
        <f t="shared" si="65"/>
        <v>0.83339790811170489</v>
      </c>
      <c r="CF35" s="5">
        <f t="shared" si="66"/>
        <v>83.339790811170488</v>
      </c>
      <c r="CG35">
        <f t="shared" si="67"/>
        <v>30</v>
      </c>
      <c r="CI35" s="59">
        <f t="shared" si="48"/>
        <v>-50</v>
      </c>
      <c r="CJ35">
        <f t="shared" si="49"/>
        <v>-50</v>
      </c>
    </row>
    <row r="36" spans="5:88" x14ac:dyDescent="0.25">
      <c r="E36" s="150">
        <v>31</v>
      </c>
      <c r="F36" s="191">
        <f t="shared" si="68"/>
        <v>0.155</v>
      </c>
      <c r="G36" s="191">
        <f t="shared" si="50"/>
        <v>3.1E-2</v>
      </c>
      <c r="H36" s="191">
        <f t="shared" si="0"/>
        <v>2.3250000000000002</v>
      </c>
      <c r="I36" s="191">
        <f t="shared" si="69"/>
        <v>0.496</v>
      </c>
      <c r="J36" s="472">
        <f t="shared" si="1"/>
        <v>11.1</v>
      </c>
      <c r="K36" s="386">
        <f t="shared" si="2"/>
        <v>7.66</v>
      </c>
      <c r="L36" s="386">
        <f t="shared" si="3"/>
        <v>18.759999999999998</v>
      </c>
      <c r="M36" s="386"/>
      <c r="N36" s="191">
        <f t="shared" si="4"/>
        <v>0.40831556503198302</v>
      </c>
      <c r="O36" s="152">
        <f t="shared" si="51"/>
        <v>6.8918395170927162</v>
      </c>
      <c r="P36" s="152">
        <f t="shared" si="5"/>
        <v>1.7839143710021326</v>
      </c>
      <c r="Q36" s="191">
        <f t="shared" si="6"/>
        <v>0.45945596780618109</v>
      </c>
      <c r="R36" s="191">
        <f t="shared" si="7"/>
        <v>0.43073996981829477</v>
      </c>
      <c r="S36" s="386">
        <f t="shared" si="8"/>
        <v>15</v>
      </c>
      <c r="T36" s="191">
        <f t="shared" si="9"/>
        <v>1.3831575701027394</v>
      </c>
      <c r="U36" s="191">
        <f t="shared" si="10"/>
        <v>1.1214791108941131</v>
      </c>
      <c r="V36" s="191">
        <f t="shared" si="11"/>
        <v>1.6251198604340278</v>
      </c>
      <c r="W36" s="175">
        <f t="shared" si="12"/>
        <v>350</v>
      </c>
      <c r="X36" s="386">
        <f t="shared" si="52"/>
        <v>350</v>
      </c>
      <c r="Z36" s="191">
        <f t="shared" si="13"/>
        <v>1.4388262767793685</v>
      </c>
      <c r="AA36" s="153">
        <f t="shared" si="14"/>
        <v>1.6905269570514774</v>
      </c>
      <c r="AB36" s="153">
        <f t="shared" si="15"/>
        <v>0.21283277814833412</v>
      </c>
      <c r="AC36" s="153"/>
      <c r="AD36" s="153">
        <f t="shared" si="16"/>
        <v>0.96344647519582249</v>
      </c>
      <c r="AE36" s="317">
        <f t="shared" si="17"/>
        <v>784.78418930530779</v>
      </c>
      <c r="AF36" s="463">
        <f t="shared" si="18"/>
        <v>6.9127284595300251E-2</v>
      </c>
      <c r="AH36" s="153">
        <f t="shared" si="19"/>
        <v>1.3383239933256488</v>
      </c>
      <c r="AI36" s="153">
        <f t="shared" si="20"/>
        <v>1.3383239933256488</v>
      </c>
      <c r="AJ36" s="153">
        <f t="shared" si="21"/>
        <v>1.5839436987597399</v>
      </c>
      <c r="AL36" s="317">
        <f t="shared" si="22"/>
        <v>155</v>
      </c>
      <c r="AM36" s="147">
        <f t="shared" si="23"/>
        <v>350</v>
      </c>
      <c r="AO36">
        <f t="shared" si="53"/>
        <v>155</v>
      </c>
      <c r="AP36" s="147">
        <f t="shared" si="24"/>
        <v>350</v>
      </c>
      <c r="AQ36" s="147"/>
      <c r="AR36" s="5">
        <f t="shared" si="54"/>
        <v>2.8571428571428572</v>
      </c>
      <c r="AS36" s="5">
        <f t="shared" si="25"/>
        <v>1.0851275621559315</v>
      </c>
      <c r="AT36" s="5">
        <f t="shared" si="55"/>
        <v>1.7720152949869257</v>
      </c>
      <c r="AU36" s="153">
        <f t="shared" si="56"/>
        <v>0.37979464675457603</v>
      </c>
      <c r="AW36" s="5">
        <f t="shared" si="26"/>
        <v>11.33051538024511</v>
      </c>
      <c r="AX36" s="5">
        <f t="shared" si="27"/>
        <v>2.0982937920623326</v>
      </c>
      <c r="AY36" s="5">
        <f t="shared" si="28"/>
        <v>0.45203804398448061</v>
      </c>
      <c r="AZ36" s="5">
        <f t="shared" si="29"/>
        <v>0.37793349837751689</v>
      </c>
      <c r="BA36" s="5">
        <f t="shared" si="30"/>
        <v>0.90159621732689754</v>
      </c>
      <c r="BB36" s="147">
        <f t="shared" si="31"/>
        <v>23.591960811530249</v>
      </c>
      <c r="BC36" s="5"/>
      <c r="BD36" s="153">
        <f t="shared" si="57"/>
        <v>0.47618428216487807</v>
      </c>
      <c r="BE36" s="153">
        <f t="shared" si="32"/>
        <v>0.30425547096813099</v>
      </c>
      <c r="BF36" s="153">
        <f t="shared" si="33"/>
        <v>6.0930638107604788E-2</v>
      </c>
      <c r="BG36" s="153"/>
      <c r="BH36" s="463">
        <f t="shared" si="34"/>
        <v>2.4942661763896822E-2</v>
      </c>
      <c r="BI36" s="463">
        <f t="shared" si="35"/>
        <v>4.3937176700881049E-2</v>
      </c>
      <c r="BJ36" s="463">
        <f t="shared" si="36"/>
        <v>1.7499999999999998E-2</v>
      </c>
      <c r="BK36" s="463">
        <f t="shared" si="37"/>
        <v>2.7715085999999993E-2</v>
      </c>
      <c r="BL36">
        <f t="shared" si="38"/>
        <v>3.2190000000000001E-3</v>
      </c>
      <c r="BM36">
        <f t="shared" si="39"/>
        <v>2.1350000000000001E-5</v>
      </c>
      <c r="BN36">
        <f t="shared" si="40"/>
        <v>0.12126056535666362</v>
      </c>
      <c r="BO36" s="147">
        <f t="shared" si="58"/>
        <v>121.26056535666362</v>
      </c>
      <c r="BP36" s="153">
        <f t="shared" si="41"/>
        <v>7.3354908638625191E-2</v>
      </c>
      <c r="BQ36" s="153">
        <f t="shared" si="42"/>
        <v>1.2409276518478545E-2</v>
      </c>
      <c r="BR36" s="463"/>
      <c r="BT36" s="147">
        <f t="shared" si="59"/>
        <v>85.764185157103739</v>
      </c>
      <c r="BU36" s="463">
        <f t="shared" si="43"/>
        <v>1.9273874999374819E-2</v>
      </c>
      <c r="BV36" s="463">
        <f t="shared" si="60"/>
        <v>1.7588564406667447E-2</v>
      </c>
      <c r="BW36" s="463">
        <f t="shared" si="44"/>
        <v>1.8562713300999506E-4</v>
      </c>
      <c r="BX36" s="463">
        <f t="shared" si="45"/>
        <v>0</v>
      </c>
      <c r="BY36" s="463">
        <f t="shared" si="46"/>
        <v>4.1617181412228775E-2</v>
      </c>
      <c r="BZ36" s="463">
        <f t="shared" si="61"/>
        <v>3.7048066539052259E-2</v>
      </c>
      <c r="CA36" s="549">
        <f t="shared" si="47"/>
        <v>0.31344444444444447</v>
      </c>
      <c r="CB36" s="147">
        <f t="shared" si="62"/>
        <v>355.06162585667323</v>
      </c>
      <c r="CC36" s="153">
        <f t="shared" si="63"/>
        <v>0.56208637637044057</v>
      </c>
      <c r="CD36" s="5">
        <f t="shared" si="64"/>
        <v>2.8210000000000002</v>
      </c>
      <c r="CE36" s="153">
        <f t="shared" si="65"/>
        <v>0.8338539682887206</v>
      </c>
      <c r="CF36" s="5">
        <f t="shared" si="66"/>
        <v>83.385396828872061</v>
      </c>
      <c r="CG36">
        <f t="shared" si="67"/>
        <v>31</v>
      </c>
      <c r="CI36" s="59">
        <f t="shared" si="48"/>
        <v>-50</v>
      </c>
      <c r="CJ36">
        <f t="shared" si="49"/>
        <v>-50</v>
      </c>
    </row>
    <row r="37" spans="5:88" x14ac:dyDescent="0.25">
      <c r="E37" s="150">
        <v>32</v>
      </c>
      <c r="F37" s="191">
        <f t="shared" si="68"/>
        <v>0.16</v>
      </c>
      <c r="G37" s="191">
        <f t="shared" si="50"/>
        <v>3.2000000000000001E-2</v>
      </c>
      <c r="H37" s="191">
        <f t="shared" ref="H37:H68" si="70">F37*Vout</f>
        <v>2.4</v>
      </c>
      <c r="I37" s="191">
        <f t="shared" si="69"/>
        <v>0.51200000000000001</v>
      </c>
      <c r="J37" s="472">
        <f t="shared" si="1"/>
        <v>11.1</v>
      </c>
      <c r="K37" s="386">
        <f t="shared" si="2"/>
        <v>7.66</v>
      </c>
      <c r="L37" s="386">
        <f t="shared" si="3"/>
        <v>18.759999999999998</v>
      </c>
      <c r="M37" s="386"/>
      <c r="N37" s="191">
        <f t="shared" si="4"/>
        <v>0.40831556503198302</v>
      </c>
      <c r="O37" s="152">
        <f t="shared" si="51"/>
        <v>6.8918395170927162</v>
      </c>
      <c r="P37" s="152">
        <f t="shared" ref="P37:P68" si="71">N37*J37*Isw_max*0.5*Efficiency*(Pout2/Pout_total)</f>
        <v>1.7839143710021326</v>
      </c>
      <c r="Q37" s="191">
        <f t="shared" si="6"/>
        <v>0.45945596780618109</v>
      </c>
      <c r="R37" s="191">
        <f t="shared" ref="R37:R68" si="72">O37/Vout2</f>
        <v>0.43073996981829477</v>
      </c>
      <c r="S37" s="386">
        <f t="shared" ref="S37:S68" si="73">MIN(Vout,O37/F37)</f>
        <v>15</v>
      </c>
      <c r="T37" s="191">
        <f t="shared" ref="T37:T68" si="74">MIN(2*(Vout*F37+Vout2*G37)/(Efficiency*J37*N37), Isw_max)</f>
        <v>1.4277755562350858</v>
      </c>
      <c r="U37" s="191">
        <f t="shared" si="10"/>
        <v>1.1576558564068264</v>
      </c>
      <c r="V37" s="191">
        <f t="shared" si="11"/>
        <v>1.6775430817383514</v>
      </c>
      <c r="W37" s="175">
        <f t="shared" si="12"/>
        <v>350</v>
      </c>
      <c r="X37" s="386">
        <f t="shared" si="52"/>
        <v>350</v>
      </c>
      <c r="Z37" s="191">
        <f t="shared" si="13"/>
        <v>1.4388262767793685</v>
      </c>
      <c r="AA37" s="153">
        <f t="shared" si="14"/>
        <v>1.6905269570514774</v>
      </c>
      <c r="AB37" s="153">
        <f t="shared" ref="AB37:AB68" si="75">0.5*AA37*Z37*Nps*W37/1000*(Pout/Pout_total)</f>
        <v>0.21283277814833412</v>
      </c>
      <c r="AC37" s="153"/>
      <c r="AD37" s="153">
        <f t="shared" si="16"/>
        <v>0.96344647519582249</v>
      </c>
      <c r="AE37" s="317">
        <f t="shared" ref="AE37:AE68" si="76">MAX(10, F37/(0.5*AD37/1000000*Isw_min*Nps)/1000*Pout_total/Pout)</f>
        <v>810.09980831515634</v>
      </c>
      <c r="AF37" s="463">
        <f t="shared" ref="AF37:AF68" si="77">0.5*AD37/1000000*Isw_min*Nps*W37*1000*(Pout/Pout_total)</f>
        <v>6.9127284595300251E-2</v>
      </c>
      <c r="AH37" s="153">
        <f t="shared" ref="AH37:AH68" si="78">SQRT((H37+I37)/(0.5*L*Fsw_DCM))</f>
        <v>1.3597385369580759</v>
      </c>
      <c r="AI37" s="153">
        <f t="shared" ref="AI37:AI68" si="79">MAX(IF(F37&gt;AB37,T37,AH37),Isw_min)</f>
        <v>1.3597385369580759</v>
      </c>
      <c r="AJ37" s="153">
        <f t="shared" ref="AJ37:AJ68" si="80">IF(F37&gt;AF37, (AI37-Isw_min)/1.08*0.8+1.2, AE37*0.2/350+1)</f>
        <v>1.5998063236726487</v>
      </c>
      <c r="AL37" s="317">
        <f t="shared" ref="AL37:AL68" si="81">F37*1000</f>
        <v>160</v>
      </c>
      <c r="AM37" s="147">
        <f t="shared" ref="AM37:AM68" si="82">IF(F37&gt;AF37, X37, AE37)</f>
        <v>350</v>
      </c>
      <c r="AO37">
        <f t="shared" si="53"/>
        <v>160</v>
      </c>
      <c r="AP37" s="147">
        <f t="shared" si="24"/>
        <v>350</v>
      </c>
      <c r="AQ37" s="147"/>
      <c r="AR37" s="5">
        <f t="shared" si="54"/>
        <v>2.8571428571428572</v>
      </c>
      <c r="AS37" s="5">
        <f t="shared" si="25"/>
        <v>1.1024907056416833</v>
      </c>
      <c r="AT37" s="5">
        <f t="shared" si="55"/>
        <v>1.7546521515011739</v>
      </c>
      <c r="AU37" s="153">
        <f t="shared" si="56"/>
        <v>0.38587174697458915</v>
      </c>
      <c r="AW37" s="5">
        <f t="shared" ref="AW37:AW68" si="83">L*Iout^2/(2*Vripple1_spec*Vout*Npri_sec1^2)*1000000000*((1+N37)/(1-N37))^2</f>
        <v>11.33051538024511</v>
      </c>
      <c r="AX37" s="5">
        <f t="shared" ref="AX37:AX68" si="84">L*F37^2/(2*Cout*Vout*Nps^2)*1000000000*((1+N37)/(1-N37))^2+F37*RCoutEsr</f>
        <v>2.2203671624056494</v>
      </c>
      <c r="AY37" s="5">
        <f t="shared" ref="AY37:AY68" si="85">L*Iout2^2/(2*Vripple2_spec*Vout2*Npri_sec2^2)*1000000000*((1+N37)/(1-N37))^2</f>
        <v>0.45203804398448061</v>
      </c>
      <c r="AZ37" s="5">
        <f t="shared" ref="AZ37:AZ68" si="86">L*G37^2/(2*Cout2*Vout2*Npri_sec2^2)*1000000000*((1+N37)/(1-N37))^2+G37*CoutEsr2</f>
        <v>0.40064505966553304</v>
      </c>
      <c r="BA37" s="5">
        <f t="shared" ref="BA37:BA68" si="87">(H37+I37)/Efficiency/J37*AT37/Vinripple1</f>
        <v>0.92156067151321031</v>
      </c>
      <c r="BB37" s="147">
        <f t="shared" ref="BB37:BB68" si="88">((CD37/J37/Efficiency)*AT37/Cin+(CD37/J37/Efficiency)*RCinEsr)*1000</f>
        <v>24.12293686946682</v>
      </c>
      <c r="BC37" s="5"/>
      <c r="BD37" s="153">
        <f t="shared" si="57"/>
        <v>0.4876590289390948</v>
      </c>
      <c r="BE37" s="153">
        <f t="shared" ref="BE37:BE68" si="89">AI37*Npri_sec1*SQRT((1-AU37)/3)*(Pout/Pout_total)</f>
        <v>0.30760565981076948</v>
      </c>
      <c r="BF37" s="153">
        <f t="shared" ref="BF37:BF68" si="90">AI37*Npri_sec2*SQRT((1-AU37)/3)*(Pout2/Pout_total)</f>
        <v>6.1601551742496589E-2</v>
      </c>
      <c r="BG37" s="153"/>
      <c r="BH37" s="463">
        <f t="shared" si="34"/>
        <v>2.6159246135640298E-2</v>
      </c>
      <c r="BI37" s="463">
        <f t="shared" si="35"/>
        <v>4.4640216168333628E-2</v>
      </c>
      <c r="BJ37" s="463">
        <f t="shared" si="36"/>
        <v>1.7499999999999998E-2</v>
      </c>
      <c r="BK37" s="463">
        <f t="shared" si="37"/>
        <v>2.7715085999999993E-2</v>
      </c>
      <c r="BL37">
        <f t="shared" si="38"/>
        <v>3.2190000000000001E-3</v>
      </c>
      <c r="BM37">
        <f t="shared" ref="BM37:BM68" si="91">(J37-Vdd)*Qg*AM37</f>
        <v>2.1350000000000001E-5</v>
      </c>
      <c r="BN37">
        <f t="shared" ref="BN37:BN68" si="92">(BI37+BJ37+BK37+BL37+BM37+BH37*(1+RdsonTC*(Ta-25)))/(1-BH37*RdsonTC*ThetaJA)</f>
        <v>0.12338188450454786</v>
      </c>
      <c r="BO37" s="147">
        <f t="shared" si="58"/>
        <v>123.38188450454786</v>
      </c>
      <c r="BP37" s="153">
        <f t="shared" ref="BP37:BP68" si="93">(Vfwd2*F37+BE37^2*Rdiode)*(1+Diode_TC/1000*(Ta-25))</f>
        <v>7.5578125769596161E-2</v>
      </c>
      <c r="BQ37" s="153">
        <f t="shared" ref="BQ37:BQ68" si="94">(Vfwd2*G37+BF37^2*Rdiode)*(1+Diode_TC/1000*(Ta-25))</f>
        <v>1.2803837979858358E-2</v>
      </c>
      <c r="BR37" s="463"/>
      <c r="BT37" s="147">
        <f t="shared" si="59"/>
        <v>88.381963749454513</v>
      </c>
      <c r="BU37" s="463">
        <f t="shared" si="43"/>
        <v>2.0213962922994776E-2</v>
      </c>
      <c r="BV37" s="463">
        <f t="shared" si="60"/>
        <v>1.797803597004758E-2</v>
      </c>
      <c r="BW37" s="463">
        <f t="shared" ref="BW37:BW68" si="95">Rdcr_sec2*BF37^2</f>
        <v>1.8973755885417424E-4</v>
      </c>
      <c r="BX37" s="463">
        <f t="shared" si="45"/>
        <v>0</v>
      </c>
      <c r="BY37" s="463">
        <f t="shared" ref="BY37:BY68" si="96">(BX37+(BU37+BV37+BW37)*(1+Ltc*(Ta-25)))/(1-(BU37+BV37+BW37)*Ltc*ThetaCa)</f>
        <v>4.3119946299298481E-2</v>
      </c>
      <c r="BZ37" s="463">
        <f t="shared" si="61"/>
        <v>3.8381736451896527E-2</v>
      </c>
      <c r="CA37" s="549">
        <f t="shared" ref="CA37:CA68" si="97">0.5*Lleak*0.000000001*AI37^2*AM37*1000</f>
        <v>0.3235555555555556</v>
      </c>
      <c r="CB37" s="147">
        <f t="shared" si="62"/>
        <v>366.67550185485408</v>
      </c>
      <c r="CC37" s="153">
        <f t="shared" si="63"/>
        <v>0.5784393501088565</v>
      </c>
      <c r="CD37" s="5">
        <f t="shared" si="64"/>
        <v>2.9119999999999999</v>
      </c>
      <c r="CE37" s="153">
        <f t="shared" si="65"/>
        <v>0.83427892821262839</v>
      </c>
      <c r="CF37" s="5">
        <f t="shared" si="66"/>
        <v>83.427892821262844</v>
      </c>
      <c r="CG37">
        <f t="shared" si="67"/>
        <v>32</v>
      </c>
      <c r="CI37" s="59">
        <f t="shared" ref="CI37:CI68" si="98">IF(ABS(F37-Ioutmax_Vinnom)&lt;Iout/200, AM37, -50)</f>
        <v>-50</v>
      </c>
      <c r="CJ37">
        <f t="shared" ref="CJ37:CJ68" si="99">IF(ABS(F37-Ioutmax_Vinnom)&lt;Iout/200, (O37+P37)*CE37, -50)</f>
        <v>-50</v>
      </c>
    </row>
    <row r="38" spans="5:88" x14ac:dyDescent="0.25">
      <c r="E38" s="150">
        <v>33</v>
      </c>
      <c r="F38" s="191">
        <f t="shared" si="68"/>
        <v>0.16500000000000001</v>
      </c>
      <c r="G38" s="191">
        <f t="shared" ref="G38:G69" si="100">IF(PLOT_TYPE=1, E38/100*Iout2, min_I*EXP(Q38*rr/100))</f>
        <v>3.3000000000000002E-2</v>
      </c>
      <c r="H38" s="191">
        <f t="shared" si="70"/>
        <v>2.4750000000000001</v>
      </c>
      <c r="I38" s="191">
        <f t="shared" si="69"/>
        <v>0.52800000000000002</v>
      </c>
      <c r="J38" s="472">
        <f t="shared" si="1"/>
        <v>11.1</v>
      </c>
      <c r="K38" s="386">
        <f t="shared" si="2"/>
        <v>7.66</v>
      </c>
      <c r="L38" s="386">
        <f t="shared" si="3"/>
        <v>18.759999999999998</v>
      </c>
      <c r="M38" s="386"/>
      <c r="N38" s="191">
        <f t="shared" si="4"/>
        <v>0.40831556503198302</v>
      </c>
      <c r="O38" s="152">
        <f t="shared" ref="O38:O69" si="101">N38*J38*Isw_max*0.5*Efficiency*Pout/(Pout+Pout2)</f>
        <v>6.8918395170927162</v>
      </c>
      <c r="P38" s="152">
        <f t="shared" si="71"/>
        <v>1.7839143710021326</v>
      </c>
      <c r="Q38" s="191">
        <f t="shared" si="6"/>
        <v>0.45945596780618109</v>
      </c>
      <c r="R38" s="191">
        <f t="shared" si="72"/>
        <v>0.43073996981829477</v>
      </c>
      <c r="S38" s="386">
        <f t="shared" si="73"/>
        <v>15</v>
      </c>
      <c r="T38" s="191">
        <f t="shared" si="74"/>
        <v>1.4723935423674324</v>
      </c>
      <c r="U38" s="191">
        <f t="shared" si="10"/>
        <v>1.1938326019195398</v>
      </c>
      <c r="V38" s="191">
        <f t="shared" si="11"/>
        <v>1.7299663030426751</v>
      </c>
      <c r="W38" s="175">
        <f t="shared" si="12"/>
        <v>350</v>
      </c>
      <c r="X38" s="386">
        <f t="shared" si="52"/>
        <v>342.020786143267</v>
      </c>
      <c r="Z38" s="191">
        <f t="shared" si="13"/>
        <v>1.4388262767793685</v>
      </c>
      <c r="AA38" s="153">
        <f t="shared" si="14"/>
        <v>1.6905269570514774</v>
      </c>
      <c r="AB38" s="153">
        <f t="shared" si="75"/>
        <v>0.21283277814833412</v>
      </c>
      <c r="AC38" s="153"/>
      <c r="AD38" s="153">
        <f t="shared" si="16"/>
        <v>0.96344647519582249</v>
      </c>
      <c r="AE38" s="317">
        <f t="shared" si="76"/>
        <v>835.415427325005</v>
      </c>
      <c r="AF38" s="463">
        <f t="shared" si="77"/>
        <v>6.9127284595300251E-2</v>
      </c>
      <c r="AH38" s="153">
        <f t="shared" si="78"/>
        <v>1.3808210118138653</v>
      </c>
      <c r="AI38" s="153">
        <f t="shared" si="79"/>
        <v>1.3808210118138653</v>
      </c>
      <c r="AJ38" s="153">
        <f t="shared" si="80"/>
        <v>1.6154229717139743</v>
      </c>
      <c r="AL38" s="317">
        <f t="shared" si="81"/>
        <v>165</v>
      </c>
      <c r="AM38" s="147">
        <f t="shared" si="82"/>
        <v>342.020786143267</v>
      </c>
      <c r="AO38">
        <f t="shared" si="53"/>
        <v>165</v>
      </c>
      <c r="AP38" s="147">
        <f t="shared" si="24"/>
        <v>342.020786143267</v>
      </c>
      <c r="AQ38" s="147"/>
      <c r="AR38" s="5">
        <f t="shared" si="54"/>
        <v>2.9237989049622151</v>
      </c>
      <c r="AS38" s="5">
        <f t="shared" si="25"/>
        <v>1.1195846041734046</v>
      </c>
      <c r="AT38" s="5">
        <f t="shared" si="55"/>
        <v>1.8042143007888105</v>
      </c>
      <c r="AU38" s="153">
        <f t="shared" si="56"/>
        <v>0.38292120647328626</v>
      </c>
      <c r="AW38" s="5">
        <f t="shared" si="83"/>
        <v>11.33051538024511</v>
      </c>
      <c r="AX38" s="5">
        <f t="shared" si="84"/>
        <v>2.3458396873630392</v>
      </c>
      <c r="AY38" s="5">
        <f t="shared" si="85"/>
        <v>0.45203804398448061</v>
      </c>
      <c r="AZ38" s="5">
        <f t="shared" si="86"/>
        <v>0.42401413083570855</v>
      </c>
      <c r="BA38" s="5">
        <f t="shared" si="87"/>
        <v>0.97720342780055702</v>
      </c>
      <c r="BB38" s="147">
        <f t="shared" si="88"/>
        <v>25.553979184952222</v>
      </c>
      <c r="BC38" s="5"/>
      <c r="BD38" s="153">
        <f t="shared" si="57"/>
        <v>0.49332311937931017</v>
      </c>
      <c r="BE38" s="153">
        <f t="shared" si="89"/>
        <v>0.31312451813991765</v>
      </c>
      <c r="BF38" s="153">
        <f t="shared" si="90"/>
        <v>6.270676624710507E-2</v>
      </c>
      <c r="BG38" s="153"/>
      <c r="BH38" s="463">
        <f t="shared" si="34"/>
        <v>2.6770447012554644E-2</v>
      </c>
      <c r="BI38" s="463">
        <f t="shared" si="35"/>
        <v>4.4298877972872901E-2</v>
      </c>
      <c r="BJ38" s="463">
        <f t="shared" si="36"/>
        <v>1.7101039307163349E-2</v>
      </c>
      <c r="BK38" s="463">
        <f t="shared" si="37"/>
        <v>2.7083244290709289E-2</v>
      </c>
      <c r="BL38">
        <f t="shared" si="38"/>
        <v>3.2190000000000001E-3</v>
      </c>
      <c r="BM38">
        <f t="shared" si="91"/>
        <v>2.0863267954739289E-5</v>
      </c>
      <c r="BN38">
        <f t="shared" si="92"/>
        <v>0.1227135826798459</v>
      </c>
      <c r="BO38" s="147">
        <f t="shared" si="58"/>
        <v>122.7135826798459</v>
      </c>
      <c r="BP38" s="153">
        <f t="shared" si="93"/>
        <v>7.8011576077862341E-2</v>
      </c>
      <c r="BQ38" s="153">
        <f t="shared" si="94"/>
        <v>1.3206830767868235E-2</v>
      </c>
      <c r="BR38" s="463"/>
      <c r="BT38" s="147">
        <f t="shared" si="59"/>
        <v>91.21840684573057</v>
      </c>
      <c r="BU38" s="463">
        <f t="shared" si="43"/>
        <v>2.0686254509701317E-2</v>
      </c>
      <c r="BV38" s="463">
        <f t="shared" si="60"/>
        <v>1.8628923133467569E-2</v>
      </c>
      <c r="BW38" s="463">
        <f t="shared" si="95"/>
        <v>1.9660692665845379E-4</v>
      </c>
      <c r="BX38" s="463">
        <f t="shared" si="45"/>
        <v>0</v>
      </c>
      <c r="BY38" s="463">
        <f t="shared" si="96"/>
        <v>4.4393524107071751E-2</v>
      </c>
      <c r="BZ38" s="463">
        <f t="shared" si="61"/>
        <v>3.9511784569827339E-2</v>
      </c>
      <c r="CA38" s="549">
        <f t="shared" si="97"/>
        <v>0.32605981612324791</v>
      </c>
      <c r="CB38" s="147">
        <f t="shared" si="62"/>
        <v>370.45334023031967</v>
      </c>
      <c r="CC38" s="153">
        <f t="shared" si="63"/>
        <v>0.58438532975589608</v>
      </c>
      <c r="CD38" s="5">
        <f t="shared" si="64"/>
        <v>3.0030000000000001</v>
      </c>
      <c r="CE38" s="153">
        <f t="shared" si="65"/>
        <v>0.83709992765241625</v>
      </c>
      <c r="CF38" s="5">
        <f t="shared" si="66"/>
        <v>83.709992765241623</v>
      </c>
      <c r="CG38">
        <f t="shared" ref="CG38:CG69" si="102">F38/Iout*100</f>
        <v>33</v>
      </c>
      <c r="CI38" s="59">
        <f t="shared" si="98"/>
        <v>-50</v>
      </c>
      <c r="CJ38">
        <f t="shared" si="99"/>
        <v>-50</v>
      </c>
    </row>
    <row r="39" spans="5:88" x14ac:dyDescent="0.25">
      <c r="E39" s="150">
        <v>34</v>
      </c>
      <c r="F39" s="191">
        <f t="shared" si="68"/>
        <v>0.17</v>
      </c>
      <c r="G39" s="191">
        <f t="shared" si="100"/>
        <v>3.4000000000000002E-2</v>
      </c>
      <c r="H39" s="191">
        <f t="shared" si="70"/>
        <v>2.5500000000000003</v>
      </c>
      <c r="I39" s="191">
        <f t="shared" si="69"/>
        <v>0.54400000000000004</v>
      </c>
      <c r="J39" s="472">
        <f t="shared" si="1"/>
        <v>11.1</v>
      </c>
      <c r="K39" s="386">
        <f t="shared" si="2"/>
        <v>7.66</v>
      </c>
      <c r="L39" s="386">
        <f t="shared" si="3"/>
        <v>18.759999999999998</v>
      </c>
      <c r="M39" s="386"/>
      <c r="N39" s="191">
        <f t="shared" si="4"/>
        <v>0.40831556503198302</v>
      </c>
      <c r="O39" s="152">
        <f t="shared" si="101"/>
        <v>6.8918395170927162</v>
      </c>
      <c r="P39" s="152">
        <f t="shared" si="71"/>
        <v>1.7839143710021326</v>
      </c>
      <c r="Q39" s="191">
        <f t="shared" si="6"/>
        <v>0.45945596780618109</v>
      </c>
      <c r="R39" s="191">
        <f t="shared" si="72"/>
        <v>0.43073996981829477</v>
      </c>
      <c r="S39" s="386">
        <f t="shared" si="73"/>
        <v>15</v>
      </c>
      <c r="T39" s="191">
        <f t="shared" si="74"/>
        <v>1.5170115284997789</v>
      </c>
      <c r="U39" s="191">
        <f t="shared" si="10"/>
        <v>1.2300093474322533</v>
      </c>
      <c r="V39" s="191">
        <f t="shared" si="11"/>
        <v>1.7823895243469989</v>
      </c>
      <c r="W39" s="175">
        <f t="shared" si="12"/>
        <v>350</v>
      </c>
      <c r="X39" s="386">
        <f t="shared" si="52"/>
        <v>331.96135125670031</v>
      </c>
      <c r="Z39" s="191">
        <f t="shared" si="13"/>
        <v>1.4388262767793685</v>
      </c>
      <c r="AA39" s="153">
        <f t="shared" si="14"/>
        <v>1.6905269570514774</v>
      </c>
      <c r="AB39" s="153">
        <f t="shared" si="75"/>
        <v>0.21283277814833412</v>
      </c>
      <c r="AC39" s="153"/>
      <c r="AD39" s="153">
        <f t="shared" si="16"/>
        <v>0.96344647519582249</v>
      </c>
      <c r="AE39" s="317">
        <f t="shared" si="76"/>
        <v>860.73104633485377</v>
      </c>
      <c r="AF39" s="463">
        <f t="shared" si="77"/>
        <v>6.9127284595300251E-2</v>
      </c>
      <c r="AH39" s="153">
        <f t="shared" si="78"/>
        <v>1.4015864027752427</v>
      </c>
      <c r="AI39" s="153">
        <f t="shared" si="79"/>
        <v>1.4015864027752427</v>
      </c>
      <c r="AJ39" s="153">
        <f t="shared" si="80"/>
        <v>1.630804742796476</v>
      </c>
      <c r="AL39" s="317">
        <f t="shared" si="81"/>
        <v>170</v>
      </c>
      <c r="AM39" s="147">
        <f t="shared" si="82"/>
        <v>331.96135125670031</v>
      </c>
      <c r="AO39">
        <f t="shared" si="53"/>
        <v>170</v>
      </c>
      <c r="AP39" s="147">
        <f t="shared" si="24"/>
        <v>331.96135125670031</v>
      </c>
      <c r="AQ39" s="147"/>
      <c r="AR39" s="5">
        <f t="shared" si="54"/>
        <v>3.012398871779252</v>
      </c>
      <c r="AS39" s="5">
        <f t="shared" si="25"/>
        <v>1.1364214076556023</v>
      </c>
      <c r="AT39" s="5">
        <f t="shared" si="55"/>
        <v>1.8759774641236497</v>
      </c>
      <c r="AU39" s="153">
        <f t="shared" si="56"/>
        <v>0.37724798608239518</v>
      </c>
      <c r="AW39" s="5">
        <f t="shared" si="83"/>
        <v>11.33051538024511</v>
      </c>
      <c r="AX39" s="5">
        <f t="shared" si="84"/>
        <v>2.4747113669345024</v>
      </c>
      <c r="AY39" s="5">
        <f t="shared" si="85"/>
        <v>0.45203804398448061</v>
      </c>
      <c r="AZ39" s="5">
        <f t="shared" si="86"/>
        <v>0.44804071188804323</v>
      </c>
      <c r="BA39" s="5">
        <f t="shared" si="87"/>
        <v>1.0468620465507981</v>
      </c>
      <c r="BB39" s="147">
        <f t="shared" si="88"/>
        <v>27.338603485296989</v>
      </c>
      <c r="BC39" s="5"/>
      <c r="BD39" s="153">
        <f t="shared" si="57"/>
        <v>0.49701868188812126</v>
      </c>
      <c r="BE39" s="153">
        <f t="shared" si="89"/>
        <v>0.31929110724737131</v>
      </c>
      <c r="BF39" s="153">
        <f t="shared" si="90"/>
        <v>6.394169624875462E-2</v>
      </c>
      <c r="BG39" s="153"/>
      <c r="BH39" s="463">
        <f t="shared" si="34"/>
        <v>2.7173032716038603E-2</v>
      </c>
      <c r="BI39" s="463">
        <f t="shared" si="35"/>
        <v>4.3642562016585347E-2</v>
      </c>
      <c r="BJ39" s="463">
        <f t="shared" si="36"/>
        <v>1.6598067562835016E-2</v>
      </c>
      <c r="BK39" s="463">
        <f t="shared" si="37"/>
        <v>2.6286678282159016E-2</v>
      </c>
      <c r="BL39">
        <f t="shared" si="38"/>
        <v>3.2190000000000001E-3</v>
      </c>
      <c r="BM39">
        <f t="shared" si="91"/>
        <v>2.024964242665872E-5</v>
      </c>
      <c r="BN39">
        <f t="shared" si="92"/>
        <v>0.12121565517653241</v>
      </c>
      <c r="BO39" s="147">
        <f t="shared" si="58"/>
        <v>121.21565517653241</v>
      </c>
      <c r="BP39" s="153">
        <f t="shared" si="93"/>
        <v>8.0517472746356164E-2</v>
      </c>
      <c r="BQ39" s="153">
        <f t="shared" si="94"/>
        <v>1.3612728991328872E-2</v>
      </c>
      <c r="BR39" s="463"/>
      <c r="BT39" s="147">
        <f t="shared" si="59"/>
        <v>94.130201737685042</v>
      </c>
      <c r="BU39" s="463">
        <f t="shared" si="43"/>
        <v>2.0997343462393469E-2</v>
      </c>
      <c r="BV39" s="463">
        <f t="shared" si="60"/>
        <v>1.9369894121777951E-2</v>
      </c>
      <c r="BW39" s="463">
        <f t="shared" si="95"/>
        <v>2.0442702595840006E-4</v>
      </c>
      <c r="BX39" s="463">
        <f t="shared" si="45"/>
        <v>0</v>
      </c>
      <c r="BY39" s="463">
        <f t="shared" si="96"/>
        <v>4.5588231598752887E-2</v>
      </c>
      <c r="BZ39" s="463">
        <f t="shared" si="61"/>
        <v>4.0571664610129822E-2</v>
      </c>
      <c r="CA39" s="549">
        <f t="shared" si="97"/>
        <v>0.32605981612324791</v>
      </c>
      <c r="CB39" s="147">
        <f t="shared" si="62"/>
        <v>371.6480477220008</v>
      </c>
      <c r="CC39" s="153">
        <f t="shared" si="63"/>
        <v>0.58699390463621826</v>
      </c>
      <c r="CD39" s="5">
        <f t="shared" si="64"/>
        <v>3.0940000000000003</v>
      </c>
      <c r="CE39" s="153">
        <f t="shared" si="65"/>
        <v>0.84053385584341822</v>
      </c>
      <c r="CF39" s="5">
        <f t="shared" si="66"/>
        <v>84.053385584341825</v>
      </c>
      <c r="CG39">
        <f t="shared" si="102"/>
        <v>34</v>
      </c>
      <c r="CI39" s="59">
        <f t="shared" si="98"/>
        <v>-50</v>
      </c>
      <c r="CJ39">
        <f t="shared" si="99"/>
        <v>-50</v>
      </c>
    </row>
    <row r="40" spans="5:88" x14ac:dyDescent="0.25">
      <c r="E40" s="150">
        <v>35</v>
      </c>
      <c r="F40" s="191">
        <f t="shared" ref="F40:F71" si="103">IF(PLOT_TYPE=1, E40/100*Iout_max, min_I*EXP(O40*rr/100))</f>
        <v>0.17499999999999999</v>
      </c>
      <c r="G40" s="191">
        <f t="shared" si="100"/>
        <v>3.4999999999999996E-2</v>
      </c>
      <c r="H40" s="191">
        <f t="shared" si="70"/>
        <v>2.625</v>
      </c>
      <c r="I40" s="191">
        <f t="shared" ref="I40:I71" si="104">Vout2*G40</f>
        <v>0.55999999999999994</v>
      </c>
      <c r="J40" s="472">
        <f t="shared" si="1"/>
        <v>11.1</v>
      </c>
      <c r="K40" s="386">
        <f t="shared" si="2"/>
        <v>7.66</v>
      </c>
      <c r="L40" s="386">
        <f t="shared" si="3"/>
        <v>18.759999999999998</v>
      </c>
      <c r="M40" s="386"/>
      <c r="N40" s="191">
        <f t="shared" si="4"/>
        <v>0.40831556503198302</v>
      </c>
      <c r="O40" s="152">
        <f t="shared" si="101"/>
        <v>6.8918395170927162</v>
      </c>
      <c r="P40" s="152">
        <f t="shared" si="71"/>
        <v>1.7839143710021326</v>
      </c>
      <c r="Q40" s="191">
        <f t="shared" si="6"/>
        <v>0.45945596780618109</v>
      </c>
      <c r="R40" s="191">
        <f t="shared" si="72"/>
        <v>0.43073996981829477</v>
      </c>
      <c r="S40" s="386">
        <f t="shared" si="73"/>
        <v>15</v>
      </c>
      <c r="T40" s="191">
        <f t="shared" si="74"/>
        <v>1.5616295146321253</v>
      </c>
      <c r="U40" s="191">
        <f t="shared" si="10"/>
        <v>1.2661860929449664</v>
      </c>
      <c r="V40" s="191">
        <f t="shared" si="11"/>
        <v>1.8348127456513221</v>
      </c>
      <c r="W40" s="175">
        <f t="shared" si="12"/>
        <v>350</v>
      </c>
      <c r="X40" s="386">
        <f t="shared" si="52"/>
        <v>322.47674122079462</v>
      </c>
      <c r="Z40" s="191">
        <f t="shared" si="13"/>
        <v>1.4388262767793685</v>
      </c>
      <c r="AA40" s="153">
        <f t="shared" si="14"/>
        <v>1.6905269570514774</v>
      </c>
      <c r="AB40" s="153">
        <f t="shared" si="75"/>
        <v>0.21283277814833412</v>
      </c>
      <c r="AC40" s="153"/>
      <c r="AD40" s="153">
        <f t="shared" si="16"/>
        <v>0.96344647519582249</v>
      </c>
      <c r="AE40" s="317">
        <f t="shared" si="76"/>
        <v>886.04666534470232</v>
      </c>
      <c r="AF40" s="463">
        <f t="shared" si="77"/>
        <v>6.9127284595300251E-2</v>
      </c>
      <c r="AH40" s="153">
        <f t="shared" si="78"/>
        <v>1.4220486005134361</v>
      </c>
      <c r="AI40" s="153">
        <f t="shared" si="79"/>
        <v>1.4220486005134361</v>
      </c>
      <c r="AJ40" s="153">
        <f t="shared" si="80"/>
        <v>1.6459619263062488</v>
      </c>
      <c r="AL40" s="317">
        <f t="shared" si="81"/>
        <v>175</v>
      </c>
      <c r="AM40" s="147">
        <f t="shared" si="82"/>
        <v>322.47674122079462</v>
      </c>
      <c r="AO40">
        <f t="shared" si="53"/>
        <v>175</v>
      </c>
      <c r="AP40" s="147">
        <f t="shared" si="24"/>
        <v>322.47674122079462</v>
      </c>
      <c r="AQ40" s="147"/>
      <c r="AR40" s="5">
        <f t="shared" si="54"/>
        <v>3.1009988385962886</v>
      </c>
      <c r="AS40" s="5">
        <f t="shared" si="25"/>
        <v>1.1530123787946778</v>
      </c>
      <c r="AT40" s="5">
        <f t="shared" si="55"/>
        <v>1.9479864598016108</v>
      </c>
      <c r="AU40" s="153">
        <f t="shared" si="56"/>
        <v>0.37181967450094411</v>
      </c>
      <c r="AW40" s="5">
        <f t="shared" si="83"/>
        <v>11.33051538024511</v>
      </c>
      <c r="AX40" s="5">
        <f t="shared" si="84"/>
        <v>2.6069822011200388</v>
      </c>
      <c r="AY40" s="5">
        <f t="shared" si="85"/>
        <v>0.45203804398448061</v>
      </c>
      <c r="AZ40" s="5">
        <f t="shared" si="86"/>
        <v>0.47272480282253709</v>
      </c>
      <c r="BA40" s="5">
        <f t="shared" si="87"/>
        <v>1.1190175534936972</v>
      </c>
      <c r="BB40" s="147">
        <f t="shared" si="88"/>
        <v>29.186217465047463</v>
      </c>
      <c r="BC40" s="5"/>
      <c r="BD40" s="153">
        <f t="shared" si="57"/>
        <v>0.50063360136106272</v>
      </c>
      <c r="BE40" s="153">
        <f t="shared" si="89"/>
        <v>0.3253613649706763</v>
      </c>
      <c r="BF40" s="153">
        <f t="shared" si="90"/>
        <v>6.5157334788898846E-2</v>
      </c>
      <c r="BG40" s="153"/>
      <c r="BH40" s="463">
        <f t="shared" si="34"/>
        <v>2.7569740309292223E-2</v>
      </c>
      <c r="BI40" s="463">
        <f t="shared" si="35"/>
        <v>4.3014578744099224E-2</v>
      </c>
      <c r="BJ40" s="463">
        <f t="shared" si="36"/>
        <v>1.6123837061039731E-2</v>
      </c>
      <c r="BK40" s="463">
        <f t="shared" si="37"/>
        <v>2.5535630331240188E-2</v>
      </c>
      <c r="BL40">
        <f t="shared" si="38"/>
        <v>3.2190000000000001E-3</v>
      </c>
      <c r="BM40">
        <f t="shared" si="91"/>
        <v>1.9671081214468475E-5</v>
      </c>
      <c r="BN40">
        <f t="shared" si="92"/>
        <v>0.11981381949012519</v>
      </c>
      <c r="BO40" s="147">
        <f t="shared" si="58"/>
        <v>119.8138194901252</v>
      </c>
      <c r="BP40" s="153">
        <f t="shared" si="93"/>
        <v>8.302541072222086E-2</v>
      </c>
      <c r="BQ40" s="153">
        <f t="shared" si="94"/>
        <v>1.4018709080693914E-2</v>
      </c>
      <c r="BR40" s="463"/>
      <c r="BT40" s="147">
        <f t="shared" si="59"/>
        <v>97.044119802914778</v>
      </c>
      <c r="BU40" s="463">
        <f t="shared" si="43"/>
        <v>2.1303890238998535E-2</v>
      </c>
      <c r="BV40" s="463">
        <f t="shared" si="60"/>
        <v>2.011340338496051E-2</v>
      </c>
      <c r="BW40" s="463">
        <f t="shared" si="95"/>
        <v>2.1227391383963243E-4</v>
      </c>
      <c r="BX40" s="463">
        <f t="shared" si="45"/>
        <v>0</v>
      </c>
      <c r="BY40" s="463">
        <f t="shared" si="96"/>
        <v>4.678091317710141E-2</v>
      </c>
      <c r="BZ40" s="463">
        <f t="shared" si="61"/>
        <v>4.162956753779868E-2</v>
      </c>
      <c r="CA40" s="549">
        <f t="shared" si="97"/>
        <v>0.32605981612324786</v>
      </c>
      <c r="CB40" s="147">
        <f t="shared" si="62"/>
        <v>372.84072930034927</v>
      </c>
      <c r="CC40" s="153">
        <f t="shared" si="63"/>
        <v>0.58969866859338926</v>
      </c>
      <c r="CD40" s="5">
        <f t="shared" si="64"/>
        <v>3.1850000000000001</v>
      </c>
      <c r="CE40" s="153">
        <f t="shared" si="65"/>
        <v>0.84377596190661341</v>
      </c>
      <c r="CF40" s="5">
        <f t="shared" si="66"/>
        <v>84.377596190661336</v>
      </c>
      <c r="CG40">
        <f t="shared" si="102"/>
        <v>35</v>
      </c>
      <c r="CI40" s="59">
        <f t="shared" si="98"/>
        <v>-50</v>
      </c>
      <c r="CJ40">
        <f t="shared" si="99"/>
        <v>-50</v>
      </c>
    </row>
    <row r="41" spans="5:88" x14ac:dyDescent="0.25">
      <c r="E41" s="150">
        <v>36</v>
      </c>
      <c r="F41" s="191">
        <f t="shared" si="103"/>
        <v>0.18</v>
      </c>
      <c r="G41" s="191">
        <f t="shared" si="100"/>
        <v>3.5999999999999997E-2</v>
      </c>
      <c r="H41" s="191">
        <f t="shared" si="70"/>
        <v>2.6999999999999997</v>
      </c>
      <c r="I41" s="191">
        <f t="shared" si="104"/>
        <v>0.57599999999999996</v>
      </c>
      <c r="J41" s="472">
        <f t="shared" si="1"/>
        <v>11.1</v>
      </c>
      <c r="K41" s="386">
        <f t="shared" si="2"/>
        <v>7.66</v>
      </c>
      <c r="L41" s="386">
        <f t="shared" si="3"/>
        <v>18.759999999999998</v>
      </c>
      <c r="M41" s="386"/>
      <c r="N41" s="191">
        <f t="shared" si="4"/>
        <v>0.40831556503198302</v>
      </c>
      <c r="O41" s="152">
        <f t="shared" si="101"/>
        <v>6.8918395170927162</v>
      </c>
      <c r="P41" s="152">
        <f t="shared" si="71"/>
        <v>1.7839143710021326</v>
      </c>
      <c r="Q41" s="191">
        <f t="shared" si="6"/>
        <v>0.45945596780618109</v>
      </c>
      <c r="R41" s="191">
        <f t="shared" si="72"/>
        <v>0.43073996981829477</v>
      </c>
      <c r="S41" s="386">
        <f t="shared" si="73"/>
        <v>15</v>
      </c>
      <c r="T41" s="191">
        <f t="shared" si="74"/>
        <v>1.6062475007644714</v>
      </c>
      <c r="U41" s="191">
        <f t="shared" si="10"/>
        <v>1.3023628384576795</v>
      </c>
      <c r="V41" s="191">
        <f t="shared" si="11"/>
        <v>1.8872359669556451</v>
      </c>
      <c r="W41" s="175">
        <f t="shared" si="12"/>
        <v>350</v>
      </c>
      <c r="X41" s="386">
        <f t="shared" si="52"/>
        <v>313.51905396466151</v>
      </c>
      <c r="Z41" s="191">
        <f t="shared" si="13"/>
        <v>1.4388262767793685</v>
      </c>
      <c r="AA41" s="153">
        <f t="shared" si="14"/>
        <v>1.6905269570514774</v>
      </c>
      <c r="AB41" s="153">
        <f t="shared" si="75"/>
        <v>0.21283277814833412</v>
      </c>
      <c r="AC41" s="153"/>
      <c r="AD41" s="153">
        <f t="shared" si="16"/>
        <v>0.96344647519582249</v>
      </c>
      <c r="AE41" s="317">
        <f t="shared" si="76"/>
        <v>911.36228435455087</v>
      </c>
      <c r="AF41" s="463">
        <f t="shared" si="77"/>
        <v>6.9127284595300251E-2</v>
      </c>
      <c r="AH41" s="153">
        <f t="shared" si="78"/>
        <v>1.4422205101855958</v>
      </c>
      <c r="AI41" s="153">
        <f t="shared" si="79"/>
        <v>1.4422205101855958</v>
      </c>
      <c r="AJ41" s="153">
        <f t="shared" si="80"/>
        <v>1.66090408161896</v>
      </c>
      <c r="AL41" s="317">
        <f t="shared" si="81"/>
        <v>180</v>
      </c>
      <c r="AM41" s="147">
        <f t="shared" si="82"/>
        <v>313.51905396466151</v>
      </c>
      <c r="AO41">
        <f t="shared" si="53"/>
        <v>180</v>
      </c>
      <c r="AP41" s="147">
        <f t="shared" si="24"/>
        <v>313.51905396466151</v>
      </c>
      <c r="AQ41" s="147"/>
      <c r="AR41" s="5">
        <f t="shared" si="54"/>
        <v>3.1895988054133246</v>
      </c>
      <c r="AS41" s="5">
        <f t="shared" si="25"/>
        <v>1.1693679812315643</v>
      </c>
      <c r="AT41" s="5">
        <f t="shared" si="55"/>
        <v>2.0202308241817604</v>
      </c>
      <c r="AU41" s="153">
        <f t="shared" si="56"/>
        <v>0.36661914321228606</v>
      </c>
      <c r="AW41" s="5">
        <f t="shared" si="83"/>
        <v>11.33051538024511</v>
      </c>
      <c r="AX41" s="5">
        <f t="shared" si="84"/>
        <v>2.7426521899196494</v>
      </c>
      <c r="AY41" s="5">
        <f t="shared" si="85"/>
        <v>0.45203804398448061</v>
      </c>
      <c r="AZ41" s="5">
        <f t="shared" si="86"/>
        <v>0.4980664036391903</v>
      </c>
      <c r="BA41" s="5">
        <f t="shared" si="87"/>
        <v>1.193675870468567</v>
      </c>
      <c r="BB41" s="147">
        <f t="shared" si="88"/>
        <v>31.096970516058995</v>
      </c>
      <c r="BC41" s="5"/>
      <c r="BD41" s="153">
        <f t="shared" si="57"/>
        <v>0.50417186814337933</v>
      </c>
      <c r="BE41" s="153">
        <f t="shared" si="89"/>
        <v>0.33133972773655906</v>
      </c>
      <c r="BF41" s="153">
        <f t="shared" si="90"/>
        <v>6.6354570312733133E-2</v>
      </c>
      <c r="BG41" s="153"/>
      <c r="BH41" s="463">
        <f t="shared" si="34"/>
        <v>2.7960819988990356E-2</v>
      </c>
      <c r="BI41" s="463">
        <f t="shared" si="35"/>
        <v>4.2412946614418662E-2</v>
      </c>
      <c r="BJ41" s="463">
        <f t="shared" si="36"/>
        <v>1.5675952698233075E-2</v>
      </c>
      <c r="BK41" s="463">
        <f t="shared" si="37"/>
        <v>2.4826307266483522E-2</v>
      </c>
      <c r="BL41">
        <f t="shared" si="38"/>
        <v>3.2190000000000001E-3</v>
      </c>
      <c r="BM41">
        <f t="shared" si="91"/>
        <v>1.9124662291844354E-5</v>
      </c>
      <c r="BN41">
        <f t="shared" si="92"/>
        <v>0.11850017724090071</v>
      </c>
      <c r="BO41" s="147">
        <f t="shared" si="58"/>
        <v>118.50017724090071</v>
      </c>
      <c r="BP41" s="153">
        <f t="shared" si="93"/>
        <v>8.5535303118974865E-2</v>
      </c>
      <c r="BQ41" s="153">
        <f t="shared" si="94"/>
        <v>1.4424767551412001E-2</v>
      </c>
      <c r="BR41" s="463"/>
      <c r="BT41" s="147">
        <f t="shared" si="59"/>
        <v>99.96007067038687</v>
      </c>
      <c r="BU41" s="463">
        <f t="shared" si="43"/>
        <v>2.1606088173310729E-2</v>
      </c>
      <c r="BV41" s="463">
        <f t="shared" si="60"/>
        <v>2.0859342883542048E-2</v>
      </c>
      <c r="BW41" s="463">
        <f t="shared" si="95"/>
        <v>2.2014645006937229E-4</v>
      </c>
      <c r="BX41" s="463">
        <f t="shared" si="45"/>
        <v>0</v>
      </c>
      <c r="BY41" s="463">
        <f t="shared" si="96"/>
        <v>4.7971662657713757E-2</v>
      </c>
      <c r="BZ41" s="463">
        <f t="shared" si="61"/>
        <v>4.2685577506922152E-2</v>
      </c>
      <c r="CA41" s="549">
        <f t="shared" si="97"/>
        <v>0.32605981612324808</v>
      </c>
      <c r="CB41" s="147">
        <f t="shared" si="62"/>
        <v>374.03147878096183</v>
      </c>
      <c r="CC41" s="153">
        <f t="shared" si="63"/>
        <v>0.59249172669224937</v>
      </c>
      <c r="CD41" s="5">
        <f t="shared" si="64"/>
        <v>3.2759999999999998</v>
      </c>
      <c r="CE41" s="153">
        <f t="shared" si="65"/>
        <v>0.84684167149586775</v>
      </c>
      <c r="CF41" s="5">
        <f t="shared" si="66"/>
        <v>84.68416714958677</v>
      </c>
      <c r="CG41">
        <f t="shared" si="102"/>
        <v>36</v>
      </c>
      <c r="CI41" s="59">
        <f t="shared" si="98"/>
        <v>-50</v>
      </c>
      <c r="CJ41">
        <f t="shared" si="99"/>
        <v>-50</v>
      </c>
    </row>
    <row r="42" spans="5:88" x14ac:dyDescent="0.25">
      <c r="E42" s="150">
        <v>37</v>
      </c>
      <c r="F42" s="191">
        <f t="shared" si="103"/>
        <v>0.185</v>
      </c>
      <c r="G42" s="191">
        <f t="shared" si="100"/>
        <v>3.6999999999999998E-2</v>
      </c>
      <c r="H42" s="191">
        <f t="shared" si="70"/>
        <v>2.7749999999999999</v>
      </c>
      <c r="I42" s="191">
        <f t="shared" si="104"/>
        <v>0.59199999999999997</v>
      </c>
      <c r="J42" s="472">
        <f t="shared" si="1"/>
        <v>11.1</v>
      </c>
      <c r="K42" s="386">
        <f t="shared" si="2"/>
        <v>7.66</v>
      </c>
      <c r="L42" s="386">
        <f t="shared" si="3"/>
        <v>18.759999999999998</v>
      </c>
      <c r="M42" s="386"/>
      <c r="N42" s="191">
        <f t="shared" si="4"/>
        <v>0.40831556503198302</v>
      </c>
      <c r="O42" s="152">
        <f t="shared" si="101"/>
        <v>6.8918395170927162</v>
      </c>
      <c r="P42" s="152">
        <f t="shared" si="71"/>
        <v>1.7839143710021326</v>
      </c>
      <c r="Q42" s="191">
        <f t="shared" si="6"/>
        <v>0.45945596780618109</v>
      </c>
      <c r="R42" s="191">
        <f t="shared" si="72"/>
        <v>0.43073996981829477</v>
      </c>
      <c r="S42" s="386">
        <f t="shared" si="73"/>
        <v>15</v>
      </c>
      <c r="T42" s="191">
        <f t="shared" si="74"/>
        <v>1.650865486896818</v>
      </c>
      <c r="U42" s="191">
        <f t="shared" si="10"/>
        <v>1.3385395839703931</v>
      </c>
      <c r="V42" s="191">
        <f t="shared" si="11"/>
        <v>1.9396591882599687</v>
      </c>
      <c r="W42" s="175">
        <f t="shared" si="12"/>
        <v>350</v>
      </c>
      <c r="X42" s="386">
        <f t="shared" si="52"/>
        <v>305.04556601967062</v>
      </c>
      <c r="Z42" s="191">
        <f t="shared" si="13"/>
        <v>1.4388262767793685</v>
      </c>
      <c r="AA42" s="153">
        <f t="shared" si="14"/>
        <v>1.6905269570514774</v>
      </c>
      <c r="AB42" s="153">
        <f t="shared" si="75"/>
        <v>0.21283277814833412</v>
      </c>
      <c r="AC42" s="153"/>
      <c r="AD42" s="153">
        <f t="shared" si="16"/>
        <v>0.96344647519582249</v>
      </c>
      <c r="AE42" s="317">
        <f t="shared" si="76"/>
        <v>936.67790336439953</v>
      </c>
      <c r="AF42" s="463">
        <f t="shared" si="77"/>
        <v>6.9127284595300251E-2</v>
      </c>
      <c r="AH42" s="153">
        <f t="shared" si="78"/>
        <v>1.4621141466307539</v>
      </c>
      <c r="AI42" s="153">
        <f t="shared" si="79"/>
        <v>1.4621141466307539</v>
      </c>
      <c r="AJ42" s="153">
        <f t="shared" si="80"/>
        <v>1.6756401086153732</v>
      </c>
      <c r="AL42" s="317">
        <f t="shared" si="81"/>
        <v>185</v>
      </c>
      <c r="AM42" s="147">
        <f t="shared" si="82"/>
        <v>305.04556601967062</v>
      </c>
      <c r="AO42">
        <f t="shared" si="53"/>
        <v>185</v>
      </c>
      <c r="AP42" s="147">
        <f t="shared" si="24"/>
        <v>305.04556601967062</v>
      </c>
      <c r="AQ42" s="147"/>
      <c r="AR42" s="5">
        <f t="shared" si="54"/>
        <v>3.2781987722303616</v>
      </c>
      <c r="AS42" s="5">
        <f t="shared" si="25"/>
        <v>1.1854979567276382</v>
      </c>
      <c r="AT42" s="5">
        <f t="shared" si="55"/>
        <v>2.0927008155027234</v>
      </c>
      <c r="AU42" s="153">
        <f t="shared" si="56"/>
        <v>0.36163089522514541</v>
      </c>
      <c r="AW42" s="5">
        <f t="shared" si="83"/>
        <v>11.33051538024511</v>
      </c>
      <c r="AX42" s="5">
        <f t="shared" si="84"/>
        <v>2.8817213333333331</v>
      </c>
      <c r="AY42" s="5">
        <f t="shared" si="85"/>
        <v>0.45203804398448061</v>
      </c>
      <c r="AZ42" s="5">
        <f t="shared" si="86"/>
        <v>0.52406551433800264</v>
      </c>
      <c r="BA42" s="5">
        <f t="shared" si="87"/>
        <v>1.2708426707423943</v>
      </c>
      <c r="BB42" s="147">
        <f t="shared" si="88"/>
        <v>33.071005759385152</v>
      </c>
      <c r="BC42" s="5"/>
      <c r="BD42" s="153">
        <f t="shared" si="57"/>
        <v>0.50763717081205406</v>
      </c>
      <c r="BE42" s="153">
        <f t="shared" si="89"/>
        <v>0.33723029794286202</v>
      </c>
      <c r="BF42" s="153">
        <f t="shared" si="90"/>
        <v>6.7534224372348323E-2</v>
      </c>
      <c r="BG42" s="153"/>
      <c r="BH42" s="463">
        <f t="shared" si="34"/>
        <v>2.8346504690907322E-2</v>
      </c>
      <c r="BI42" s="463">
        <f t="shared" si="35"/>
        <v>4.1835872832279658E-2</v>
      </c>
      <c r="BJ42" s="463">
        <f t="shared" si="36"/>
        <v>1.5252278300983529E-2</v>
      </c>
      <c r="BK42" s="463">
        <f t="shared" si="37"/>
        <v>2.4155325989010989E-2</v>
      </c>
      <c r="BL42">
        <f t="shared" si="38"/>
        <v>3.2190000000000001E-3</v>
      </c>
      <c r="BM42">
        <f t="shared" si="91"/>
        <v>1.8607779527199907E-5</v>
      </c>
      <c r="BN42">
        <f t="shared" si="92"/>
        <v>0.11726766944196697</v>
      </c>
      <c r="BO42" s="147">
        <f t="shared" si="58"/>
        <v>117.26766944196697</v>
      </c>
      <c r="BP42" s="153">
        <f t="shared" si="93"/>
        <v>8.8047069044376494E-2</v>
      </c>
      <c r="BQ42" s="153">
        <f t="shared" si="94"/>
        <v>1.4830901159328612E-2</v>
      </c>
      <c r="BR42" s="463"/>
      <c r="BT42" s="147">
        <f t="shared" si="59"/>
        <v>102.8779702037051</v>
      </c>
      <c r="BU42" s="463">
        <f t="shared" si="43"/>
        <v>2.190411726115566E-2</v>
      </c>
      <c r="BV42" s="463">
        <f t="shared" si="60"/>
        <v>2.1607612031619986E-2</v>
      </c>
      <c r="BW42" s="463">
        <f t="shared" si="95"/>
        <v>2.280435730787343E-4</v>
      </c>
      <c r="BX42" s="463">
        <f t="shared" si="45"/>
        <v>0</v>
      </c>
      <c r="BY42" s="463">
        <f t="shared" si="96"/>
        <v>4.9160567373827936E-2</v>
      </c>
      <c r="BZ42" s="463">
        <f t="shared" si="61"/>
        <v>4.3739772865854384E-2</v>
      </c>
      <c r="CA42" s="549">
        <f t="shared" si="97"/>
        <v>0.32605981612324797</v>
      </c>
      <c r="CB42" s="147">
        <f t="shared" si="62"/>
        <v>375.22038349707594</v>
      </c>
      <c r="CC42" s="153">
        <f t="shared" si="63"/>
        <v>0.595366023142748</v>
      </c>
      <c r="CD42" s="5">
        <f t="shared" si="64"/>
        <v>3.367</v>
      </c>
      <c r="CE42" s="153">
        <f t="shared" si="65"/>
        <v>0.84974481921522893</v>
      </c>
      <c r="CF42" s="5">
        <f t="shared" si="66"/>
        <v>84.974481921522894</v>
      </c>
      <c r="CG42">
        <f t="shared" si="102"/>
        <v>37</v>
      </c>
      <c r="CI42" s="59">
        <f t="shared" si="98"/>
        <v>-50</v>
      </c>
      <c r="CJ42">
        <f t="shared" si="99"/>
        <v>-50</v>
      </c>
    </row>
    <row r="43" spans="5:88" x14ac:dyDescent="0.25">
      <c r="E43" s="150">
        <v>38</v>
      </c>
      <c r="F43" s="191">
        <f t="shared" si="103"/>
        <v>0.19</v>
      </c>
      <c r="G43" s="191">
        <f t="shared" si="100"/>
        <v>3.8000000000000006E-2</v>
      </c>
      <c r="H43" s="191">
        <f t="shared" si="70"/>
        <v>2.85</v>
      </c>
      <c r="I43" s="191">
        <f t="shared" si="104"/>
        <v>0.6080000000000001</v>
      </c>
      <c r="J43" s="472">
        <f t="shared" si="1"/>
        <v>11.1</v>
      </c>
      <c r="K43" s="386">
        <f t="shared" si="2"/>
        <v>7.66</v>
      </c>
      <c r="L43" s="386">
        <f t="shared" si="3"/>
        <v>18.759999999999998</v>
      </c>
      <c r="M43" s="386"/>
      <c r="N43" s="191">
        <f t="shared" si="4"/>
        <v>0.40831556503198302</v>
      </c>
      <c r="O43" s="152">
        <f t="shared" si="101"/>
        <v>6.8918395170927162</v>
      </c>
      <c r="P43" s="152">
        <f t="shared" si="71"/>
        <v>1.7839143710021326</v>
      </c>
      <c r="Q43" s="191">
        <f t="shared" si="6"/>
        <v>0.45945596780618109</v>
      </c>
      <c r="R43" s="191">
        <f t="shared" si="72"/>
        <v>0.43073996981829477</v>
      </c>
      <c r="S43" s="386">
        <f t="shared" si="73"/>
        <v>15</v>
      </c>
      <c r="T43" s="191">
        <f t="shared" si="74"/>
        <v>1.6954834730291646</v>
      </c>
      <c r="U43" s="191">
        <f t="shared" si="10"/>
        <v>1.3747163294831064</v>
      </c>
      <c r="V43" s="191">
        <f t="shared" si="11"/>
        <v>1.9920824095642924</v>
      </c>
      <c r="W43" s="175">
        <f t="shared" si="12"/>
        <v>350</v>
      </c>
      <c r="X43" s="386">
        <f t="shared" si="52"/>
        <v>297.01805112441616</v>
      </c>
      <c r="Z43" s="191">
        <f t="shared" si="13"/>
        <v>1.4388262767793685</v>
      </c>
      <c r="AA43" s="153">
        <f t="shared" si="14"/>
        <v>1.6905269570514774</v>
      </c>
      <c r="AB43" s="153">
        <f t="shared" si="75"/>
        <v>0.21283277814833412</v>
      </c>
      <c r="AC43" s="153"/>
      <c r="AD43" s="153">
        <f t="shared" si="16"/>
        <v>0.96344647519582249</v>
      </c>
      <c r="AE43" s="317">
        <f t="shared" si="76"/>
        <v>961.9935223742483</v>
      </c>
      <c r="AF43" s="463">
        <f t="shared" si="77"/>
        <v>6.9127284595300251E-2</v>
      </c>
      <c r="AH43" s="153">
        <f t="shared" si="78"/>
        <v>1.4817407180595248</v>
      </c>
      <c r="AI43" s="153">
        <f t="shared" si="79"/>
        <v>1.4817407180595248</v>
      </c>
      <c r="AJ43" s="153">
        <f t="shared" si="80"/>
        <v>1.6901783096737222</v>
      </c>
      <c r="AL43" s="317">
        <f t="shared" si="81"/>
        <v>190</v>
      </c>
      <c r="AM43" s="147">
        <f t="shared" si="82"/>
        <v>297.01805112441616</v>
      </c>
      <c r="AO43">
        <f t="shared" si="53"/>
        <v>190</v>
      </c>
      <c r="AP43" s="147">
        <f t="shared" si="24"/>
        <v>297.01805112441616</v>
      </c>
      <c r="AQ43" s="147"/>
      <c r="AR43" s="5">
        <f t="shared" si="54"/>
        <v>3.3667987390473981</v>
      </c>
      <c r="AS43" s="5">
        <f t="shared" si="25"/>
        <v>1.2014113930212365</v>
      </c>
      <c r="AT43" s="5">
        <f t="shared" si="55"/>
        <v>2.1653873460261615</v>
      </c>
      <c r="AU43" s="153">
        <f t="shared" si="56"/>
        <v>0.35684087055383767</v>
      </c>
      <c r="AW43" s="5">
        <f t="shared" si="83"/>
        <v>11.33051538024511</v>
      </c>
      <c r="AX43" s="5">
        <f t="shared" si="84"/>
        <v>3.0241896313610912</v>
      </c>
      <c r="AY43" s="5">
        <f t="shared" si="85"/>
        <v>0.45203804398448061</v>
      </c>
      <c r="AZ43" s="5">
        <f t="shared" si="86"/>
        <v>0.55072213491897459</v>
      </c>
      <c r="BA43" s="5">
        <f t="shared" si="87"/>
        <v>1.350523395928986</v>
      </c>
      <c r="BB43" s="147">
        <f t="shared" si="88"/>
        <v>35.108460472101498</v>
      </c>
      <c r="BC43" s="5"/>
      <c r="BD43" s="153">
        <f t="shared" si="57"/>
        <v>0.51103292646487375</v>
      </c>
      <c r="BE43" s="153">
        <f t="shared" si="89"/>
        <v>0.34303687845499897</v>
      </c>
      <c r="BF43" s="153">
        <f t="shared" si="90"/>
        <v>6.8697058535040309E-2</v>
      </c>
      <c r="BG43" s="153"/>
      <c r="BH43" s="463">
        <f t="shared" si="34"/>
        <v>2.8727011712437835E-2</v>
      </c>
      <c r="BI43" s="463">
        <f t="shared" si="35"/>
        <v>4.1281730844804951E-2</v>
      </c>
      <c r="BJ43" s="463">
        <f t="shared" si="36"/>
        <v>1.4850902556220808E-2</v>
      </c>
      <c r="BK43" s="463">
        <f t="shared" si="37"/>
        <v>2.3519659515615968E-2</v>
      </c>
      <c r="BL43">
        <f t="shared" si="38"/>
        <v>3.2190000000000001E-3</v>
      </c>
      <c r="BM43">
        <f t="shared" si="91"/>
        <v>1.8118101118589388E-5</v>
      </c>
      <c r="BN43">
        <f t="shared" si="92"/>
        <v>0.11610996765933972</v>
      </c>
      <c r="BO43" s="147">
        <f t="shared" si="58"/>
        <v>116.10996765933972</v>
      </c>
      <c r="BP43" s="153">
        <f t="shared" si="93"/>
        <v>9.0560633036966889E-2</v>
      </c>
      <c r="BQ43" s="153">
        <f t="shared" si="94"/>
        <v>1.5237106878088843E-2</v>
      </c>
      <c r="BR43" s="463"/>
      <c r="BT43" s="147">
        <f t="shared" si="59"/>
        <v>105.79773991505573</v>
      </c>
      <c r="BU43" s="463">
        <f t="shared" si="43"/>
        <v>2.219814541415651E-2</v>
      </c>
      <c r="BV43" s="463">
        <f t="shared" si="60"/>
        <v>2.2358116996228451E-2</v>
      </c>
      <c r="BW43" s="463">
        <f t="shared" si="95"/>
        <v>2.3596429256833771E-4</v>
      </c>
      <c r="BX43" s="463">
        <f t="shared" si="45"/>
        <v>0</v>
      </c>
      <c r="BY43" s="463">
        <f t="shared" si="96"/>
        <v>5.0347708786181687E-2</v>
      </c>
      <c r="BZ43" s="463">
        <f t="shared" si="61"/>
        <v>4.4792226702953297E-2</v>
      </c>
      <c r="CA43" s="549">
        <f t="shared" si="97"/>
        <v>0.32605981612324803</v>
      </c>
      <c r="CB43" s="147">
        <f t="shared" si="62"/>
        <v>376.4075249094297</v>
      </c>
      <c r="CC43" s="153">
        <f t="shared" si="63"/>
        <v>0.59831523248382523</v>
      </c>
      <c r="CD43" s="5">
        <f t="shared" si="64"/>
        <v>3.4580000000000002</v>
      </c>
      <c r="CE43" s="153">
        <f t="shared" si="65"/>
        <v>0.8524978463970474</v>
      </c>
      <c r="CF43" s="5">
        <f t="shared" si="66"/>
        <v>85.249784639704743</v>
      </c>
      <c r="CG43">
        <f t="shared" si="102"/>
        <v>38</v>
      </c>
      <c r="CI43" s="59">
        <f t="shared" si="98"/>
        <v>-50</v>
      </c>
      <c r="CJ43">
        <f t="shared" si="99"/>
        <v>-50</v>
      </c>
    </row>
    <row r="44" spans="5:88" x14ac:dyDescent="0.25">
      <c r="E44" s="150">
        <v>39</v>
      </c>
      <c r="F44" s="191">
        <f t="shared" si="103"/>
        <v>0.19500000000000001</v>
      </c>
      <c r="G44" s="191">
        <f t="shared" si="100"/>
        <v>3.9000000000000007E-2</v>
      </c>
      <c r="H44" s="191">
        <f t="shared" si="70"/>
        <v>2.9250000000000003</v>
      </c>
      <c r="I44" s="191">
        <f t="shared" si="104"/>
        <v>0.62400000000000011</v>
      </c>
      <c r="J44" s="472">
        <f t="shared" si="1"/>
        <v>11.1</v>
      </c>
      <c r="K44" s="386">
        <f t="shared" si="2"/>
        <v>7.66</v>
      </c>
      <c r="L44" s="386">
        <f t="shared" si="3"/>
        <v>18.759999999999998</v>
      </c>
      <c r="M44" s="386"/>
      <c r="N44" s="191">
        <f t="shared" si="4"/>
        <v>0.40831556503198302</v>
      </c>
      <c r="O44" s="152">
        <f t="shared" si="101"/>
        <v>6.8918395170927162</v>
      </c>
      <c r="P44" s="152">
        <f t="shared" si="71"/>
        <v>1.7839143710021326</v>
      </c>
      <c r="Q44" s="191">
        <f t="shared" si="6"/>
        <v>0.45945596780618109</v>
      </c>
      <c r="R44" s="191">
        <f t="shared" si="72"/>
        <v>0.43073996981829477</v>
      </c>
      <c r="S44" s="386">
        <f t="shared" si="73"/>
        <v>15</v>
      </c>
      <c r="T44" s="191">
        <f t="shared" si="74"/>
        <v>1.7401014591615112</v>
      </c>
      <c r="U44" s="191">
        <f t="shared" si="10"/>
        <v>1.41089307499582</v>
      </c>
      <c r="V44" s="191">
        <f t="shared" si="11"/>
        <v>2.044505630868616</v>
      </c>
      <c r="W44" s="175">
        <f t="shared" si="12"/>
        <v>350</v>
      </c>
      <c r="X44" s="386">
        <f t="shared" si="52"/>
        <v>289.40220365968742</v>
      </c>
      <c r="Z44" s="191">
        <f t="shared" si="13"/>
        <v>1.4388262767793685</v>
      </c>
      <c r="AA44" s="153">
        <f t="shared" si="14"/>
        <v>1.6905269570514774</v>
      </c>
      <c r="AB44" s="153">
        <f t="shared" si="75"/>
        <v>0.21283277814833412</v>
      </c>
      <c r="AC44" s="153"/>
      <c r="AD44" s="153">
        <f t="shared" si="16"/>
        <v>0.96344647519582249</v>
      </c>
      <c r="AE44" s="317">
        <f t="shared" si="76"/>
        <v>987.30914138409696</v>
      </c>
      <c r="AF44" s="463">
        <f t="shared" si="77"/>
        <v>6.9127284595300251E-2</v>
      </c>
      <c r="AH44" s="153">
        <f t="shared" si="78"/>
        <v>1.5011106998930273</v>
      </c>
      <c r="AI44" s="153">
        <f t="shared" si="79"/>
        <v>1.5011106998930273</v>
      </c>
      <c r="AJ44" s="153">
        <f t="shared" si="80"/>
        <v>1.7045264443652055</v>
      </c>
      <c r="AL44" s="317">
        <f t="shared" si="81"/>
        <v>195</v>
      </c>
      <c r="AM44" s="147">
        <f t="shared" si="82"/>
        <v>289.40220365968742</v>
      </c>
      <c r="AO44">
        <f t="shared" si="53"/>
        <v>195</v>
      </c>
      <c r="AP44" s="147">
        <f t="shared" si="24"/>
        <v>289.40220365968742</v>
      </c>
      <c r="AQ44" s="147"/>
      <c r="AR44" s="5">
        <f t="shared" si="54"/>
        <v>3.4553987058644364</v>
      </c>
      <c r="AS44" s="5">
        <f t="shared" si="25"/>
        <v>1.2171167836970491</v>
      </c>
      <c r="AT44" s="5">
        <f t="shared" si="55"/>
        <v>2.2382819221673875</v>
      </c>
      <c r="AU44" s="153">
        <f t="shared" si="56"/>
        <v>0.35223627931311713</v>
      </c>
      <c r="AW44" s="5">
        <f t="shared" si="83"/>
        <v>11.33051538024511</v>
      </c>
      <c r="AX44" s="5">
        <f t="shared" si="84"/>
        <v>3.1700570840029223</v>
      </c>
      <c r="AY44" s="5">
        <f t="shared" si="85"/>
        <v>0.45203804398448061</v>
      </c>
      <c r="AZ44" s="5">
        <f t="shared" si="86"/>
        <v>0.5780362653821054</v>
      </c>
      <c r="BA44" s="5">
        <f t="shared" si="87"/>
        <v>1.432723271338376</v>
      </c>
      <c r="BB44" s="147">
        <f t="shared" si="88"/>
        <v>37.209466474529343</v>
      </c>
      <c r="BC44" s="5"/>
      <c r="BD44" s="153">
        <f t="shared" si="57"/>
        <v>0.51436230725872512</v>
      </c>
      <c r="BE44" s="153">
        <f t="shared" si="89"/>
        <v>0.34876300261875265</v>
      </c>
      <c r="BF44" s="153">
        <f t="shared" si="90"/>
        <v>6.984378039371622E-2</v>
      </c>
      <c r="BG44" s="153"/>
      <c r="BH44" s="463">
        <f t="shared" si="34"/>
        <v>2.910254414413711E-2</v>
      </c>
      <c r="BI44" s="463">
        <f t="shared" si="35"/>
        <v>4.0749041032803475E-2</v>
      </c>
      <c r="BJ44" s="463">
        <f t="shared" si="36"/>
        <v>1.447011018298437E-2</v>
      </c>
      <c r="BK44" s="463">
        <f t="shared" si="37"/>
        <v>2.2916591322907853E-2</v>
      </c>
      <c r="BL44">
        <f t="shared" si="38"/>
        <v>3.2190000000000001E-3</v>
      </c>
      <c r="BM44">
        <f t="shared" si="91"/>
        <v>1.7653534423240933E-5</v>
      </c>
      <c r="BN44">
        <f t="shared" si="92"/>
        <v>0.11502138171448524</v>
      </c>
      <c r="BO44" s="147">
        <f t="shared" si="58"/>
        <v>115.02138171448524</v>
      </c>
      <c r="BP44" s="153">
        <f t="shared" si="93"/>
        <v>9.3075924568935042E-2</v>
      </c>
      <c r="BQ44" s="153">
        <f t="shared" si="94"/>
        <v>1.5643381879199968E-2</v>
      </c>
      <c r="BR44" s="463"/>
      <c r="BT44" s="147">
        <f t="shared" si="59"/>
        <v>108.71930644813501</v>
      </c>
      <c r="BU44" s="463">
        <f t="shared" si="43"/>
        <v>2.2488329565924132E-2</v>
      </c>
      <c r="BV44" s="463">
        <f t="shared" si="60"/>
        <v>2.3110770079173133E-2</v>
      </c>
      <c r="BW44" s="463">
        <f t="shared" si="95"/>
        <v>2.4390768298428292E-4</v>
      </c>
      <c r="BX44" s="463">
        <f t="shared" si="45"/>
        <v>0</v>
      </c>
      <c r="BY44" s="463">
        <f t="shared" si="96"/>
        <v>5.1533163021052403E-2</v>
      </c>
      <c r="BZ44" s="463">
        <f t="shared" si="61"/>
        <v>4.5843007328081546E-2</v>
      </c>
      <c r="CA44" s="549">
        <f t="shared" si="97"/>
        <v>0.32605981612324803</v>
      </c>
      <c r="CB44" s="147">
        <f t="shared" si="62"/>
        <v>377.59297914430044</v>
      </c>
      <c r="CC44" s="153">
        <f t="shared" si="63"/>
        <v>0.60133366730692073</v>
      </c>
      <c r="CD44" s="5">
        <f t="shared" si="64"/>
        <v>3.5490000000000004</v>
      </c>
      <c r="CE44" s="153">
        <f t="shared" si="65"/>
        <v>0.85511197038354869</v>
      </c>
      <c r="CF44" s="5">
        <f t="shared" si="66"/>
        <v>85.511197038354865</v>
      </c>
      <c r="CG44">
        <f t="shared" si="102"/>
        <v>39</v>
      </c>
      <c r="CI44" s="59">
        <f t="shared" si="98"/>
        <v>-50</v>
      </c>
      <c r="CJ44">
        <f t="shared" si="99"/>
        <v>-50</v>
      </c>
    </row>
    <row r="45" spans="5:88" x14ac:dyDescent="0.25">
      <c r="E45" s="150">
        <v>40</v>
      </c>
      <c r="F45" s="191">
        <f t="shared" si="103"/>
        <v>0.2</v>
      </c>
      <c r="G45" s="191">
        <f t="shared" si="100"/>
        <v>4.0000000000000008E-2</v>
      </c>
      <c r="H45" s="191">
        <f t="shared" si="70"/>
        <v>3</v>
      </c>
      <c r="I45" s="191">
        <f t="shared" si="104"/>
        <v>0.64000000000000012</v>
      </c>
      <c r="J45" s="472">
        <f t="shared" si="1"/>
        <v>11.1</v>
      </c>
      <c r="K45" s="386">
        <f t="shared" si="2"/>
        <v>7.66</v>
      </c>
      <c r="L45" s="386">
        <f t="shared" si="3"/>
        <v>18.759999999999998</v>
      </c>
      <c r="M45" s="386"/>
      <c r="N45" s="191">
        <f t="shared" si="4"/>
        <v>0.40831556503198302</v>
      </c>
      <c r="O45" s="152">
        <f t="shared" si="101"/>
        <v>6.8918395170927162</v>
      </c>
      <c r="P45" s="152">
        <f t="shared" si="71"/>
        <v>1.7839143710021326</v>
      </c>
      <c r="Q45" s="191">
        <f t="shared" si="6"/>
        <v>0.45945596780618109</v>
      </c>
      <c r="R45" s="191">
        <f t="shared" si="72"/>
        <v>0.43073996981829477</v>
      </c>
      <c r="S45" s="386">
        <f t="shared" si="73"/>
        <v>15</v>
      </c>
      <c r="T45" s="191">
        <f t="shared" si="74"/>
        <v>1.7847194452938573</v>
      </c>
      <c r="U45" s="191">
        <f t="shared" si="10"/>
        <v>1.4470698205085331</v>
      </c>
      <c r="V45" s="191">
        <f t="shared" si="11"/>
        <v>2.0969288521729395</v>
      </c>
      <c r="W45" s="175">
        <f t="shared" si="12"/>
        <v>350</v>
      </c>
      <c r="X45" s="386">
        <f t="shared" si="52"/>
        <v>282.16714856819533</v>
      </c>
      <c r="Z45" s="191">
        <f t="shared" si="13"/>
        <v>1.4388262767793685</v>
      </c>
      <c r="AA45" s="153">
        <f t="shared" si="14"/>
        <v>1.6905269570514774</v>
      </c>
      <c r="AB45" s="153">
        <f t="shared" si="75"/>
        <v>0.21283277814833412</v>
      </c>
      <c r="AC45" s="153"/>
      <c r="AD45" s="153">
        <f t="shared" si="16"/>
        <v>0.96344647519582249</v>
      </c>
      <c r="AE45" s="317">
        <f t="shared" si="76"/>
        <v>1012.6247603939456</v>
      </c>
      <c r="AF45" s="463">
        <f t="shared" si="77"/>
        <v>6.9127284595300251E-2</v>
      </c>
      <c r="AH45" s="153">
        <f t="shared" si="78"/>
        <v>1.5202339001321841</v>
      </c>
      <c r="AI45" s="153">
        <f t="shared" si="79"/>
        <v>1.5202339001321841</v>
      </c>
      <c r="AJ45" s="153">
        <f t="shared" si="80"/>
        <v>1.7186917778756918</v>
      </c>
      <c r="AL45" s="317">
        <f t="shared" si="81"/>
        <v>200</v>
      </c>
      <c r="AM45" s="147">
        <f t="shared" si="82"/>
        <v>282.16714856819533</v>
      </c>
      <c r="AO45">
        <f t="shared" si="53"/>
        <v>200</v>
      </c>
      <c r="AP45" s="147">
        <f t="shared" si="24"/>
        <v>282.16714856819533</v>
      </c>
      <c r="AQ45" s="147"/>
      <c r="AR45" s="5">
        <f t="shared" si="54"/>
        <v>3.5439986726814721</v>
      </c>
      <c r="AS45" s="5">
        <f t="shared" si="25"/>
        <v>1.2326220811882576</v>
      </c>
      <c r="AT45" s="5">
        <f t="shared" si="55"/>
        <v>2.3113765914932145</v>
      </c>
      <c r="AU45" s="153">
        <f t="shared" si="56"/>
        <v>0.34780545791108519</v>
      </c>
      <c r="AW45" s="5">
        <f t="shared" si="83"/>
        <v>11.33051538024511</v>
      </c>
      <c r="AX45" s="5">
        <f t="shared" si="84"/>
        <v>3.3193236912588269</v>
      </c>
      <c r="AY45" s="5">
        <f t="shared" si="85"/>
        <v>0.45203804398448061</v>
      </c>
      <c r="AZ45" s="5">
        <f t="shared" si="86"/>
        <v>0.60600790572739571</v>
      </c>
      <c r="BA45" s="5">
        <f t="shared" si="87"/>
        <v>1.517447319938912</v>
      </c>
      <c r="BB45" s="147">
        <f t="shared" si="88"/>
        <v>39.374150482461111</v>
      </c>
      <c r="BC45" s="5"/>
      <c r="BD45" s="153">
        <f t="shared" si="57"/>
        <v>0.51762826374513116</v>
      </c>
      <c r="BE45" s="153">
        <f t="shared" si="89"/>
        <v>0.35441196048615919</v>
      </c>
      <c r="BF45" s="153">
        <f t="shared" si="90"/>
        <v>7.0975048818927577E-2</v>
      </c>
      <c r="BG45" s="153"/>
      <c r="BH45" s="463">
        <f t="shared" si="34"/>
        <v>2.9473292137057898E-2</v>
      </c>
      <c r="BI45" s="463">
        <f t="shared" si="35"/>
        <v>4.0236454074207069E-2</v>
      </c>
      <c r="BJ45" s="463">
        <f t="shared" si="36"/>
        <v>1.4108357428409766E-2</v>
      </c>
      <c r="BK45" s="463">
        <f t="shared" si="37"/>
        <v>2.2343676539835166E-2</v>
      </c>
      <c r="BL45">
        <f t="shared" si="38"/>
        <v>3.2190000000000001E-3</v>
      </c>
      <c r="BM45">
        <f t="shared" si="91"/>
        <v>1.7212196062659916E-5</v>
      </c>
      <c r="BN45">
        <f t="shared" si="92"/>
        <v>0.1139967810635896</v>
      </c>
      <c r="BO45" s="147">
        <f t="shared" si="58"/>
        <v>113.99678106358959</v>
      </c>
      <c r="BP45" s="153">
        <f t="shared" si="93"/>
        <v>9.5592877606006252E-2</v>
      </c>
      <c r="BQ45" s="153">
        <f t="shared" si="94"/>
        <v>1.6049723514380956E-2</v>
      </c>
      <c r="BR45" s="463"/>
      <c r="BT45" s="147">
        <f t="shared" si="59"/>
        <v>111.64260112038721</v>
      </c>
      <c r="BU45" s="463">
        <f t="shared" si="43"/>
        <v>2.2774816651362922E-2</v>
      </c>
      <c r="BV45" s="463">
        <f t="shared" si="60"/>
        <v>2.3865489169772148E-2</v>
      </c>
      <c r="BW45" s="463">
        <f t="shared" si="95"/>
        <v>2.5187287774245765E-4</v>
      </c>
      <c r="BX45" s="463">
        <f t="shared" si="45"/>
        <v>0</v>
      </c>
      <c r="BY45" s="463">
        <f t="shared" si="96"/>
        <v>5.2717001346551752E-2</v>
      </c>
      <c r="BZ45" s="463">
        <f t="shared" si="61"/>
        <v>4.6892178698877525E-2</v>
      </c>
      <c r="CA45" s="549">
        <f t="shared" si="97"/>
        <v>0.32605981612324797</v>
      </c>
      <c r="CB45" s="147">
        <f t="shared" si="62"/>
        <v>378.77681746979977</v>
      </c>
      <c r="CC45" s="153">
        <f t="shared" si="63"/>
        <v>0.60441619965377646</v>
      </c>
      <c r="CD45" s="5">
        <f t="shared" si="64"/>
        <v>3.64</v>
      </c>
      <c r="CE45" s="153">
        <f t="shared" si="65"/>
        <v>0.85759732994538107</v>
      </c>
      <c r="CF45" s="5">
        <f t="shared" si="66"/>
        <v>85.759732994538112</v>
      </c>
      <c r="CG45">
        <f t="shared" si="102"/>
        <v>40</v>
      </c>
      <c r="CI45" s="59">
        <f t="shared" si="98"/>
        <v>-50</v>
      </c>
      <c r="CJ45">
        <f t="shared" si="99"/>
        <v>-50</v>
      </c>
    </row>
    <row r="46" spans="5:88" x14ac:dyDescent="0.25">
      <c r="E46" s="150">
        <v>41</v>
      </c>
      <c r="F46" s="191">
        <f t="shared" si="103"/>
        <v>0.20499999999999999</v>
      </c>
      <c r="G46" s="191">
        <f t="shared" si="100"/>
        <v>4.1000000000000002E-2</v>
      </c>
      <c r="H46" s="191">
        <f t="shared" si="70"/>
        <v>3.0749999999999997</v>
      </c>
      <c r="I46" s="191">
        <f t="shared" si="104"/>
        <v>0.65600000000000003</v>
      </c>
      <c r="J46" s="472">
        <f t="shared" si="1"/>
        <v>11.1</v>
      </c>
      <c r="K46" s="386">
        <f t="shared" si="2"/>
        <v>7.66</v>
      </c>
      <c r="L46" s="386">
        <f t="shared" si="3"/>
        <v>18.759999999999998</v>
      </c>
      <c r="M46" s="386"/>
      <c r="N46" s="191">
        <f t="shared" si="4"/>
        <v>0.40831556503198302</v>
      </c>
      <c r="O46" s="152">
        <f t="shared" si="101"/>
        <v>6.8918395170927162</v>
      </c>
      <c r="P46" s="152">
        <f t="shared" si="71"/>
        <v>1.7839143710021326</v>
      </c>
      <c r="Q46" s="191">
        <f t="shared" si="6"/>
        <v>0.45945596780618109</v>
      </c>
      <c r="R46" s="191">
        <f t="shared" si="72"/>
        <v>0.43073996981829477</v>
      </c>
      <c r="S46" s="386">
        <f t="shared" si="73"/>
        <v>15</v>
      </c>
      <c r="T46" s="191">
        <f t="shared" si="74"/>
        <v>1.8293374314262036</v>
      </c>
      <c r="U46" s="191">
        <f t="shared" si="10"/>
        <v>1.4832465660212464</v>
      </c>
      <c r="V46" s="191">
        <f t="shared" si="11"/>
        <v>2.1493520734772624</v>
      </c>
      <c r="W46" s="175">
        <f t="shared" si="12"/>
        <v>350</v>
      </c>
      <c r="X46" s="386">
        <f t="shared" si="52"/>
        <v>275.28502299336128</v>
      </c>
      <c r="Z46" s="191">
        <f t="shared" si="13"/>
        <v>1.4388262767793685</v>
      </c>
      <c r="AA46" s="153">
        <f t="shared" si="14"/>
        <v>1.6905269570514774</v>
      </c>
      <c r="AB46" s="153">
        <f t="shared" si="75"/>
        <v>0.21283277814833412</v>
      </c>
      <c r="AC46" s="153"/>
      <c r="AD46" s="153">
        <f t="shared" si="16"/>
        <v>0.96344647519582249</v>
      </c>
      <c r="AE46" s="317">
        <f t="shared" si="76"/>
        <v>1037.9403794037942</v>
      </c>
      <c r="AF46" s="463">
        <f t="shared" si="77"/>
        <v>6.9127284595300251E-2</v>
      </c>
      <c r="AH46" s="153">
        <f t="shared" si="78"/>
        <v>1.5391195174153594</v>
      </c>
      <c r="AI46" s="153">
        <f t="shared" si="79"/>
        <v>1.5391195174153594</v>
      </c>
      <c r="AJ46" s="153">
        <f t="shared" si="80"/>
        <v>1.7326811240113771</v>
      </c>
      <c r="AL46" s="317">
        <f t="shared" si="81"/>
        <v>205</v>
      </c>
      <c r="AM46" s="147">
        <f t="shared" si="82"/>
        <v>275.28502299336128</v>
      </c>
      <c r="AO46">
        <f t="shared" si="53"/>
        <v>205</v>
      </c>
      <c r="AP46" s="147">
        <f t="shared" si="24"/>
        <v>275.28502299336128</v>
      </c>
      <c r="AQ46" s="147"/>
      <c r="AR46" s="5">
        <f t="shared" si="54"/>
        <v>3.632598639498509</v>
      </c>
      <c r="AS46" s="5">
        <f t="shared" si="25"/>
        <v>1.2479347438502915</v>
      </c>
      <c r="AT46" s="5">
        <f t="shared" si="55"/>
        <v>2.3846638956482176</v>
      </c>
      <c r="AU46" s="153">
        <f t="shared" si="56"/>
        <v>0.34353774465504194</v>
      </c>
      <c r="AW46" s="5">
        <f t="shared" si="83"/>
        <v>11.33051538024511</v>
      </c>
      <c r="AX46" s="5">
        <f t="shared" si="84"/>
        <v>3.4719894531288036</v>
      </c>
      <c r="AY46" s="5">
        <f t="shared" si="85"/>
        <v>0.45203804398448061</v>
      </c>
      <c r="AZ46" s="5">
        <f t="shared" si="86"/>
        <v>0.63463705595484499</v>
      </c>
      <c r="BA46" s="5">
        <f t="shared" si="87"/>
        <v>1.604700375089233</v>
      </c>
      <c r="BB46" s="147">
        <f t="shared" si="88"/>
        <v>41.602634428353355</v>
      </c>
      <c r="BC46" s="5"/>
      <c r="BD46" s="153">
        <f t="shared" si="57"/>
        <v>0.52083354545935212</v>
      </c>
      <c r="BE46" s="153">
        <f t="shared" si="89"/>
        <v>0.3599868218261158</v>
      </c>
      <c r="BF46" s="153">
        <f t="shared" si="90"/>
        <v>7.2091478567007775E-2</v>
      </c>
      <c r="BG46" s="153"/>
      <c r="BH46" s="463">
        <f t="shared" si="34"/>
        <v>2.9839434028333493E-2</v>
      </c>
      <c r="BI46" s="463">
        <f t="shared" si="35"/>
        <v>3.9742736553326274E-2</v>
      </c>
      <c r="BJ46" s="463">
        <f t="shared" si="36"/>
        <v>1.3764251149668063E-2</v>
      </c>
      <c r="BK46" s="463">
        <f t="shared" si="37"/>
        <v>2.1798708819351382E-2</v>
      </c>
      <c r="BL46">
        <f t="shared" si="38"/>
        <v>3.2190000000000001E-3</v>
      </c>
      <c r="BM46">
        <f t="shared" si="91"/>
        <v>1.6792386402595038E-5</v>
      </c>
      <c r="BN46">
        <f t="shared" si="92"/>
        <v>0.11303152754220744</v>
      </c>
      <c r="BO46" s="147">
        <f t="shared" si="58"/>
        <v>113.03152754220744</v>
      </c>
      <c r="BP46" s="153">
        <f t="shared" si="93"/>
        <v>9.8111430216557868E-2</v>
      </c>
      <c r="BQ46" s="153">
        <f t="shared" si="94"/>
        <v>1.6456129299886137E-2</v>
      </c>
      <c r="BR46" s="463"/>
      <c r="BT46" s="147">
        <f t="shared" si="59"/>
        <v>114.56755951644401</v>
      </c>
      <c r="BU46" s="463">
        <f t="shared" si="43"/>
        <v>2.3057744476439518E-2</v>
      </c>
      <c r="BV46" s="463">
        <f t="shared" si="60"/>
        <v>2.4622197258808855E-2</v>
      </c>
      <c r="BW46" s="463">
        <f t="shared" si="95"/>
        <v>2.5985906409886709E-4</v>
      </c>
      <c r="BX46" s="463">
        <f t="shared" si="45"/>
        <v>0</v>
      </c>
      <c r="BY46" s="463">
        <f t="shared" si="96"/>
        <v>5.389929059561932E-2</v>
      </c>
      <c r="BZ46" s="463">
        <f t="shared" si="61"/>
        <v>4.7939800799347239E-2</v>
      </c>
      <c r="CA46" s="549">
        <f t="shared" si="97"/>
        <v>0.32605981612324797</v>
      </c>
      <c r="CB46" s="147">
        <f t="shared" si="62"/>
        <v>379.9591067188673</v>
      </c>
      <c r="CC46" s="153">
        <f t="shared" si="63"/>
        <v>0.60755819377751874</v>
      </c>
      <c r="CD46" s="5">
        <f t="shared" si="64"/>
        <v>3.7309999999999999</v>
      </c>
      <c r="CE46" s="153">
        <f t="shared" si="65"/>
        <v>0.85996311063687114</v>
      </c>
      <c r="CF46" s="5">
        <f t="shared" si="66"/>
        <v>85.996311063687116</v>
      </c>
      <c r="CG46">
        <f t="shared" si="102"/>
        <v>41</v>
      </c>
      <c r="CI46" s="59">
        <f t="shared" si="98"/>
        <v>-50</v>
      </c>
      <c r="CJ46">
        <f t="shared" si="99"/>
        <v>-50</v>
      </c>
    </row>
    <row r="47" spans="5:88" x14ac:dyDescent="0.25">
      <c r="E47" s="150">
        <v>42</v>
      </c>
      <c r="F47" s="191">
        <f t="shared" si="103"/>
        <v>0.21</v>
      </c>
      <c r="G47" s="191">
        <f t="shared" si="100"/>
        <v>4.2000000000000003E-2</v>
      </c>
      <c r="H47" s="191">
        <f t="shared" si="70"/>
        <v>3.15</v>
      </c>
      <c r="I47" s="191">
        <f t="shared" si="104"/>
        <v>0.67200000000000004</v>
      </c>
      <c r="J47" s="472">
        <f t="shared" si="1"/>
        <v>11.1</v>
      </c>
      <c r="K47" s="386">
        <f t="shared" si="2"/>
        <v>7.66</v>
      </c>
      <c r="L47" s="386">
        <f t="shared" si="3"/>
        <v>18.759999999999998</v>
      </c>
      <c r="M47" s="386"/>
      <c r="N47" s="191">
        <f t="shared" si="4"/>
        <v>0.40831556503198302</v>
      </c>
      <c r="O47" s="152">
        <f t="shared" si="101"/>
        <v>6.8918395170927162</v>
      </c>
      <c r="P47" s="152">
        <f t="shared" si="71"/>
        <v>1.7839143710021326</v>
      </c>
      <c r="Q47" s="191">
        <f t="shared" si="6"/>
        <v>0.45945596780618109</v>
      </c>
      <c r="R47" s="191">
        <f t="shared" si="72"/>
        <v>0.43073996981829477</v>
      </c>
      <c r="S47" s="386">
        <f t="shared" si="73"/>
        <v>15</v>
      </c>
      <c r="T47" s="191">
        <f t="shared" si="74"/>
        <v>1.8739554175585502</v>
      </c>
      <c r="U47" s="191">
        <f t="shared" si="10"/>
        <v>1.5194233115339597</v>
      </c>
      <c r="V47" s="191">
        <f t="shared" si="11"/>
        <v>2.2017752947815867</v>
      </c>
      <c r="W47" s="175">
        <f t="shared" si="12"/>
        <v>350</v>
      </c>
      <c r="X47" s="386">
        <f t="shared" si="52"/>
        <v>268.73061768399549</v>
      </c>
      <c r="Z47" s="191">
        <f t="shared" si="13"/>
        <v>1.4388262767793685</v>
      </c>
      <c r="AA47" s="153">
        <f t="shared" si="14"/>
        <v>1.6905269570514774</v>
      </c>
      <c r="AB47" s="153">
        <f t="shared" si="75"/>
        <v>0.21283277814833412</v>
      </c>
      <c r="AC47" s="153"/>
      <c r="AD47" s="153">
        <f t="shared" si="16"/>
        <v>0.96344647519582249</v>
      </c>
      <c r="AE47" s="317">
        <f t="shared" si="76"/>
        <v>1063.2559984136428</v>
      </c>
      <c r="AF47" s="463">
        <f t="shared" si="77"/>
        <v>6.9127284595300251E-2</v>
      </c>
      <c r="AH47" s="153">
        <f t="shared" si="78"/>
        <v>1.5577761927397231</v>
      </c>
      <c r="AI47" s="153">
        <f t="shared" si="79"/>
        <v>1.5577761927397231</v>
      </c>
      <c r="AJ47" s="153">
        <f t="shared" si="80"/>
        <v>1.7465008835109059</v>
      </c>
      <c r="AL47" s="317">
        <f t="shared" si="81"/>
        <v>210</v>
      </c>
      <c r="AM47" s="147">
        <f t="shared" si="82"/>
        <v>268.73061768399549</v>
      </c>
      <c r="AO47">
        <f t="shared" si="53"/>
        <v>210</v>
      </c>
      <c r="AP47" s="147">
        <f t="shared" si="24"/>
        <v>268.73061768399549</v>
      </c>
      <c r="AQ47" s="147"/>
      <c r="AR47" s="5">
        <f t="shared" si="54"/>
        <v>3.7211986063155464</v>
      </c>
      <c r="AS47" s="5">
        <f t="shared" si="25"/>
        <v>1.263061777897073</v>
      </c>
      <c r="AT47" s="5">
        <f t="shared" si="55"/>
        <v>2.4581368284184735</v>
      </c>
      <c r="AU47" s="153">
        <f t="shared" si="56"/>
        <v>0.33942337174732595</v>
      </c>
      <c r="AW47" s="5">
        <f t="shared" si="83"/>
        <v>11.33051538024511</v>
      </c>
      <c r="AX47" s="5">
        <f t="shared" si="84"/>
        <v>3.628054369612856</v>
      </c>
      <c r="AY47" s="5">
        <f t="shared" si="85"/>
        <v>0.45203804398448061</v>
      </c>
      <c r="AZ47" s="5">
        <f t="shared" si="86"/>
        <v>0.66392371606445355</v>
      </c>
      <c r="BA47" s="5">
        <f t="shared" si="87"/>
        <v>1.6944870921760331</v>
      </c>
      <c r="BB47" s="147">
        <f t="shared" si="88"/>
        <v>43.895035754915853</v>
      </c>
      <c r="BC47" s="5"/>
      <c r="BD47" s="153">
        <f t="shared" si="57"/>
        <v>0.52398071914490785</v>
      </c>
      <c r="BE47" s="153">
        <f t="shared" si="89"/>
        <v>0.36549045639157057</v>
      </c>
      <c r="BF47" s="153">
        <f t="shared" si="90"/>
        <v>7.319364433880865E-2</v>
      </c>
      <c r="BG47" s="153"/>
      <c r="BH47" s="463">
        <f t="shared" si="34"/>
        <v>3.020113734391763E-2</v>
      </c>
      <c r="BI47" s="463">
        <f t="shared" si="35"/>
        <v>3.9266758466208973E-2</v>
      </c>
      <c r="BJ47" s="463">
        <f t="shared" si="36"/>
        <v>1.3436530884199773E-2</v>
      </c>
      <c r="BK47" s="463">
        <f t="shared" si="37"/>
        <v>2.1279691942700154E-2</v>
      </c>
      <c r="BL47">
        <f t="shared" si="38"/>
        <v>3.2190000000000001E-3</v>
      </c>
      <c r="BM47">
        <f t="shared" si="91"/>
        <v>1.6392567678723726E-5</v>
      </c>
      <c r="BN47">
        <f t="shared" si="92"/>
        <v>0.11212141760041487</v>
      </c>
      <c r="BO47" s="147">
        <f t="shared" si="58"/>
        <v>112.12141760041487</v>
      </c>
      <c r="BP47" s="153">
        <f t="shared" si="93"/>
        <v>0.10063152422339508</v>
      </c>
      <c r="BQ47" s="153">
        <f t="shared" si="94"/>
        <v>1.6862596902539873E-2</v>
      </c>
      <c r="BR47" s="463"/>
      <c r="BT47" s="147">
        <f t="shared" si="59"/>
        <v>117.49412112593495</v>
      </c>
      <c r="BU47" s="463">
        <f t="shared" si="43"/>
        <v>2.3337242493027259E-2</v>
      </c>
      <c r="BV47" s="463">
        <f t="shared" si="60"/>
        <v>2.5380822005530525E-2</v>
      </c>
      <c r="BW47" s="463">
        <f t="shared" si="95"/>
        <v>2.6786547857980079E-4</v>
      </c>
      <c r="BX47" s="463">
        <f t="shared" si="45"/>
        <v>0</v>
      </c>
      <c r="BY47" s="463">
        <f t="shared" si="96"/>
        <v>5.5080093542827946E-2</v>
      </c>
      <c r="BZ47" s="463">
        <f t="shared" si="61"/>
        <v>4.8985929977137584E-2</v>
      </c>
      <c r="CA47" s="549">
        <f t="shared" si="97"/>
        <v>0.32605981612324791</v>
      </c>
      <c r="CB47" s="147">
        <f t="shared" si="62"/>
        <v>381.13990966607588</v>
      </c>
      <c r="CC47" s="153">
        <f t="shared" si="63"/>
        <v>0.61075544839242568</v>
      </c>
      <c r="CD47" s="5">
        <f t="shared" si="64"/>
        <v>3.8220000000000001</v>
      </c>
      <c r="CE47" s="153">
        <f t="shared" si="65"/>
        <v>0.8622176532174991</v>
      </c>
      <c r="CF47" s="5">
        <f t="shared" si="66"/>
        <v>86.221765321749913</v>
      </c>
      <c r="CG47">
        <f t="shared" si="102"/>
        <v>42</v>
      </c>
      <c r="CI47" s="59">
        <f t="shared" si="98"/>
        <v>-50</v>
      </c>
      <c r="CJ47">
        <f t="shared" si="99"/>
        <v>-50</v>
      </c>
    </row>
    <row r="48" spans="5:88" x14ac:dyDescent="0.25">
      <c r="E48" s="150">
        <v>43</v>
      </c>
      <c r="F48" s="191">
        <f t="shared" si="103"/>
        <v>0.215</v>
      </c>
      <c r="G48" s="191">
        <f t="shared" si="100"/>
        <v>4.3000000000000003E-2</v>
      </c>
      <c r="H48" s="191">
        <f t="shared" si="70"/>
        <v>3.2250000000000001</v>
      </c>
      <c r="I48" s="191">
        <f t="shared" si="104"/>
        <v>0.68800000000000006</v>
      </c>
      <c r="J48" s="472">
        <f t="shared" si="1"/>
        <v>11.1</v>
      </c>
      <c r="K48" s="386">
        <f t="shared" si="2"/>
        <v>7.66</v>
      </c>
      <c r="L48" s="386">
        <f t="shared" si="3"/>
        <v>18.759999999999998</v>
      </c>
      <c r="M48" s="386"/>
      <c r="N48" s="191">
        <f t="shared" si="4"/>
        <v>0.40831556503198302</v>
      </c>
      <c r="O48" s="152">
        <f t="shared" si="101"/>
        <v>6.8918395170927162</v>
      </c>
      <c r="P48" s="152">
        <f t="shared" si="71"/>
        <v>1.7839143710021326</v>
      </c>
      <c r="Q48" s="191">
        <f t="shared" si="6"/>
        <v>0.45945596780618109</v>
      </c>
      <c r="R48" s="191">
        <f t="shared" si="72"/>
        <v>0.43073996981829477</v>
      </c>
      <c r="S48" s="386">
        <f t="shared" si="73"/>
        <v>15</v>
      </c>
      <c r="T48" s="191">
        <f t="shared" si="74"/>
        <v>1.9185734036908968</v>
      </c>
      <c r="U48" s="191">
        <f t="shared" si="10"/>
        <v>1.555600057046673</v>
      </c>
      <c r="V48" s="191">
        <f t="shared" si="11"/>
        <v>2.2541985160859102</v>
      </c>
      <c r="W48" s="175">
        <f t="shared" si="12"/>
        <v>350</v>
      </c>
      <c r="X48" s="386">
        <f t="shared" si="52"/>
        <v>262.48106843553046</v>
      </c>
      <c r="Z48" s="191">
        <f t="shared" si="13"/>
        <v>1.4388262767793685</v>
      </c>
      <c r="AA48" s="153">
        <f t="shared" si="14"/>
        <v>1.6905269570514774</v>
      </c>
      <c r="AB48" s="153">
        <f t="shared" si="75"/>
        <v>0.21283277814833412</v>
      </c>
      <c r="AC48" s="153"/>
      <c r="AD48" s="153">
        <f t="shared" si="16"/>
        <v>0.96344647519582249</v>
      </c>
      <c r="AE48" s="317">
        <f t="shared" si="76"/>
        <v>1088.5716174234913</v>
      </c>
      <c r="AF48" s="463">
        <f t="shared" si="77"/>
        <v>6.9127284595300251E-2</v>
      </c>
      <c r="AH48" s="153">
        <f t="shared" si="78"/>
        <v>1.5762120556715853</v>
      </c>
      <c r="AI48" s="153">
        <f t="shared" si="79"/>
        <v>1.9185734036908968</v>
      </c>
      <c r="AJ48" s="153">
        <f t="shared" si="80"/>
        <v>2.0137580768080716</v>
      </c>
      <c r="AL48" s="317">
        <f t="shared" si="81"/>
        <v>215</v>
      </c>
      <c r="AM48" s="147">
        <f t="shared" si="82"/>
        <v>262.48106843553046</v>
      </c>
      <c r="AO48">
        <f t="shared" si="53"/>
        <v>215</v>
      </c>
      <c r="AP48" s="147">
        <f t="shared" si="24"/>
        <v>262.48106843553046</v>
      </c>
      <c r="AQ48" s="147"/>
      <c r="AR48" s="5">
        <f t="shared" si="54"/>
        <v>3.8097985731325834</v>
      </c>
      <c r="AS48" s="5">
        <f t="shared" si="25"/>
        <v>1.555600057046673</v>
      </c>
      <c r="AT48" s="5">
        <f t="shared" si="55"/>
        <v>2.2541985160859106</v>
      </c>
      <c r="AU48" s="153">
        <f t="shared" si="56"/>
        <v>0.40831556503198291</v>
      </c>
      <c r="AW48" s="5">
        <f t="shared" si="83"/>
        <v>11.33051538024511</v>
      </c>
      <c r="AX48" s="5">
        <f t="shared" si="84"/>
        <v>3.787518440710981</v>
      </c>
      <c r="AY48" s="5">
        <f t="shared" si="85"/>
        <v>0.45203804398448061</v>
      </c>
      <c r="AZ48" s="5">
        <f t="shared" si="86"/>
        <v>0.69386788605622152</v>
      </c>
      <c r="BA48" s="5">
        <f t="shared" si="87"/>
        <v>1.5909023967109754</v>
      </c>
      <c r="BB48" s="147">
        <f t="shared" si="88"/>
        <v>41.309203719374686</v>
      </c>
      <c r="BC48" s="5"/>
      <c r="BD48" s="153">
        <f t="shared" si="57"/>
        <v>0.70780847792152268</v>
      </c>
      <c r="BE48" s="153">
        <f t="shared" si="89"/>
        <v>0.42602282617810167</v>
      </c>
      <c r="BF48" s="153">
        <f t="shared" si="90"/>
        <v>8.5315943752268211E-2</v>
      </c>
      <c r="BG48" s="153"/>
      <c r="BH48" s="463">
        <f t="shared" si="34"/>
        <v>5.5109212555934102E-2</v>
      </c>
      <c r="BI48" s="463">
        <f t="shared" si="35"/>
        <v>4.7236666666666649E-2</v>
      </c>
      <c r="BJ48" s="463">
        <f t="shared" si="36"/>
        <v>1.3124053421776522E-2</v>
      </c>
      <c r="BK48" s="463">
        <f t="shared" si="37"/>
        <v>2.0784815385893173E-2</v>
      </c>
      <c r="BL48">
        <f t="shared" si="38"/>
        <v>3.2190000000000001E-3</v>
      </c>
      <c r="BM48">
        <f t="shared" si="91"/>
        <v>1.6011345174567358E-5</v>
      </c>
      <c r="BN48">
        <f t="shared" si="92"/>
        <v>0.14843877655486215</v>
      </c>
      <c r="BO48" s="147">
        <f t="shared" si="58"/>
        <v>148.43877655486216</v>
      </c>
      <c r="BP48" s="153">
        <f t="shared" si="93"/>
        <v>0.10986250451930593</v>
      </c>
      <c r="BQ48" s="153">
        <f t="shared" si="94"/>
        <v>1.7538202207474384E-2</v>
      </c>
      <c r="BR48" s="463"/>
      <c r="BT48" s="147">
        <f t="shared" si="59"/>
        <v>127.4007067267803</v>
      </c>
      <c r="BU48" s="463">
        <f t="shared" si="43"/>
        <v>4.2584391520494536E-2</v>
      </c>
      <c r="BV48" s="463">
        <f t="shared" si="60"/>
        <v>3.4484135200707637E-2</v>
      </c>
      <c r="BW48" s="463">
        <f t="shared" si="95"/>
        <v>3.6394051291700969E-4</v>
      </c>
      <c r="BX48" s="463">
        <f t="shared" si="45"/>
        <v>0</v>
      </c>
      <c r="BY48" s="463">
        <f t="shared" si="96"/>
        <v>8.7264934436327782E-2</v>
      </c>
      <c r="BZ48" s="463">
        <f t="shared" si="61"/>
        <v>7.7432467234119187E-2</v>
      </c>
      <c r="CA48" s="549">
        <f t="shared" si="97"/>
        <v>0.4830864197530863</v>
      </c>
      <c r="CB48" s="147">
        <f t="shared" si="62"/>
        <v>570.35135418941411</v>
      </c>
      <c r="CC48" s="153">
        <f t="shared" si="63"/>
        <v>0.8461908374710565</v>
      </c>
      <c r="CD48" s="5">
        <f t="shared" si="64"/>
        <v>3.9130000000000003</v>
      </c>
      <c r="CE48" s="153">
        <f t="shared" si="65"/>
        <v>0.8221985908174454</v>
      </c>
      <c r="CF48" s="5">
        <f t="shared" si="66"/>
        <v>82.219859081744545</v>
      </c>
      <c r="CG48">
        <f t="shared" si="102"/>
        <v>43</v>
      </c>
      <c r="CI48" s="59">
        <f t="shared" si="98"/>
        <v>-50</v>
      </c>
      <c r="CJ48">
        <f t="shared" si="99"/>
        <v>-50</v>
      </c>
    </row>
    <row r="49" spans="5:88" x14ac:dyDescent="0.25">
      <c r="E49" s="150">
        <v>44</v>
      </c>
      <c r="F49" s="191">
        <f t="shared" si="103"/>
        <v>0.22</v>
      </c>
      <c r="G49" s="191">
        <f t="shared" si="100"/>
        <v>4.4000000000000004E-2</v>
      </c>
      <c r="H49" s="191">
        <f t="shared" si="70"/>
        <v>3.3</v>
      </c>
      <c r="I49" s="191">
        <f t="shared" si="104"/>
        <v>0.70400000000000007</v>
      </c>
      <c r="J49" s="472">
        <f t="shared" si="1"/>
        <v>11.1</v>
      </c>
      <c r="K49" s="386">
        <f t="shared" si="2"/>
        <v>7.66</v>
      </c>
      <c r="L49" s="386">
        <f t="shared" si="3"/>
        <v>18.759999999999998</v>
      </c>
      <c r="M49" s="386"/>
      <c r="N49" s="191">
        <f t="shared" si="4"/>
        <v>0.40831556503198302</v>
      </c>
      <c r="O49" s="152">
        <f t="shared" si="101"/>
        <v>6.8918395170927162</v>
      </c>
      <c r="P49" s="152">
        <f t="shared" si="71"/>
        <v>1.7839143710021326</v>
      </c>
      <c r="Q49" s="191">
        <f t="shared" si="6"/>
        <v>0.45945596780618109</v>
      </c>
      <c r="R49" s="191">
        <f t="shared" si="72"/>
        <v>0.43073996981829477</v>
      </c>
      <c r="S49" s="386">
        <f t="shared" si="73"/>
        <v>15</v>
      </c>
      <c r="T49" s="191">
        <f t="shared" si="74"/>
        <v>1.9631913898232429</v>
      </c>
      <c r="U49" s="191">
        <f t="shared" si="10"/>
        <v>1.5917768025593864</v>
      </c>
      <c r="V49" s="191">
        <f t="shared" si="11"/>
        <v>2.3066217373902331</v>
      </c>
      <c r="W49" s="175">
        <f t="shared" si="12"/>
        <v>350</v>
      </c>
      <c r="X49" s="386">
        <f t="shared" si="52"/>
        <v>256.51558960745029</v>
      </c>
      <c r="Z49" s="191">
        <f t="shared" si="13"/>
        <v>1.4388262767793685</v>
      </c>
      <c r="AA49" s="153">
        <f t="shared" si="14"/>
        <v>1.6905269570514774</v>
      </c>
      <c r="AB49" s="153">
        <f t="shared" si="75"/>
        <v>0.21283277814833412</v>
      </c>
      <c r="AC49" s="153"/>
      <c r="AD49" s="153">
        <f t="shared" si="16"/>
        <v>0.96344647519582249</v>
      </c>
      <c r="AE49" s="317">
        <f t="shared" si="76"/>
        <v>1113.8872364333399</v>
      </c>
      <c r="AF49" s="463">
        <f t="shared" si="77"/>
        <v>6.9127284595300251E-2</v>
      </c>
      <c r="AH49" s="153">
        <f t="shared" si="78"/>
        <v>1.5944347657468529</v>
      </c>
      <c r="AI49" s="153">
        <f t="shared" si="79"/>
        <v>1.9631913898232429</v>
      </c>
      <c r="AJ49" s="153">
        <f t="shared" si="80"/>
        <v>2.0468084369061059</v>
      </c>
      <c r="AL49" s="317">
        <f t="shared" si="81"/>
        <v>220</v>
      </c>
      <c r="AM49" s="147">
        <f t="shared" si="82"/>
        <v>256.51558960745029</v>
      </c>
      <c r="AO49">
        <f t="shared" si="53"/>
        <v>220</v>
      </c>
      <c r="AP49" s="147">
        <f t="shared" si="24"/>
        <v>256.51558960745029</v>
      </c>
      <c r="AQ49" s="147"/>
      <c r="AR49" s="5">
        <f t="shared" si="54"/>
        <v>3.8983985399496195</v>
      </c>
      <c r="AS49" s="5">
        <f t="shared" si="25"/>
        <v>1.5917768025593864</v>
      </c>
      <c r="AT49" s="5">
        <f t="shared" si="55"/>
        <v>2.3066217373902331</v>
      </c>
      <c r="AU49" s="153">
        <f t="shared" si="56"/>
        <v>0.40831556503198296</v>
      </c>
      <c r="AW49" s="5">
        <f t="shared" si="83"/>
        <v>11.33051538024511</v>
      </c>
      <c r="AX49" s="5">
        <f t="shared" si="84"/>
        <v>3.9503816664231799</v>
      </c>
      <c r="AY49" s="5">
        <f t="shared" si="85"/>
        <v>0.45203804398448061</v>
      </c>
      <c r="AZ49" s="5">
        <f t="shared" si="86"/>
        <v>0.72446956593014866</v>
      </c>
      <c r="BA49" s="5">
        <f t="shared" si="87"/>
        <v>1.6657582693523236</v>
      </c>
      <c r="BB49" s="147">
        <f t="shared" si="88"/>
        <v>43.224940561063306</v>
      </c>
      <c r="BC49" s="5"/>
      <c r="BD49" s="153">
        <f t="shared" si="57"/>
        <v>0.72426914019876731</v>
      </c>
      <c r="BE49" s="153">
        <f t="shared" si="89"/>
        <v>0.43593033376363882</v>
      </c>
      <c r="BF49" s="153">
        <f t="shared" si="90"/>
        <v>8.7300035467437226E-2</v>
      </c>
      <c r="BG49" s="153"/>
      <c r="BH49" s="463">
        <f t="shared" si="34"/>
        <v>5.770223661886878E-2</v>
      </c>
      <c r="BI49" s="463">
        <f t="shared" si="35"/>
        <v>4.7236666666666663E-2</v>
      </c>
      <c r="BJ49" s="463">
        <f t="shared" si="36"/>
        <v>1.2825779480372515E-2</v>
      </c>
      <c r="BK49" s="463">
        <f t="shared" si="37"/>
        <v>2.0312433218031969E-2</v>
      </c>
      <c r="BL49">
        <f t="shared" si="38"/>
        <v>3.2190000000000001E-3</v>
      </c>
      <c r="BM49">
        <f t="shared" si="91"/>
        <v>1.5647450966054468E-5</v>
      </c>
      <c r="BN49">
        <f t="shared" si="92"/>
        <v>0.15070599079916303</v>
      </c>
      <c r="BO49" s="147">
        <f t="shared" si="58"/>
        <v>150.70599079916303</v>
      </c>
      <c r="BP49" s="153">
        <f t="shared" si="93"/>
        <v>0.11307738710079841</v>
      </c>
      <c r="BQ49" s="153">
        <f t="shared" si="94"/>
        <v>1.7972534058231696E-2</v>
      </c>
      <c r="BR49" s="463"/>
      <c r="BT49" s="147">
        <f t="shared" si="59"/>
        <v>131.04992115903011</v>
      </c>
      <c r="BU49" s="463">
        <f t="shared" si="43"/>
        <v>4.4588091932762239E-2</v>
      </c>
      <c r="BV49" s="463">
        <f t="shared" si="60"/>
        <v>3.6106698620102733E-2</v>
      </c>
      <c r="BW49" s="463">
        <f t="shared" si="95"/>
        <v>3.810648096307899E-4</v>
      </c>
      <c r="BX49" s="463">
        <f t="shared" si="45"/>
        <v>0</v>
      </c>
      <c r="BY49" s="463">
        <f t="shared" si="96"/>
        <v>9.1397770197755884E-2</v>
      </c>
      <c r="BZ49" s="463">
        <f t="shared" si="61"/>
        <v>8.1075855362495758E-2</v>
      </c>
      <c r="CA49" s="549">
        <f t="shared" si="97"/>
        <v>0.49432098765432086</v>
      </c>
      <c r="CB49" s="147">
        <f t="shared" si="62"/>
        <v>585.71875785207669</v>
      </c>
      <c r="CC49" s="153">
        <f t="shared" si="63"/>
        <v>0.86747466981026988</v>
      </c>
      <c r="CD49" s="5">
        <f t="shared" si="64"/>
        <v>4.0039999999999996</v>
      </c>
      <c r="CE49" s="153">
        <f t="shared" si="65"/>
        <v>0.82192770596012243</v>
      </c>
      <c r="CF49" s="5">
        <f t="shared" si="66"/>
        <v>82.192770596012238</v>
      </c>
      <c r="CG49">
        <f t="shared" si="102"/>
        <v>44</v>
      </c>
      <c r="CI49" s="59">
        <f t="shared" si="98"/>
        <v>-50</v>
      </c>
      <c r="CJ49">
        <f t="shared" si="99"/>
        <v>-50</v>
      </c>
    </row>
    <row r="50" spans="5:88" x14ac:dyDescent="0.25">
      <c r="E50" s="150">
        <v>45</v>
      </c>
      <c r="F50" s="191">
        <f t="shared" si="103"/>
        <v>0.22500000000000001</v>
      </c>
      <c r="G50" s="191">
        <f t="shared" si="100"/>
        <v>4.5000000000000005E-2</v>
      </c>
      <c r="H50" s="191">
        <f t="shared" si="70"/>
        <v>3.375</v>
      </c>
      <c r="I50" s="191">
        <f t="shared" si="104"/>
        <v>0.72000000000000008</v>
      </c>
      <c r="J50" s="472">
        <f t="shared" si="1"/>
        <v>11.1</v>
      </c>
      <c r="K50" s="386">
        <f t="shared" si="2"/>
        <v>7.66</v>
      </c>
      <c r="L50" s="386">
        <f t="shared" si="3"/>
        <v>18.759999999999998</v>
      </c>
      <c r="M50" s="386"/>
      <c r="N50" s="191">
        <f t="shared" si="4"/>
        <v>0.40831556503198302</v>
      </c>
      <c r="O50" s="152">
        <f t="shared" si="101"/>
        <v>6.8918395170927162</v>
      </c>
      <c r="P50" s="152">
        <f t="shared" si="71"/>
        <v>1.7839143710021326</v>
      </c>
      <c r="Q50" s="191">
        <f t="shared" si="6"/>
        <v>0.45945596780618109</v>
      </c>
      <c r="R50" s="191">
        <f t="shared" si="72"/>
        <v>0.43073996981829477</v>
      </c>
      <c r="S50" s="386">
        <f t="shared" si="73"/>
        <v>15</v>
      </c>
      <c r="T50" s="191">
        <f t="shared" si="74"/>
        <v>2.0078093759555893</v>
      </c>
      <c r="U50" s="191">
        <f t="shared" si="10"/>
        <v>1.6279535480720997</v>
      </c>
      <c r="V50" s="191">
        <f t="shared" si="11"/>
        <v>2.359044958694557</v>
      </c>
      <c r="W50" s="175">
        <f t="shared" si="12"/>
        <v>350</v>
      </c>
      <c r="X50" s="386">
        <f t="shared" si="52"/>
        <v>250.81524317172915</v>
      </c>
      <c r="Z50" s="191">
        <f t="shared" si="13"/>
        <v>1.4388262767793685</v>
      </c>
      <c r="AA50" s="153">
        <f t="shared" si="14"/>
        <v>1.6905269570514774</v>
      </c>
      <c r="AB50" s="153">
        <f t="shared" si="75"/>
        <v>0.21283277814833412</v>
      </c>
      <c r="AC50" s="153"/>
      <c r="AD50" s="153">
        <f t="shared" si="16"/>
        <v>0.96344647519582249</v>
      </c>
      <c r="AE50" s="317">
        <f t="shared" si="76"/>
        <v>1139.2028554431886</v>
      </c>
      <c r="AF50" s="463">
        <f t="shared" si="77"/>
        <v>6.9127284595300251E-2</v>
      </c>
      <c r="AH50" s="153">
        <f t="shared" si="78"/>
        <v>1.61245154965971</v>
      </c>
      <c r="AI50" s="153">
        <f t="shared" si="79"/>
        <v>2.0078093759555893</v>
      </c>
      <c r="AJ50" s="153">
        <f t="shared" si="80"/>
        <v>2.0798587970041402</v>
      </c>
      <c r="AL50" s="317">
        <f t="shared" si="81"/>
        <v>225</v>
      </c>
      <c r="AM50" s="147">
        <f t="shared" si="82"/>
        <v>250.81524317172915</v>
      </c>
      <c r="AO50">
        <f t="shared" si="53"/>
        <v>225</v>
      </c>
      <c r="AP50" s="147">
        <f t="shared" si="24"/>
        <v>250.81524317172915</v>
      </c>
      <c r="AQ50" s="147"/>
      <c r="AR50" s="5">
        <f t="shared" si="54"/>
        <v>3.9869985067666569</v>
      </c>
      <c r="AS50" s="5">
        <f t="shared" si="25"/>
        <v>1.6279535480720997</v>
      </c>
      <c r="AT50" s="5">
        <f t="shared" si="55"/>
        <v>2.3590449586945574</v>
      </c>
      <c r="AU50" s="153">
        <f t="shared" si="56"/>
        <v>0.40831556503198291</v>
      </c>
      <c r="AW50" s="5">
        <f t="shared" si="83"/>
        <v>11.33051538024511</v>
      </c>
      <c r="AX50" s="5">
        <f t="shared" si="84"/>
        <v>4.1166440467494523</v>
      </c>
      <c r="AY50" s="5">
        <f t="shared" si="85"/>
        <v>0.45203804398448061</v>
      </c>
      <c r="AZ50" s="5">
        <f t="shared" si="86"/>
        <v>0.75572875568623499</v>
      </c>
      <c r="BA50" s="5">
        <f t="shared" si="87"/>
        <v>1.7423349666520955</v>
      </c>
      <c r="BB50" s="147">
        <f t="shared" si="88"/>
        <v>45.184089115725783</v>
      </c>
      <c r="BC50" s="5"/>
      <c r="BD50" s="153">
        <f t="shared" si="57"/>
        <v>0.74072980247601206</v>
      </c>
      <c r="BE50" s="153">
        <f t="shared" si="89"/>
        <v>0.44583784134917609</v>
      </c>
      <c r="BF50" s="153">
        <f t="shared" si="90"/>
        <v>8.928412718260624E-2</v>
      </c>
      <c r="BG50" s="153"/>
      <c r="BH50" s="463">
        <f t="shared" si="34"/>
        <v>6.0354870430376698E-2</v>
      </c>
      <c r="BI50" s="463">
        <f t="shared" si="35"/>
        <v>4.7236666666666649E-2</v>
      </c>
      <c r="BJ50" s="463">
        <f t="shared" si="36"/>
        <v>1.2540762158586457E-2</v>
      </c>
      <c r="BK50" s="463">
        <f t="shared" si="37"/>
        <v>1.9861045813186814E-2</v>
      </c>
      <c r="BL50">
        <f t="shared" si="38"/>
        <v>3.2190000000000001E-3</v>
      </c>
      <c r="BM50">
        <f t="shared" si="91"/>
        <v>1.5299729833475478E-5</v>
      </c>
      <c r="BN50">
        <f t="shared" si="92"/>
        <v>0.15308017252573819</v>
      </c>
      <c r="BO50" s="147">
        <f t="shared" si="58"/>
        <v>153.08017252573819</v>
      </c>
      <c r="BP50" s="153">
        <f t="shared" si="93"/>
        <v>0.11632226698301489</v>
      </c>
      <c r="BQ50" s="153">
        <f t="shared" si="94"/>
        <v>1.8408068940040902E-2</v>
      </c>
      <c r="BR50" s="463"/>
      <c r="BT50" s="147">
        <f t="shared" si="59"/>
        <v>134.73033592305578</v>
      </c>
      <c r="BU50" s="463">
        <f t="shared" si="43"/>
        <v>4.6637854423472909E-2</v>
      </c>
      <c r="BV50" s="463">
        <f t="shared" si="60"/>
        <v>3.7766562347989689E-2</v>
      </c>
      <c r="BW50" s="463">
        <f t="shared" si="95"/>
        <v>3.9858276833799032E-4</v>
      </c>
      <c r="BX50" s="463">
        <f t="shared" si="45"/>
        <v>0</v>
      </c>
      <c r="BY50" s="463">
        <f t="shared" si="96"/>
        <v>9.5628123622460454E-2</v>
      </c>
      <c r="BZ50" s="463">
        <f t="shared" si="61"/>
        <v>8.4802999539800583E-2</v>
      </c>
      <c r="CA50" s="549">
        <f t="shared" si="97"/>
        <v>0.50555555555555531</v>
      </c>
      <c r="CB50" s="147">
        <f t="shared" si="62"/>
        <v>601.18367917801572</v>
      </c>
      <c r="CC50" s="153">
        <f t="shared" si="63"/>
        <v>0.88899418762680971</v>
      </c>
      <c r="CD50" s="5">
        <f t="shared" si="64"/>
        <v>4.0949999999999998</v>
      </c>
      <c r="CE50" s="153">
        <f t="shared" si="65"/>
        <v>0.82163017167359198</v>
      </c>
      <c r="CF50" s="5">
        <f t="shared" si="66"/>
        <v>82.1630171673592</v>
      </c>
      <c r="CG50">
        <f t="shared" si="102"/>
        <v>45</v>
      </c>
      <c r="CI50" s="59">
        <f t="shared" si="98"/>
        <v>-50</v>
      </c>
      <c r="CJ50">
        <f t="shared" si="99"/>
        <v>-50</v>
      </c>
    </row>
    <row r="51" spans="5:88" x14ac:dyDescent="0.25">
      <c r="E51" s="150">
        <v>46</v>
      </c>
      <c r="F51" s="191">
        <f t="shared" si="103"/>
        <v>0.23</v>
      </c>
      <c r="G51" s="191">
        <f t="shared" si="100"/>
        <v>4.6000000000000006E-2</v>
      </c>
      <c r="H51" s="191">
        <f t="shared" si="70"/>
        <v>3.45</v>
      </c>
      <c r="I51" s="191">
        <f t="shared" si="104"/>
        <v>0.7360000000000001</v>
      </c>
      <c r="J51" s="472">
        <f t="shared" si="1"/>
        <v>11.1</v>
      </c>
      <c r="K51" s="386">
        <f t="shared" si="2"/>
        <v>7.66</v>
      </c>
      <c r="L51" s="386">
        <f t="shared" si="3"/>
        <v>18.759999999999998</v>
      </c>
      <c r="M51" s="386"/>
      <c r="N51" s="191">
        <f t="shared" si="4"/>
        <v>0.40831556503198302</v>
      </c>
      <c r="O51" s="152">
        <f t="shared" si="101"/>
        <v>6.8918395170927162</v>
      </c>
      <c r="P51" s="152">
        <f t="shared" si="71"/>
        <v>1.7839143710021326</v>
      </c>
      <c r="Q51" s="191">
        <f t="shared" si="6"/>
        <v>0.45945596780618109</v>
      </c>
      <c r="R51" s="191">
        <f t="shared" si="72"/>
        <v>0.43073996981829477</v>
      </c>
      <c r="S51" s="386">
        <f t="shared" si="73"/>
        <v>15</v>
      </c>
      <c r="T51" s="191">
        <f t="shared" si="74"/>
        <v>2.0524273620879359</v>
      </c>
      <c r="U51" s="191">
        <f t="shared" si="10"/>
        <v>1.6641302935848128</v>
      </c>
      <c r="V51" s="191">
        <f t="shared" si="11"/>
        <v>2.41146817999888</v>
      </c>
      <c r="W51" s="175">
        <f t="shared" si="12"/>
        <v>350</v>
      </c>
      <c r="X51" s="386">
        <f t="shared" si="52"/>
        <v>245.36273788538725</v>
      </c>
      <c r="Z51" s="191">
        <f t="shared" si="13"/>
        <v>1.4388262767793685</v>
      </c>
      <c r="AA51" s="153">
        <f t="shared" si="14"/>
        <v>1.6905269570514774</v>
      </c>
      <c r="AB51" s="153">
        <f t="shared" si="75"/>
        <v>0.21283277814833412</v>
      </c>
      <c r="AC51" s="153"/>
      <c r="AD51" s="153">
        <f t="shared" si="16"/>
        <v>0.96344647519582249</v>
      </c>
      <c r="AE51" s="317">
        <f t="shared" si="76"/>
        <v>1164.5184744530375</v>
      </c>
      <c r="AF51" s="463">
        <f t="shared" si="77"/>
        <v>6.9127284595300251E-2</v>
      </c>
      <c r="AH51" s="153">
        <f t="shared" si="78"/>
        <v>1.6302692347516645</v>
      </c>
      <c r="AI51" s="153">
        <f t="shared" si="79"/>
        <v>2.0524273620879359</v>
      </c>
      <c r="AJ51" s="153">
        <f t="shared" si="80"/>
        <v>2.112909157102175</v>
      </c>
      <c r="AL51" s="317">
        <f t="shared" si="81"/>
        <v>230</v>
      </c>
      <c r="AM51" s="147">
        <f t="shared" si="82"/>
        <v>245.36273788538725</v>
      </c>
      <c r="AO51">
        <f t="shared" si="53"/>
        <v>230</v>
      </c>
      <c r="AP51" s="147">
        <f t="shared" si="24"/>
        <v>245.36273788538725</v>
      </c>
      <c r="AQ51" s="147"/>
      <c r="AR51" s="5">
        <f t="shared" si="54"/>
        <v>4.0755984735836925</v>
      </c>
      <c r="AS51" s="5">
        <f t="shared" si="25"/>
        <v>1.6641302935848128</v>
      </c>
      <c r="AT51" s="5">
        <f t="shared" si="55"/>
        <v>2.41146817999888</v>
      </c>
      <c r="AU51" s="153">
        <f t="shared" si="56"/>
        <v>0.40831556503198296</v>
      </c>
      <c r="AW51" s="5">
        <f t="shared" si="83"/>
        <v>11.33051538024511</v>
      </c>
      <c r="AX51" s="5">
        <f t="shared" si="84"/>
        <v>4.2863055816897981</v>
      </c>
      <c r="AY51" s="5">
        <f t="shared" si="85"/>
        <v>0.45203804398448061</v>
      </c>
      <c r="AZ51" s="5">
        <f t="shared" si="86"/>
        <v>0.78764545532448071</v>
      </c>
      <c r="BA51" s="5">
        <f t="shared" si="87"/>
        <v>1.8206324886102878</v>
      </c>
      <c r="BB51" s="147">
        <f t="shared" si="88"/>
        <v>47.186649383362059</v>
      </c>
      <c r="BC51" s="5"/>
      <c r="BD51" s="153">
        <f t="shared" si="57"/>
        <v>0.7571904647532568</v>
      </c>
      <c r="BE51" s="153">
        <f t="shared" si="89"/>
        <v>0.45574534893471336</v>
      </c>
      <c r="BF51" s="153">
        <f t="shared" si="90"/>
        <v>9.1268218897775283E-2</v>
      </c>
      <c r="BG51" s="153"/>
      <c r="BH51" s="463">
        <f t="shared" si="34"/>
        <v>6.3067113990457835E-2</v>
      </c>
      <c r="BI51" s="463">
        <f t="shared" si="35"/>
        <v>4.7236666666666663E-2</v>
      </c>
      <c r="BJ51" s="463">
        <f t="shared" si="36"/>
        <v>1.2268136894269361E-2</v>
      </c>
      <c r="BK51" s="463">
        <f t="shared" si="37"/>
        <v>1.9429283947682754E-2</v>
      </c>
      <c r="BL51">
        <f t="shared" si="38"/>
        <v>3.2190000000000001E-3</v>
      </c>
      <c r="BM51">
        <f t="shared" si="91"/>
        <v>1.4967127011008623E-5</v>
      </c>
      <c r="BN51">
        <f t="shared" si="92"/>
        <v>0.15555929874159866</v>
      </c>
      <c r="BO51" s="147">
        <f t="shared" si="58"/>
        <v>155.55929874159867</v>
      </c>
      <c r="BP51" s="153">
        <f t="shared" si="93"/>
        <v>0.11959714416595532</v>
      </c>
      <c r="BQ51" s="153">
        <f t="shared" si="94"/>
        <v>1.8844806852901998E-2</v>
      </c>
      <c r="BR51" s="463"/>
      <c r="BT51" s="147">
        <f t="shared" si="59"/>
        <v>138.44195101885731</v>
      </c>
      <c r="BU51" s="463">
        <f t="shared" si="43"/>
        <v>4.8733678992626511E-2</v>
      </c>
      <c r="BV51" s="463">
        <f t="shared" si="60"/>
        <v>3.9463726384368493E-2</v>
      </c>
      <c r="BW51" s="463">
        <f t="shared" si="95"/>
        <v>4.1649438903861133E-4</v>
      </c>
      <c r="BX51" s="463">
        <f t="shared" si="45"/>
        <v>0</v>
      </c>
      <c r="BY51" s="463">
        <f t="shared" si="96"/>
        <v>9.9956168207601268E-2</v>
      </c>
      <c r="BZ51" s="463">
        <f t="shared" si="61"/>
        <v>8.8613899766033608E-2</v>
      </c>
      <c r="CA51" s="549">
        <f t="shared" si="97"/>
        <v>0.5167901234567901</v>
      </c>
      <c r="CB51" s="147">
        <f t="shared" si="62"/>
        <v>616.74629166439126</v>
      </c>
      <c r="CC51" s="153">
        <f t="shared" si="63"/>
        <v>0.91074754142484737</v>
      </c>
      <c r="CD51" s="5">
        <f t="shared" si="64"/>
        <v>4.1859999999999999</v>
      </c>
      <c r="CE51" s="153">
        <f t="shared" si="65"/>
        <v>0.82130809226422108</v>
      </c>
      <c r="CF51" s="5">
        <f t="shared" si="66"/>
        <v>82.130809226422102</v>
      </c>
      <c r="CG51">
        <f t="shared" si="102"/>
        <v>46</v>
      </c>
      <c r="CI51" s="59">
        <f t="shared" si="98"/>
        <v>-50</v>
      </c>
      <c r="CJ51">
        <f t="shared" si="99"/>
        <v>-50</v>
      </c>
    </row>
    <row r="52" spans="5:88" x14ac:dyDescent="0.25">
      <c r="E52" s="150">
        <v>47</v>
      </c>
      <c r="F52" s="191">
        <f t="shared" si="103"/>
        <v>0.23499999999999999</v>
      </c>
      <c r="G52" s="191">
        <f t="shared" si="100"/>
        <v>4.7E-2</v>
      </c>
      <c r="H52" s="191">
        <f t="shared" si="70"/>
        <v>3.5249999999999999</v>
      </c>
      <c r="I52" s="191">
        <f t="shared" si="104"/>
        <v>0.752</v>
      </c>
      <c r="J52" s="472">
        <f t="shared" si="1"/>
        <v>11.1</v>
      </c>
      <c r="K52" s="386">
        <f t="shared" si="2"/>
        <v>7.66</v>
      </c>
      <c r="L52" s="386">
        <f t="shared" si="3"/>
        <v>18.759999999999998</v>
      </c>
      <c r="M52" s="386"/>
      <c r="N52" s="191">
        <f t="shared" si="4"/>
        <v>0.40831556503198302</v>
      </c>
      <c r="O52" s="152">
        <f t="shared" si="101"/>
        <v>6.8918395170927162</v>
      </c>
      <c r="P52" s="152">
        <f t="shared" si="71"/>
        <v>1.7839143710021326</v>
      </c>
      <c r="Q52" s="191">
        <f t="shared" si="6"/>
        <v>0.45945596780618109</v>
      </c>
      <c r="R52" s="191">
        <f t="shared" si="72"/>
        <v>0.43073996981829477</v>
      </c>
      <c r="S52" s="386">
        <f t="shared" si="73"/>
        <v>15</v>
      </c>
      <c r="T52" s="191">
        <f t="shared" si="74"/>
        <v>2.0970453482202824</v>
      </c>
      <c r="U52" s="191">
        <f t="shared" si="10"/>
        <v>1.7003070390975263</v>
      </c>
      <c r="V52" s="191">
        <f t="shared" si="11"/>
        <v>2.4638914013032043</v>
      </c>
      <c r="W52" s="175">
        <f t="shared" si="12"/>
        <v>350</v>
      </c>
      <c r="X52" s="386">
        <f t="shared" si="52"/>
        <v>240.14225410059171</v>
      </c>
      <c r="Z52" s="191">
        <f t="shared" si="13"/>
        <v>1.4388262767793685</v>
      </c>
      <c r="AA52" s="153">
        <f t="shared" si="14"/>
        <v>1.6905269570514774</v>
      </c>
      <c r="AB52" s="153">
        <f t="shared" si="75"/>
        <v>0.21283277814833412</v>
      </c>
      <c r="AC52" s="153"/>
      <c r="AD52" s="153">
        <f t="shared" si="16"/>
        <v>0.96344647519582249</v>
      </c>
      <c r="AE52" s="317">
        <f t="shared" si="76"/>
        <v>1189.8340934628859</v>
      </c>
      <c r="AF52" s="463">
        <f t="shared" si="77"/>
        <v>6.9127284595300251E-2</v>
      </c>
      <c r="AH52" s="153">
        <f t="shared" si="78"/>
        <v>1.6478942792411033</v>
      </c>
      <c r="AI52" s="153">
        <f t="shared" si="79"/>
        <v>2.0970453482202824</v>
      </c>
      <c r="AJ52" s="153">
        <f t="shared" si="80"/>
        <v>2.1459595172002093</v>
      </c>
      <c r="AL52" s="317">
        <f t="shared" si="81"/>
        <v>235</v>
      </c>
      <c r="AM52" s="147">
        <f t="shared" si="82"/>
        <v>240.14225410059171</v>
      </c>
      <c r="AO52">
        <f t="shared" si="53"/>
        <v>235</v>
      </c>
      <c r="AP52" s="147">
        <f t="shared" si="24"/>
        <v>240.14225410059171</v>
      </c>
      <c r="AQ52" s="147"/>
      <c r="AR52" s="5">
        <f t="shared" si="54"/>
        <v>4.1641984404007308</v>
      </c>
      <c r="AS52" s="5">
        <f t="shared" si="25"/>
        <v>1.7003070390975263</v>
      </c>
      <c r="AT52" s="5">
        <f t="shared" si="55"/>
        <v>2.4638914013032043</v>
      </c>
      <c r="AU52" s="153">
        <f t="shared" si="56"/>
        <v>0.40831556503198291</v>
      </c>
      <c r="AW52" s="5">
        <f t="shared" si="83"/>
        <v>11.33051538024511</v>
      </c>
      <c r="AX52" s="5">
        <f t="shared" si="84"/>
        <v>4.4593662712442166</v>
      </c>
      <c r="AY52" s="5">
        <f t="shared" si="85"/>
        <v>0.45203804398448061</v>
      </c>
      <c r="AZ52" s="5">
        <f t="shared" si="86"/>
        <v>0.82021966484488529</v>
      </c>
      <c r="BA52" s="5">
        <f t="shared" si="87"/>
        <v>1.9006508352269034</v>
      </c>
      <c r="BB52" s="147">
        <f t="shared" si="88"/>
        <v>49.232621363972179</v>
      </c>
      <c r="BC52" s="5"/>
      <c r="BD52" s="153">
        <f t="shared" si="57"/>
        <v>0.77365112703050154</v>
      </c>
      <c r="BE52" s="153">
        <f t="shared" si="89"/>
        <v>0.46565285652025062</v>
      </c>
      <c r="BF52" s="153">
        <f t="shared" si="90"/>
        <v>9.3252310612944325E-2</v>
      </c>
      <c r="BG52" s="153"/>
      <c r="BH52" s="463">
        <f t="shared" si="34"/>
        <v>6.5838967299112178E-2</v>
      </c>
      <c r="BI52" s="463">
        <f t="shared" si="35"/>
        <v>4.7236666666666649E-2</v>
      </c>
      <c r="BJ52" s="463">
        <f t="shared" si="36"/>
        <v>1.2007112705029585E-2</v>
      </c>
      <c r="BK52" s="463">
        <f t="shared" si="37"/>
        <v>1.9015894927519289E-2</v>
      </c>
      <c r="BL52">
        <f t="shared" si="38"/>
        <v>3.2190000000000001E-3</v>
      </c>
      <c r="BM52">
        <f t="shared" si="91"/>
        <v>1.4648677500136095E-5</v>
      </c>
      <c r="BN52">
        <f t="shared" si="92"/>
        <v>0.1581415419479579</v>
      </c>
      <c r="BO52" s="147">
        <f t="shared" si="58"/>
        <v>158.1415419479579</v>
      </c>
      <c r="BP52" s="153">
        <f t="shared" si="93"/>
        <v>0.12290201864961968</v>
      </c>
      <c r="BQ52" s="153">
        <f t="shared" si="94"/>
        <v>1.9282747796814985E-2</v>
      </c>
      <c r="BR52" s="463"/>
      <c r="BT52" s="147">
        <f t="shared" si="59"/>
        <v>142.18476644643465</v>
      </c>
      <c r="BU52" s="463">
        <f t="shared" si="43"/>
        <v>5.0875565640223046E-2</v>
      </c>
      <c r="BV52" s="463">
        <f t="shared" si="60"/>
        <v>4.119819072923913E-2</v>
      </c>
      <c r="BW52" s="463">
        <f t="shared" si="95"/>
        <v>4.3479967173265245E-4</v>
      </c>
      <c r="BX52" s="463">
        <f t="shared" si="45"/>
        <v>0</v>
      </c>
      <c r="BY52" s="463">
        <f t="shared" si="96"/>
        <v>0.10438208161790191</v>
      </c>
      <c r="BZ52" s="463">
        <f t="shared" si="61"/>
        <v>9.2508556041194831E-2</v>
      </c>
      <c r="CA52" s="549">
        <f t="shared" si="97"/>
        <v>0.52802469135802466</v>
      </c>
      <c r="CB52" s="147">
        <f t="shared" si="62"/>
        <v>632.40677297592663</v>
      </c>
      <c r="CC52" s="153">
        <f t="shared" si="63"/>
        <v>0.93273308137031918</v>
      </c>
      <c r="CD52" s="5">
        <f t="shared" si="64"/>
        <v>4.2770000000000001</v>
      </c>
      <c r="CE52" s="153">
        <f t="shared" si="65"/>
        <v>0.82096336476321319</v>
      </c>
      <c r="CF52" s="5">
        <f t="shared" si="66"/>
        <v>82.096336476321312</v>
      </c>
      <c r="CG52">
        <f t="shared" si="102"/>
        <v>47</v>
      </c>
      <c r="CI52" s="59">
        <f t="shared" si="98"/>
        <v>-50</v>
      </c>
      <c r="CJ52">
        <f t="shared" si="99"/>
        <v>-50</v>
      </c>
    </row>
    <row r="53" spans="5:88" x14ac:dyDescent="0.25">
      <c r="E53" s="150">
        <v>48</v>
      </c>
      <c r="F53" s="191">
        <f t="shared" si="103"/>
        <v>0.24</v>
      </c>
      <c r="G53" s="191">
        <f t="shared" si="100"/>
        <v>4.8000000000000001E-2</v>
      </c>
      <c r="H53" s="191">
        <f t="shared" si="70"/>
        <v>3.5999999999999996</v>
      </c>
      <c r="I53" s="191">
        <f t="shared" si="104"/>
        <v>0.76800000000000002</v>
      </c>
      <c r="J53" s="472">
        <f t="shared" si="1"/>
        <v>11.1</v>
      </c>
      <c r="K53" s="386">
        <f t="shared" si="2"/>
        <v>7.66</v>
      </c>
      <c r="L53" s="386">
        <f t="shared" si="3"/>
        <v>18.759999999999998</v>
      </c>
      <c r="M53" s="386"/>
      <c r="N53" s="191">
        <f t="shared" si="4"/>
        <v>0.40831556503198302</v>
      </c>
      <c r="O53" s="152">
        <f t="shared" si="101"/>
        <v>6.8918395170927162</v>
      </c>
      <c r="P53" s="152">
        <f t="shared" si="71"/>
        <v>1.7839143710021326</v>
      </c>
      <c r="Q53" s="191">
        <f t="shared" si="6"/>
        <v>0.45945596780618109</v>
      </c>
      <c r="R53" s="191">
        <f t="shared" si="72"/>
        <v>0.43073996981829477</v>
      </c>
      <c r="S53" s="386">
        <f t="shared" si="73"/>
        <v>15</v>
      </c>
      <c r="T53" s="191">
        <f t="shared" si="74"/>
        <v>2.1416633343526286</v>
      </c>
      <c r="U53" s="191">
        <f t="shared" si="10"/>
        <v>1.7364837846102394</v>
      </c>
      <c r="V53" s="191">
        <f t="shared" si="11"/>
        <v>2.5163146226075268</v>
      </c>
      <c r="W53" s="175">
        <f t="shared" si="12"/>
        <v>350</v>
      </c>
      <c r="X53" s="386">
        <f t="shared" si="52"/>
        <v>235.13929047349612</v>
      </c>
      <c r="Z53" s="191">
        <f t="shared" si="13"/>
        <v>1.4388262767793685</v>
      </c>
      <c r="AA53" s="153">
        <f t="shared" si="14"/>
        <v>1.6905269570514774</v>
      </c>
      <c r="AB53" s="153">
        <f t="shared" si="75"/>
        <v>0.21283277814833412</v>
      </c>
      <c r="AC53" s="153"/>
      <c r="AD53" s="153">
        <f t="shared" si="16"/>
        <v>0.96344647519582249</v>
      </c>
      <c r="AE53" s="317">
        <f t="shared" si="76"/>
        <v>1215.1497124727346</v>
      </c>
      <c r="AF53" s="463">
        <f t="shared" si="77"/>
        <v>6.9127284595300251E-2</v>
      </c>
      <c r="AH53" s="153">
        <f t="shared" si="78"/>
        <v>1.6653327995729061</v>
      </c>
      <c r="AI53" s="153">
        <f t="shared" si="79"/>
        <v>2.1416633343526286</v>
      </c>
      <c r="AJ53" s="153">
        <f t="shared" si="80"/>
        <v>2.1790098772982436</v>
      </c>
      <c r="AL53" s="317">
        <f t="shared" si="81"/>
        <v>240</v>
      </c>
      <c r="AM53" s="147">
        <f t="shared" si="82"/>
        <v>235.13929047349612</v>
      </c>
      <c r="AO53">
        <f t="shared" si="53"/>
        <v>240</v>
      </c>
      <c r="AP53" s="147">
        <f t="shared" si="24"/>
        <v>235.13929047349612</v>
      </c>
      <c r="AQ53" s="147"/>
      <c r="AR53" s="5">
        <f t="shared" si="54"/>
        <v>4.2527984072177665</v>
      </c>
      <c r="AS53" s="5">
        <f t="shared" si="25"/>
        <v>1.7364837846102394</v>
      </c>
      <c r="AT53" s="5">
        <f t="shared" si="55"/>
        <v>2.5163146226075268</v>
      </c>
      <c r="AU53" s="153">
        <f t="shared" si="56"/>
        <v>0.40831556503198296</v>
      </c>
      <c r="AW53" s="5">
        <f t="shared" si="83"/>
        <v>11.33051538024511</v>
      </c>
      <c r="AX53" s="5">
        <f t="shared" si="84"/>
        <v>4.6358261154127094</v>
      </c>
      <c r="AY53" s="5">
        <f t="shared" si="85"/>
        <v>0.45203804398448061</v>
      </c>
      <c r="AZ53" s="5">
        <f t="shared" si="86"/>
        <v>0.85345138424744937</v>
      </c>
      <c r="BA53" s="5">
        <f t="shared" si="87"/>
        <v>1.9823900065019389</v>
      </c>
      <c r="BB53" s="147">
        <f t="shared" si="88"/>
        <v>51.322005057556083</v>
      </c>
      <c r="BC53" s="5"/>
      <c r="BD53" s="153">
        <f t="shared" si="57"/>
        <v>0.79011178930774617</v>
      </c>
      <c r="BE53" s="153">
        <f t="shared" si="89"/>
        <v>0.47556036410578784</v>
      </c>
      <c r="BF53" s="153">
        <f t="shared" si="90"/>
        <v>9.5236402328113326E-2</v>
      </c>
      <c r="BG53" s="153"/>
      <c r="BH53" s="463">
        <f t="shared" si="34"/>
        <v>6.8670430356339712E-2</v>
      </c>
      <c r="BI53" s="463">
        <f t="shared" si="35"/>
        <v>4.7236666666666663E-2</v>
      </c>
      <c r="BJ53" s="463">
        <f t="shared" si="36"/>
        <v>1.1756964523674805E-2</v>
      </c>
      <c r="BK53" s="463">
        <f t="shared" si="37"/>
        <v>1.8619730449862641E-2</v>
      </c>
      <c r="BL53">
        <f t="shared" si="38"/>
        <v>3.2190000000000001E-3</v>
      </c>
      <c r="BM53">
        <f t="shared" si="91"/>
        <v>1.4343496718883264E-5</v>
      </c>
      <c r="BN53">
        <f t="shared" si="92"/>
        <v>0.16082525036542172</v>
      </c>
      <c r="BO53" s="147">
        <f t="shared" si="58"/>
        <v>160.82525036542171</v>
      </c>
      <c r="BP53" s="153">
        <f t="shared" si="93"/>
        <v>0.12623689043400804</v>
      </c>
      <c r="BQ53" s="153">
        <f t="shared" si="94"/>
        <v>1.9721891771779871E-2</v>
      </c>
      <c r="BR53" s="463"/>
      <c r="BT53" s="147">
        <f t="shared" si="59"/>
        <v>145.95878220578791</v>
      </c>
      <c r="BU53" s="463">
        <f t="shared" si="43"/>
        <v>5.3063514366262513E-2</v>
      </c>
      <c r="BV53" s="463">
        <f t="shared" si="60"/>
        <v>4.2969955382601607E-2</v>
      </c>
      <c r="BW53" s="463">
        <f t="shared" si="95"/>
        <v>4.5349861642011351E-4</v>
      </c>
      <c r="BX53" s="463">
        <f t="shared" si="45"/>
        <v>0</v>
      </c>
      <c r="BY53" s="463">
        <f t="shared" si="96"/>
        <v>0.10890604570404913</v>
      </c>
      <c r="BZ53" s="463">
        <f t="shared" si="61"/>
        <v>9.648696836528424E-2</v>
      </c>
      <c r="CA53" s="549">
        <f t="shared" si="97"/>
        <v>0.53925925925925922</v>
      </c>
      <c r="CB53" s="147">
        <f t="shared" si="62"/>
        <v>648.16530496330836</v>
      </c>
      <c r="CC53" s="153">
        <f t="shared" si="63"/>
        <v>0.95494933753451794</v>
      </c>
      <c r="CD53" s="5">
        <f t="shared" si="64"/>
        <v>4.3679999999999994</v>
      </c>
      <c r="CE53" s="153">
        <f t="shared" si="65"/>
        <v>0.82059770308149671</v>
      </c>
      <c r="CF53" s="5">
        <f t="shared" si="66"/>
        <v>82.059770308149666</v>
      </c>
      <c r="CG53">
        <f t="shared" si="102"/>
        <v>48</v>
      </c>
      <c r="CI53" s="59">
        <f t="shared" si="98"/>
        <v>-50</v>
      </c>
      <c r="CJ53">
        <f t="shared" si="99"/>
        <v>-50</v>
      </c>
    </row>
    <row r="54" spans="5:88" x14ac:dyDescent="0.25">
      <c r="E54" s="150">
        <v>49</v>
      </c>
      <c r="F54" s="191">
        <f t="shared" si="103"/>
        <v>0.245</v>
      </c>
      <c r="G54" s="191">
        <f t="shared" si="100"/>
        <v>4.9000000000000002E-2</v>
      </c>
      <c r="H54" s="191">
        <f t="shared" si="70"/>
        <v>3.6749999999999998</v>
      </c>
      <c r="I54" s="191">
        <f t="shared" si="104"/>
        <v>0.78400000000000003</v>
      </c>
      <c r="J54" s="472">
        <f t="shared" si="1"/>
        <v>11.1</v>
      </c>
      <c r="K54" s="386">
        <f t="shared" si="2"/>
        <v>7.66</v>
      </c>
      <c r="L54" s="386">
        <f t="shared" si="3"/>
        <v>18.759999999999998</v>
      </c>
      <c r="M54" s="386"/>
      <c r="N54" s="191">
        <f t="shared" si="4"/>
        <v>0.40831556503198302</v>
      </c>
      <c r="O54" s="152">
        <f t="shared" si="101"/>
        <v>6.8918395170927162</v>
      </c>
      <c r="P54" s="152">
        <f t="shared" si="71"/>
        <v>1.7839143710021326</v>
      </c>
      <c r="Q54" s="191">
        <f t="shared" si="6"/>
        <v>0.45945596780618109</v>
      </c>
      <c r="R54" s="191">
        <f t="shared" si="72"/>
        <v>0.43073996981829477</v>
      </c>
      <c r="S54" s="386">
        <f t="shared" si="73"/>
        <v>15</v>
      </c>
      <c r="T54" s="191">
        <f t="shared" si="74"/>
        <v>2.1862813204849751</v>
      </c>
      <c r="U54" s="191">
        <f t="shared" si="10"/>
        <v>1.772660530122953</v>
      </c>
      <c r="V54" s="191">
        <f t="shared" si="11"/>
        <v>2.5687378439118507</v>
      </c>
      <c r="W54" s="175">
        <f t="shared" si="12"/>
        <v>350</v>
      </c>
      <c r="X54" s="386">
        <f t="shared" si="52"/>
        <v>230.34052944342474</v>
      </c>
      <c r="Z54" s="191">
        <f t="shared" si="13"/>
        <v>1.4388262767793685</v>
      </c>
      <c r="AA54" s="153">
        <f t="shared" si="14"/>
        <v>1.6905269570514774</v>
      </c>
      <c r="AB54" s="153">
        <f t="shared" si="75"/>
        <v>0.21283277814833412</v>
      </c>
      <c r="AC54" s="153"/>
      <c r="AD54" s="153">
        <f t="shared" si="16"/>
        <v>0.96344647519582249</v>
      </c>
      <c r="AE54" s="317">
        <f t="shared" si="76"/>
        <v>1240.4653314825832</v>
      </c>
      <c r="AF54" s="463">
        <f t="shared" si="77"/>
        <v>6.9127284595300251E-2</v>
      </c>
      <c r="AH54" s="153">
        <f t="shared" si="78"/>
        <v>1.6825905952165283</v>
      </c>
      <c r="AI54" s="153">
        <f t="shared" si="79"/>
        <v>2.1862813204849751</v>
      </c>
      <c r="AJ54" s="153">
        <f t="shared" si="80"/>
        <v>2.2120602373962779</v>
      </c>
      <c r="AL54" s="317">
        <f t="shared" si="81"/>
        <v>245</v>
      </c>
      <c r="AM54" s="147">
        <f t="shared" si="82"/>
        <v>230.34052944342474</v>
      </c>
      <c r="AO54">
        <f t="shared" si="53"/>
        <v>245</v>
      </c>
      <c r="AP54" s="147">
        <f t="shared" si="24"/>
        <v>230.34052944342474</v>
      </c>
      <c r="AQ54" s="147"/>
      <c r="AR54" s="5">
        <f t="shared" si="54"/>
        <v>4.3413983740348039</v>
      </c>
      <c r="AS54" s="5">
        <f t="shared" si="25"/>
        <v>1.772660530122953</v>
      </c>
      <c r="AT54" s="5">
        <f t="shared" si="55"/>
        <v>2.5687378439118511</v>
      </c>
      <c r="AU54" s="153">
        <f t="shared" si="56"/>
        <v>0.40831556503198296</v>
      </c>
      <c r="AW54" s="5">
        <f t="shared" si="83"/>
        <v>11.33051538024511</v>
      </c>
      <c r="AX54" s="5">
        <f t="shared" si="84"/>
        <v>4.8156851141952766</v>
      </c>
      <c r="AY54" s="5">
        <f t="shared" si="85"/>
        <v>0.45203804398448061</v>
      </c>
      <c r="AZ54" s="5">
        <f t="shared" si="86"/>
        <v>0.88734061353217308</v>
      </c>
      <c r="BA54" s="5">
        <f t="shared" si="87"/>
        <v>2.0658500024353978</v>
      </c>
      <c r="BB54" s="147">
        <f t="shared" si="88"/>
        <v>53.454800464113852</v>
      </c>
      <c r="BC54" s="5"/>
      <c r="BD54" s="153">
        <f t="shared" si="57"/>
        <v>0.80657245158499091</v>
      </c>
      <c r="BE54" s="153">
        <f t="shared" si="89"/>
        <v>0.4854678716913251</v>
      </c>
      <c r="BF54" s="153">
        <f t="shared" si="90"/>
        <v>9.7220494043282368E-2</v>
      </c>
      <c r="BG54" s="153"/>
      <c r="BH54" s="463">
        <f t="shared" si="34"/>
        <v>7.1561503162140466E-2</v>
      </c>
      <c r="BI54" s="463">
        <f t="shared" si="35"/>
        <v>4.7236666666666663E-2</v>
      </c>
      <c r="BJ54" s="463">
        <f t="shared" si="36"/>
        <v>1.1517026472171236E-2</v>
      </c>
      <c r="BK54" s="463">
        <f t="shared" si="37"/>
        <v>1.8239735950885849E-2</v>
      </c>
      <c r="BL54">
        <f t="shared" si="38"/>
        <v>3.2190000000000001E-3</v>
      </c>
      <c r="BM54">
        <f t="shared" si="91"/>
        <v>1.4050772296048911E-5</v>
      </c>
      <c r="BN54">
        <f t="shared" si="92"/>
        <v>0.16360893058619469</v>
      </c>
      <c r="BO54" s="147">
        <f t="shared" si="58"/>
        <v>163.6089305861947</v>
      </c>
      <c r="BP54" s="153">
        <f t="shared" si="93"/>
        <v>0.12960175951912034</v>
      </c>
      <c r="BQ54" s="153">
        <f t="shared" si="94"/>
        <v>2.0162238777796646E-2</v>
      </c>
      <c r="BR54" s="463"/>
      <c r="BT54" s="147">
        <f t="shared" si="59"/>
        <v>149.76399829691701</v>
      </c>
      <c r="BU54" s="463">
        <f t="shared" si="43"/>
        <v>5.5297525170744911E-2</v>
      </c>
      <c r="BV54" s="463">
        <f t="shared" si="60"/>
        <v>4.4779020344455932E-2</v>
      </c>
      <c r="BW54" s="463">
        <f t="shared" si="95"/>
        <v>4.7259122310099516E-4</v>
      </c>
      <c r="BX54" s="463">
        <f t="shared" si="45"/>
        <v>0</v>
      </c>
      <c r="BY54" s="463">
        <f t="shared" si="96"/>
        <v>0.11352824652155047</v>
      </c>
      <c r="BZ54" s="463">
        <f t="shared" si="61"/>
        <v>0.10054913673830183</v>
      </c>
      <c r="CA54" s="549">
        <f t="shared" si="97"/>
        <v>0.55049382716049378</v>
      </c>
      <c r="CB54" s="147">
        <f t="shared" si="62"/>
        <v>664.02207368204427</v>
      </c>
      <c r="CC54" s="153">
        <f t="shared" si="63"/>
        <v>0.97739500256515588</v>
      </c>
      <c r="CD54" s="5">
        <f t="shared" si="64"/>
        <v>4.4589999999999996</v>
      </c>
      <c r="CE54" s="153">
        <f t="shared" si="65"/>
        <v>0.82021265892122019</v>
      </c>
      <c r="CF54" s="5">
        <f t="shared" si="66"/>
        <v>82.021265892122017</v>
      </c>
      <c r="CG54">
        <f t="shared" si="102"/>
        <v>49</v>
      </c>
      <c r="CI54" s="59">
        <f t="shared" si="98"/>
        <v>-50</v>
      </c>
      <c r="CJ54">
        <f t="shared" si="99"/>
        <v>-50</v>
      </c>
    </row>
    <row r="55" spans="5:88" x14ac:dyDescent="0.25">
      <c r="E55" s="150">
        <v>50</v>
      </c>
      <c r="F55" s="191">
        <f t="shared" si="103"/>
        <v>0.25</v>
      </c>
      <c r="G55" s="191">
        <f t="shared" si="100"/>
        <v>0.05</v>
      </c>
      <c r="H55" s="191">
        <f t="shared" si="70"/>
        <v>3.75</v>
      </c>
      <c r="I55" s="191">
        <f t="shared" si="104"/>
        <v>0.8</v>
      </c>
      <c r="J55" s="472">
        <f t="shared" si="1"/>
        <v>11.1</v>
      </c>
      <c r="K55" s="386">
        <f t="shared" si="2"/>
        <v>7.66</v>
      </c>
      <c r="L55" s="386">
        <f t="shared" si="3"/>
        <v>18.759999999999998</v>
      </c>
      <c r="M55" s="386"/>
      <c r="N55" s="191">
        <f t="shared" si="4"/>
        <v>0.40831556503198302</v>
      </c>
      <c r="O55" s="152">
        <f t="shared" si="101"/>
        <v>6.8918395170927162</v>
      </c>
      <c r="P55" s="152">
        <f t="shared" si="71"/>
        <v>1.7839143710021326</v>
      </c>
      <c r="Q55" s="191">
        <f t="shared" si="6"/>
        <v>0.45945596780618109</v>
      </c>
      <c r="R55" s="191">
        <f t="shared" si="72"/>
        <v>0.43073996981829477</v>
      </c>
      <c r="S55" s="386">
        <f t="shared" si="73"/>
        <v>15</v>
      </c>
      <c r="T55" s="191">
        <f t="shared" si="74"/>
        <v>2.2308993066173217</v>
      </c>
      <c r="U55" s="191">
        <f t="shared" si="10"/>
        <v>1.8088372756356661</v>
      </c>
      <c r="V55" s="191">
        <f t="shared" si="11"/>
        <v>2.6211610652161745</v>
      </c>
      <c r="W55" s="175">
        <f t="shared" si="12"/>
        <v>350</v>
      </c>
      <c r="X55" s="386">
        <f t="shared" si="52"/>
        <v>225.73371885455626</v>
      </c>
      <c r="Z55" s="191">
        <f t="shared" si="13"/>
        <v>1.4388262767793685</v>
      </c>
      <c r="AA55" s="153">
        <f t="shared" si="14"/>
        <v>1.6905269570514774</v>
      </c>
      <c r="AB55" s="153">
        <f t="shared" si="75"/>
        <v>0.21283277814833412</v>
      </c>
      <c r="AC55" s="153"/>
      <c r="AD55" s="153">
        <f t="shared" si="16"/>
        <v>0.96344647519582249</v>
      </c>
      <c r="AE55" s="317">
        <f t="shared" si="76"/>
        <v>1265.7809504924319</v>
      </c>
      <c r="AF55" s="463">
        <f t="shared" si="77"/>
        <v>6.9127284595300251E-2</v>
      </c>
      <c r="AH55" s="153">
        <f t="shared" si="78"/>
        <v>1.699673171197595</v>
      </c>
      <c r="AI55" s="153">
        <f t="shared" si="79"/>
        <v>2.2308993066173217</v>
      </c>
      <c r="AJ55" s="153">
        <f t="shared" si="80"/>
        <v>2.2451105974943122</v>
      </c>
      <c r="AL55" s="317">
        <f t="shared" si="81"/>
        <v>250</v>
      </c>
      <c r="AM55" s="147">
        <f t="shared" si="82"/>
        <v>225.73371885455626</v>
      </c>
      <c r="AO55">
        <f t="shared" si="53"/>
        <v>250</v>
      </c>
      <c r="AP55" s="147">
        <f t="shared" si="24"/>
        <v>225.73371885455626</v>
      </c>
      <c r="AQ55" s="147"/>
      <c r="AR55" s="5">
        <f t="shared" si="54"/>
        <v>4.4299983408518395</v>
      </c>
      <c r="AS55" s="5">
        <f t="shared" si="25"/>
        <v>1.8088372756356661</v>
      </c>
      <c r="AT55" s="5">
        <f t="shared" si="55"/>
        <v>2.6211610652161736</v>
      </c>
      <c r="AU55" s="153">
        <f t="shared" si="56"/>
        <v>0.40831556503198302</v>
      </c>
      <c r="AW55" s="5">
        <f t="shared" si="83"/>
        <v>11.33051538024511</v>
      </c>
      <c r="AX55" s="5">
        <f t="shared" si="84"/>
        <v>4.9989432675919163</v>
      </c>
      <c r="AY55" s="5">
        <f t="shared" si="85"/>
        <v>0.45203804398448061</v>
      </c>
      <c r="AZ55" s="5">
        <f t="shared" si="86"/>
        <v>0.92188735269905564</v>
      </c>
      <c r="BA55" s="5">
        <f t="shared" si="87"/>
        <v>2.1510308230272774</v>
      </c>
      <c r="BB55" s="147">
        <f t="shared" si="88"/>
        <v>55.63100758364542</v>
      </c>
      <c r="BC55" s="5"/>
      <c r="BD55" s="153">
        <f t="shared" si="57"/>
        <v>0.82303311386223577</v>
      </c>
      <c r="BE55" s="153">
        <f t="shared" si="89"/>
        <v>0.49537537927686237</v>
      </c>
      <c r="BF55" s="153">
        <f t="shared" si="90"/>
        <v>9.9204585758451411E-2</v>
      </c>
      <c r="BG55" s="153"/>
      <c r="BH55" s="463">
        <f t="shared" si="34"/>
        <v>7.4512185716514481E-2</v>
      </c>
      <c r="BI55" s="463">
        <f t="shared" si="35"/>
        <v>4.723666666666667E-2</v>
      </c>
      <c r="BJ55" s="463">
        <f t="shared" si="36"/>
        <v>1.1286685942727814E-2</v>
      </c>
      <c r="BK55" s="463">
        <f t="shared" si="37"/>
        <v>1.7874941231868134E-2</v>
      </c>
      <c r="BL55">
        <f t="shared" si="38"/>
        <v>3.2190000000000001E-3</v>
      </c>
      <c r="BM55">
        <f t="shared" si="91"/>
        <v>1.3769756850127932E-5</v>
      </c>
      <c r="BN55">
        <f t="shared" si="92"/>
        <v>0.16649123231367621</v>
      </c>
      <c r="BO55" s="147">
        <f t="shared" si="58"/>
        <v>166.49123231367622</v>
      </c>
      <c r="BP55" s="153">
        <f t="shared" si="93"/>
        <v>0.13299662590495664</v>
      </c>
      <c r="BQ55" s="153">
        <f t="shared" si="94"/>
        <v>2.0603788814865312E-2</v>
      </c>
      <c r="BR55" s="463"/>
      <c r="BT55" s="147">
        <f t="shared" si="59"/>
        <v>153.60041471982194</v>
      </c>
      <c r="BU55" s="463">
        <f t="shared" si="43"/>
        <v>5.7577598053670284E-2</v>
      </c>
      <c r="BV55" s="463">
        <f t="shared" si="60"/>
        <v>4.6625385614802096E-2</v>
      </c>
      <c r="BW55" s="463">
        <f t="shared" si="95"/>
        <v>4.9207749177529708E-4</v>
      </c>
      <c r="BX55" s="463">
        <f t="shared" si="45"/>
        <v>0</v>
      </c>
      <c r="BY55" s="463">
        <f t="shared" si="96"/>
        <v>0.11824887435005416</v>
      </c>
      <c r="BZ55" s="463">
        <f t="shared" si="61"/>
        <v>0.10469506116024768</v>
      </c>
      <c r="CA55" s="549">
        <f t="shared" si="97"/>
        <v>0.56172839506172845</v>
      </c>
      <c r="CB55" s="147">
        <f t="shared" si="62"/>
        <v>679.97726941178257</v>
      </c>
      <c r="CC55" s="153">
        <f t="shared" si="63"/>
        <v>1.0000689164452807</v>
      </c>
      <c r="CD55" s="5">
        <f t="shared" si="64"/>
        <v>4.55</v>
      </c>
      <c r="CE55" s="153">
        <f t="shared" si="65"/>
        <v>0.81980963993401967</v>
      </c>
      <c r="CF55" s="5">
        <f t="shared" si="66"/>
        <v>81.980963993401971</v>
      </c>
      <c r="CG55">
        <f t="shared" si="102"/>
        <v>50</v>
      </c>
      <c r="CI55" s="59">
        <f t="shared" si="98"/>
        <v>-50</v>
      </c>
      <c r="CJ55">
        <f t="shared" si="99"/>
        <v>-50</v>
      </c>
    </row>
    <row r="56" spans="5:88" x14ac:dyDescent="0.25">
      <c r="E56" s="150">
        <v>51</v>
      </c>
      <c r="F56" s="191">
        <f t="shared" si="103"/>
        <v>0.255</v>
      </c>
      <c r="G56" s="191">
        <f t="shared" si="100"/>
        <v>5.1000000000000004E-2</v>
      </c>
      <c r="H56" s="191">
        <f t="shared" si="70"/>
        <v>3.8250000000000002</v>
      </c>
      <c r="I56" s="191">
        <f t="shared" si="104"/>
        <v>0.81600000000000006</v>
      </c>
      <c r="J56" s="472">
        <f t="shared" si="1"/>
        <v>11.1</v>
      </c>
      <c r="K56" s="386">
        <f t="shared" si="2"/>
        <v>7.66</v>
      </c>
      <c r="L56" s="386">
        <f t="shared" si="3"/>
        <v>18.759999999999998</v>
      </c>
      <c r="M56" s="386"/>
      <c r="N56" s="191">
        <f t="shared" si="4"/>
        <v>0.40831556503198302</v>
      </c>
      <c r="O56" s="152">
        <f t="shared" si="101"/>
        <v>6.8918395170927162</v>
      </c>
      <c r="P56" s="152">
        <f t="shared" si="71"/>
        <v>1.7839143710021326</v>
      </c>
      <c r="Q56" s="191">
        <f t="shared" si="6"/>
        <v>0.45945596780618109</v>
      </c>
      <c r="R56" s="191">
        <f t="shared" si="72"/>
        <v>0.43073996981829477</v>
      </c>
      <c r="S56" s="386">
        <f t="shared" si="73"/>
        <v>15</v>
      </c>
      <c r="T56" s="191">
        <f t="shared" si="74"/>
        <v>2.2755172927496683</v>
      </c>
      <c r="U56" s="191">
        <f t="shared" si="10"/>
        <v>1.8450140211483799</v>
      </c>
      <c r="V56" s="191">
        <f t="shared" si="11"/>
        <v>2.673584286520498</v>
      </c>
      <c r="W56" s="175">
        <f t="shared" si="12"/>
        <v>350</v>
      </c>
      <c r="X56" s="386">
        <f t="shared" si="52"/>
        <v>221.3075675044669</v>
      </c>
      <c r="Z56" s="191">
        <f t="shared" si="13"/>
        <v>1.4388262767793685</v>
      </c>
      <c r="AA56" s="153">
        <f t="shared" si="14"/>
        <v>1.6905269570514774</v>
      </c>
      <c r="AB56" s="153">
        <f t="shared" si="75"/>
        <v>0.21283277814833412</v>
      </c>
      <c r="AC56" s="153"/>
      <c r="AD56" s="153">
        <f t="shared" si="16"/>
        <v>0.96344647519582249</v>
      </c>
      <c r="AE56" s="317">
        <f t="shared" si="76"/>
        <v>1291.0965695022803</v>
      </c>
      <c r="AF56" s="463">
        <f t="shared" si="77"/>
        <v>6.9127284595300251E-2</v>
      </c>
      <c r="AH56" s="153">
        <f t="shared" si="78"/>
        <v>1.7165857586111644</v>
      </c>
      <c r="AI56" s="153">
        <f t="shared" si="79"/>
        <v>2.2755172927496683</v>
      </c>
      <c r="AJ56" s="153">
        <f t="shared" si="80"/>
        <v>2.2781609575923469</v>
      </c>
      <c r="AL56" s="317">
        <f t="shared" si="81"/>
        <v>255</v>
      </c>
      <c r="AM56" s="147">
        <f t="shared" si="82"/>
        <v>221.3075675044669</v>
      </c>
      <c r="AO56">
        <f t="shared" si="53"/>
        <v>255</v>
      </c>
      <c r="AP56" s="147">
        <f t="shared" si="24"/>
        <v>221.3075675044669</v>
      </c>
      <c r="AQ56" s="147"/>
      <c r="AR56" s="5">
        <f t="shared" si="54"/>
        <v>4.5185983076688778</v>
      </c>
      <c r="AS56" s="5">
        <f t="shared" si="25"/>
        <v>1.8450140211483799</v>
      </c>
      <c r="AT56" s="5">
        <f t="shared" si="55"/>
        <v>2.673584286520498</v>
      </c>
      <c r="AU56" s="153">
        <f t="shared" si="56"/>
        <v>0.40831556503198296</v>
      </c>
      <c r="AW56" s="5">
        <f t="shared" si="83"/>
        <v>11.33051538024511</v>
      </c>
      <c r="AX56" s="5">
        <f t="shared" si="84"/>
        <v>5.1856005756026295</v>
      </c>
      <c r="AY56" s="5">
        <f t="shared" si="85"/>
        <v>0.45203804398448061</v>
      </c>
      <c r="AZ56" s="5">
        <f t="shared" si="86"/>
        <v>0.95709160174809738</v>
      </c>
      <c r="BA56" s="5">
        <f t="shared" si="87"/>
        <v>2.2379324682775801</v>
      </c>
      <c r="BB56" s="147">
        <f t="shared" si="88"/>
        <v>57.850626416150845</v>
      </c>
      <c r="BC56" s="5"/>
      <c r="BD56" s="153">
        <f t="shared" si="57"/>
        <v>0.8394937761394804</v>
      </c>
      <c r="BE56" s="153">
        <f t="shared" si="89"/>
        <v>0.50528288686239964</v>
      </c>
      <c r="BF56" s="153">
        <f t="shared" si="90"/>
        <v>0.10118867747362043</v>
      </c>
      <c r="BG56" s="153"/>
      <c r="BH56" s="463">
        <f t="shared" si="34"/>
        <v>7.7522478019461646E-2</v>
      </c>
      <c r="BI56" s="463">
        <f t="shared" si="35"/>
        <v>4.7236666666666663E-2</v>
      </c>
      <c r="BJ56" s="463">
        <f t="shared" si="36"/>
        <v>1.1065378375223344E-2</v>
      </c>
      <c r="BK56" s="463">
        <f t="shared" si="37"/>
        <v>1.7524452188106009E-2</v>
      </c>
      <c r="BL56">
        <f t="shared" si="38"/>
        <v>3.2190000000000001E-3</v>
      </c>
      <c r="BM56">
        <f t="shared" si="91"/>
        <v>1.3499761617772481E-5</v>
      </c>
      <c r="BN56">
        <f t="shared" si="92"/>
        <v>0.16947093490309287</v>
      </c>
      <c r="BO56" s="147">
        <f t="shared" si="58"/>
        <v>169.47093490309288</v>
      </c>
      <c r="BP56" s="153">
        <f t="shared" si="93"/>
        <v>0.1364214895915169</v>
      </c>
      <c r="BQ56" s="153">
        <f t="shared" si="94"/>
        <v>2.1046541882985867E-2</v>
      </c>
      <c r="BR56" s="463"/>
      <c r="BT56" s="147">
        <f t="shared" si="59"/>
        <v>157.46803147450277</v>
      </c>
      <c r="BU56" s="463">
        <f t="shared" si="43"/>
        <v>5.9903733015038547E-2</v>
      </c>
      <c r="BV56" s="463">
        <f t="shared" si="60"/>
        <v>4.8509051193640108E-2</v>
      </c>
      <c r="BW56" s="463">
        <f t="shared" si="95"/>
        <v>5.1195742244301888E-4</v>
      </c>
      <c r="BX56" s="463">
        <f t="shared" si="45"/>
        <v>0</v>
      </c>
      <c r="BY56" s="463">
        <f t="shared" si="96"/>
        <v>0.12306812371313469</v>
      </c>
      <c r="BZ56" s="463">
        <f t="shared" si="61"/>
        <v>0.10892474163112167</v>
      </c>
      <c r="CA56" s="549">
        <f t="shared" si="97"/>
        <v>0.57296296296296301</v>
      </c>
      <c r="CB56" s="147">
        <f t="shared" si="62"/>
        <v>696.03108667609774</v>
      </c>
      <c r="CC56" s="153">
        <f t="shared" si="63"/>
        <v>1.0229700530536934</v>
      </c>
      <c r="CD56" s="5">
        <f t="shared" si="64"/>
        <v>4.641</v>
      </c>
      <c r="CE56" s="153">
        <f t="shared" si="65"/>
        <v>0.8193899255342697</v>
      </c>
      <c r="CF56" s="5">
        <f t="shared" si="66"/>
        <v>81.938992553426971</v>
      </c>
      <c r="CG56">
        <f t="shared" si="102"/>
        <v>51</v>
      </c>
      <c r="CI56" s="59">
        <f t="shared" si="98"/>
        <v>-50</v>
      </c>
      <c r="CJ56">
        <f t="shared" si="99"/>
        <v>-50</v>
      </c>
    </row>
    <row r="57" spans="5:88" x14ac:dyDescent="0.25">
      <c r="E57" s="150">
        <v>52</v>
      </c>
      <c r="F57" s="191">
        <f t="shared" si="103"/>
        <v>0.26</v>
      </c>
      <c r="G57" s="191">
        <f t="shared" si="100"/>
        <v>5.2000000000000005E-2</v>
      </c>
      <c r="H57" s="191">
        <f t="shared" si="70"/>
        <v>3.9000000000000004</v>
      </c>
      <c r="I57" s="191">
        <f t="shared" si="104"/>
        <v>0.83200000000000007</v>
      </c>
      <c r="J57" s="472">
        <f t="shared" si="1"/>
        <v>11.1</v>
      </c>
      <c r="K57" s="386">
        <f t="shared" si="2"/>
        <v>7.66</v>
      </c>
      <c r="L57" s="386">
        <f t="shared" si="3"/>
        <v>18.759999999999998</v>
      </c>
      <c r="M57" s="386"/>
      <c r="N57" s="191">
        <f t="shared" si="4"/>
        <v>0.40831556503198302</v>
      </c>
      <c r="O57" s="152">
        <f t="shared" si="101"/>
        <v>6.8918395170927162</v>
      </c>
      <c r="P57" s="152">
        <f t="shared" si="71"/>
        <v>1.7839143710021326</v>
      </c>
      <c r="Q57" s="191">
        <f t="shared" si="6"/>
        <v>0.45945596780618109</v>
      </c>
      <c r="R57" s="191">
        <f t="shared" si="72"/>
        <v>0.43073996981829477</v>
      </c>
      <c r="S57" s="386">
        <f t="shared" si="73"/>
        <v>15</v>
      </c>
      <c r="T57" s="191">
        <f t="shared" si="74"/>
        <v>2.3201352788820144</v>
      </c>
      <c r="U57" s="191">
        <f t="shared" si="10"/>
        <v>1.8811907666610928</v>
      </c>
      <c r="V57" s="191">
        <f t="shared" si="11"/>
        <v>2.7260075078248214</v>
      </c>
      <c r="W57" s="175">
        <f t="shared" si="12"/>
        <v>350</v>
      </c>
      <c r="X57" s="386">
        <f t="shared" si="52"/>
        <v>217.05165274476562</v>
      </c>
      <c r="Z57" s="191">
        <f t="shared" si="13"/>
        <v>1.4388262767793685</v>
      </c>
      <c r="AA57" s="153">
        <f t="shared" si="14"/>
        <v>1.6905269570514774</v>
      </c>
      <c r="AB57" s="153">
        <f t="shared" si="75"/>
        <v>0.21283277814833412</v>
      </c>
      <c r="AC57" s="153"/>
      <c r="AD57" s="153">
        <f t="shared" si="16"/>
        <v>0.96344647519582249</v>
      </c>
      <c r="AE57" s="317">
        <f t="shared" si="76"/>
        <v>1316.4121885121292</v>
      </c>
      <c r="AF57" s="463">
        <f t="shared" si="77"/>
        <v>6.9127284595300251E-2</v>
      </c>
      <c r="AH57" s="153">
        <f t="shared" si="78"/>
        <v>1.7333333333333334</v>
      </c>
      <c r="AI57" s="153">
        <f t="shared" si="79"/>
        <v>2.3201352788820144</v>
      </c>
      <c r="AJ57" s="153">
        <f t="shared" si="80"/>
        <v>2.3112113176903812</v>
      </c>
      <c r="AL57" s="317">
        <f t="shared" si="81"/>
        <v>260</v>
      </c>
      <c r="AM57" s="147">
        <f t="shared" si="82"/>
        <v>217.05165274476562</v>
      </c>
      <c r="AO57">
        <f t="shared" si="53"/>
        <v>260</v>
      </c>
      <c r="AP57" s="147">
        <f t="shared" si="24"/>
        <v>217.05165274476562</v>
      </c>
      <c r="AQ57" s="147"/>
      <c r="AR57" s="5">
        <f t="shared" si="54"/>
        <v>4.6071982744859135</v>
      </c>
      <c r="AS57" s="5">
        <f t="shared" si="25"/>
        <v>1.8811907666610928</v>
      </c>
      <c r="AT57" s="5">
        <f t="shared" si="55"/>
        <v>2.7260075078248205</v>
      </c>
      <c r="AU57" s="153">
        <f t="shared" si="56"/>
        <v>0.40831556503198296</v>
      </c>
      <c r="AW57" s="5">
        <f t="shared" si="83"/>
        <v>11.33051538024511</v>
      </c>
      <c r="AX57" s="5">
        <f t="shared" si="84"/>
        <v>5.3756570382274171</v>
      </c>
      <c r="AY57" s="5">
        <f t="shared" si="85"/>
        <v>0.45203804398448061</v>
      </c>
      <c r="AZ57" s="5">
        <f t="shared" si="86"/>
        <v>0.99295336067929851</v>
      </c>
      <c r="BA57" s="5">
        <f t="shared" si="87"/>
        <v>2.3265549381863035</v>
      </c>
      <c r="BB57" s="147">
        <f t="shared" si="88"/>
        <v>60.113656961630042</v>
      </c>
      <c r="BC57" s="5"/>
      <c r="BD57" s="153">
        <f t="shared" si="57"/>
        <v>0.85595443841672503</v>
      </c>
      <c r="BE57" s="153">
        <f t="shared" si="89"/>
        <v>0.51519039444793679</v>
      </c>
      <c r="BF57" s="153">
        <f t="shared" si="90"/>
        <v>0.10317276918878944</v>
      </c>
      <c r="BG57" s="153"/>
      <c r="BH57" s="463">
        <f t="shared" si="34"/>
        <v>8.0592380070982017E-2</v>
      </c>
      <c r="BI57" s="463">
        <f t="shared" si="35"/>
        <v>4.7236666666666663E-2</v>
      </c>
      <c r="BJ57" s="463">
        <f t="shared" si="36"/>
        <v>1.0852582637238281E-2</v>
      </c>
      <c r="BK57" s="463">
        <f t="shared" si="37"/>
        <v>1.7187443492180897E-2</v>
      </c>
      <c r="BL57">
        <f t="shared" si="38"/>
        <v>3.2190000000000001E-3</v>
      </c>
      <c r="BM57">
        <f t="shared" si="91"/>
        <v>1.3240150817430703E-5</v>
      </c>
      <c r="BN57">
        <f t="shared" si="92"/>
        <v>0.17254693546087449</v>
      </c>
      <c r="BO57" s="147">
        <f t="shared" si="58"/>
        <v>172.54693546087449</v>
      </c>
      <c r="BP57" s="153">
        <f t="shared" si="93"/>
        <v>0.1398763505788011</v>
      </c>
      <c r="BQ57" s="153">
        <f t="shared" si="94"/>
        <v>2.1490497982158317E-2</v>
      </c>
      <c r="BR57" s="463"/>
      <c r="BT57" s="147">
        <f t="shared" si="59"/>
        <v>161.36684856095943</v>
      </c>
      <c r="BU57" s="463">
        <f t="shared" si="43"/>
        <v>6.2275930054849743E-2</v>
      </c>
      <c r="BV57" s="463">
        <f t="shared" si="60"/>
        <v>5.0430017080969933E-2</v>
      </c>
      <c r="BW57" s="463">
        <f t="shared" si="95"/>
        <v>5.3223101510416107E-4</v>
      </c>
      <c r="BX57" s="463">
        <f t="shared" si="45"/>
        <v>0</v>
      </c>
      <c r="BY57" s="463">
        <f t="shared" si="96"/>
        <v>0.12798619339854858</v>
      </c>
      <c r="BZ57" s="463">
        <f t="shared" si="61"/>
        <v>0.11323817815092384</v>
      </c>
      <c r="CA57" s="549">
        <f t="shared" si="97"/>
        <v>0.58419753086419735</v>
      </c>
      <c r="CB57" s="147">
        <f t="shared" si="62"/>
        <v>712.18372426274595</v>
      </c>
      <c r="CC57" s="153">
        <f t="shared" si="63"/>
        <v>1.0460975082845798</v>
      </c>
      <c r="CD57" s="5">
        <f t="shared" si="64"/>
        <v>4.7320000000000002</v>
      </c>
      <c r="CE57" s="153">
        <f t="shared" si="65"/>
        <v>0.81895468070853861</v>
      </c>
      <c r="CF57" s="5">
        <f t="shared" si="66"/>
        <v>81.895468070853866</v>
      </c>
      <c r="CG57">
        <f t="shared" si="102"/>
        <v>52</v>
      </c>
      <c r="CI57" s="59">
        <f t="shared" si="98"/>
        <v>-50</v>
      </c>
      <c r="CJ57">
        <f t="shared" si="99"/>
        <v>-50</v>
      </c>
    </row>
    <row r="58" spans="5:88" x14ac:dyDescent="0.25">
      <c r="E58" s="150">
        <v>53</v>
      </c>
      <c r="F58" s="191">
        <f t="shared" si="103"/>
        <v>0.26500000000000001</v>
      </c>
      <c r="G58" s="191">
        <f t="shared" si="100"/>
        <v>5.3000000000000005E-2</v>
      </c>
      <c r="H58" s="191">
        <f t="shared" si="70"/>
        <v>3.9750000000000001</v>
      </c>
      <c r="I58" s="191">
        <f t="shared" si="104"/>
        <v>0.84800000000000009</v>
      </c>
      <c r="J58" s="472">
        <f t="shared" si="1"/>
        <v>11.1</v>
      </c>
      <c r="K58" s="386">
        <f t="shared" si="2"/>
        <v>7.66</v>
      </c>
      <c r="L58" s="386">
        <f t="shared" si="3"/>
        <v>18.759999999999998</v>
      </c>
      <c r="M58" s="386"/>
      <c r="N58" s="191">
        <f t="shared" si="4"/>
        <v>0.40831556503198302</v>
      </c>
      <c r="O58" s="152">
        <f t="shared" si="101"/>
        <v>6.8918395170927162</v>
      </c>
      <c r="P58" s="152">
        <f t="shared" si="71"/>
        <v>1.7839143710021326</v>
      </c>
      <c r="Q58" s="191">
        <f t="shared" si="6"/>
        <v>0.45945596780618109</v>
      </c>
      <c r="R58" s="191">
        <f t="shared" si="72"/>
        <v>0.43073996981829477</v>
      </c>
      <c r="S58" s="386">
        <f t="shared" si="73"/>
        <v>15</v>
      </c>
      <c r="T58" s="191">
        <f t="shared" si="74"/>
        <v>2.364753265014361</v>
      </c>
      <c r="U58" s="191">
        <f t="shared" si="10"/>
        <v>1.9173675121738065</v>
      </c>
      <c r="V58" s="191">
        <f t="shared" si="11"/>
        <v>2.7784307291291448</v>
      </c>
      <c r="W58" s="175">
        <f t="shared" si="12"/>
        <v>350</v>
      </c>
      <c r="X58" s="386">
        <f t="shared" si="52"/>
        <v>212.95633854203419</v>
      </c>
      <c r="Z58" s="191">
        <f t="shared" si="13"/>
        <v>1.4388262767793685</v>
      </c>
      <c r="AA58" s="153">
        <f t="shared" si="14"/>
        <v>1.6905269570514774</v>
      </c>
      <c r="AB58" s="153">
        <f t="shared" si="75"/>
        <v>0.21283277814833412</v>
      </c>
      <c r="AC58" s="153"/>
      <c r="AD58" s="153">
        <f t="shared" si="16"/>
        <v>0.96344647519582249</v>
      </c>
      <c r="AE58" s="317">
        <f t="shared" si="76"/>
        <v>1341.7278075219779</v>
      </c>
      <c r="AF58" s="463">
        <f t="shared" si="77"/>
        <v>6.9127284595300251E-2</v>
      </c>
      <c r="AH58" s="153">
        <f t="shared" si="78"/>
        <v>1.7499206331208919</v>
      </c>
      <c r="AI58" s="153">
        <f t="shared" si="79"/>
        <v>2.364753265014361</v>
      </c>
      <c r="AJ58" s="153">
        <f t="shared" si="80"/>
        <v>2.3442616777884155</v>
      </c>
      <c r="AL58" s="317">
        <f t="shared" si="81"/>
        <v>265</v>
      </c>
      <c r="AM58" s="147">
        <f t="shared" si="82"/>
        <v>212.95633854203419</v>
      </c>
      <c r="AO58">
        <f t="shared" si="53"/>
        <v>265</v>
      </c>
      <c r="AP58" s="147">
        <f t="shared" si="24"/>
        <v>212.95633854203419</v>
      </c>
      <c r="AQ58" s="147"/>
      <c r="AR58" s="5">
        <f t="shared" si="54"/>
        <v>4.6957982413029509</v>
      </c>
      <c r="AS58" s="5">
        <f t="shared" si="25"/>
        <v>1.9173675121738065</v>
      </c>
      <c r="AT58" s="5">
        <f t="shared" si="55"/>
        <v>2.7784307291291443</v>
      </c>
      <c r="AU58" s="153">
        <f t="shared" si="56"/>
        <v>0.40831556503198302</v>
      </c>
      <c r="AW58" s="5">
        <f t="shared" si="83"/>
        <v>11.33051538024511</v>
      </c>
      <c r="AX58" s="5">
        <f t="shared" si="84"/>
        <v>5.5691126554662773</v>
      </c>
      <c r="AY58" s="5">
        <f t="shared" si="85"/>
        <v>0.45203804398448061</v>
      </c>
      <c r="AZ58" s="5">
        <f t="shared" si="86"/>
        <v>1.0294726294926591</v>
      </c>
      <c r="BA58" s="5">
        <f t="shared" si="87"/>
        <v>2.4168982327534496</v>
      </c>
      <c r="BB58" s="147">
        <f t="shared" si="88"/>
        <v>62.420099220083102</v>
      </c>
      <c r="BC58" s="5"/>
      <c r="BD58" s="153">
        <f t="shared" si="57"/>
        <v>0.87241510069396999</v>
      </c>
      <c r="BE58" s="153">
        <f t="shared" si="89"/>
        <v>0.52509790203347406</v>
      </c>
      <c r="BF58" s="153">
        <f t="shared" si="90"/>
        <v>0.10515686090395848</v>
      </c>
      <c r="BG58" s="153"/>
      <c r="BH58" s="463">
        <f t="shared" si="34"/>
        <v>8.372189187107569E-2</v>
      </c>
      <c r="BI58" s="463">
        <f t="shared" si="35"/>
        <v>4.7236666666666663E-2</v>
      </c>
      <c r="BJ58" s="463">
        <f t="shared" si="36"/>
        <v>1.0647816927101709E-2</v>
      </c>
      <c r="BK58" s="463">
        <f t="shared" si="37"/>
        <v>1.6863152105535972E-2</v>
      </c>
      <c r="BL58">
        <f t="shared" si="38"/>
        <v>3.2190000000000001E-3</v>
      </c>
      <c r="BM58">
        <f t="shared" si="91"/>
        <v>1.2990336651064086E-5</v>
      </c>
      <c r="BN58">
        <f t="shared" si="92"/>
        <v>0.17571823829705219</v>
      </c>
      <c r="BO58" s="147">
        <f t="shared" si="58"/>
        <v>175.71823829705218</v>
      </c>
      <c r="BP58" s="153">
        <f t="shared" si="93"/>
        <v>0.14336120886680928</v>
      </c>
      <c r="BQ58" s="153">
        <f t="shared" si="94"/>
        <v>2.1935657112382663E-2</v>
      </c>
      <c r="BR58" s="463"/>
      <c r="BT58" s="147">
        <f t="shared" si="59"/>
        <v>165.29686597919195</v>
      </c>
      <c r="BU58" s="463">
        <f t="shared" si="43"/>
        <v>6.4694189173103947E-2</v>
      </c>
      <c r="BV58" s="463">
        <f t="shared" si="60"/>
        <v>5.2388283276791632E-2</v>
      </c>
      <c r="BW58" s="463">
        <f t="shared" si="95"/>
        <v>5.5289826975872362E-4</v>
      </c>
      <c r="BX58" s="463">
        <f t="shared" si="45"/>
        <v>0</v>
      </c>
      <c r="BY58" s="463">
        <f t="shared" si="96"/>
        <v>0.13300328647896364</v>
      </c>
      <c r="BZ58" s="463">
        <f t="shared" si="61"/>
        <v>0.11763537071965431</v>
      </c>
      <c r="CA58" s="549">
        <f t="shared" si="97"/>
        <v>0.59543209876543202</v>
      </c>
      <c r="CB58" s="147">
        <f t="shared" si="62"/>
        <v>728.43538524439566</v>
      </c>
      <c r="CC58" s="153">
        <f t="shared" si="63"/>
        <v>1.0694504895206398</v>
      </c>
      <c r="CD58" s="5">
        <f t="shared" si="64"/>
        <v>4.8230000000000004</v>
      </c>
      <c r="CE58" s="153">
        <f t="shared" si="65"/>
        <v>0.81850496810748063</v>
      </c>
      <c r="CF58" s="5">
        <f t="shared" si="66"/>
        <v>81.850496810748069</v>
      </c>
      <c r="CG58">
        <f t="shared" si="102"/>
        <v>53</v>
      </c>
      <c r="CI58" s="59">
        <f t="shared" si="98"/>
        <v>-50</v>
      </c>
      <c r="CJ58">
        <f t="shared" si="99"/>
        <v>-50</v>
      </c>
    </row>
    <row r="59" spans="5:88" x14ac:dyDescent="0.25">
      <c r="E59" s="150">
        <v>54</v>
      </c>
      <c r="F59" s="191">
        <f t="shared" si="103"/>
        <v>0.27</v>
      </c>
      <c r="G59" s="191">
        <f t="shared" si="100"/>
        <v>5.4000000000000006E-2</v>
      </c>
      <c r="H59" s="191">
        <f t="shared" si="70"/>
        <v>4.0500000000000007</v>
      </c>
      <c r="I59" s="191">
        <f t="shared" si="104"/>
        <v>0.8640000000000001</v>
      </c>
      <c r="J59" s="472">
        <f t="shared" si="1"/>
        <v>11.1</v>
      </c>
      <c r="K59" s="386">
        <f t="shared" si="2"/>
        <v>7.66</v>
      </c>
      <c r="L59" s="386">
        <f t="shared" si="3"/>
        <v>18.759999999999998</v>
      </c>
      <c r="M59" s="386"/>
      <c r="N59" s="191">
        <f t="shared" si="4"/>
        <v>0.40831556503198302</v>
      </c>
      <c r="O59" s="152">
        <f t="shared" si="101"/>
        <v>6.8918395170927162</v>
      </c>
      <c r="P59" s="152">
        <f t="shared" si="71"/>
        <v>1.7839143710021326</v>
      </c>
      <c r="Q59" s="191">
        <f t="shared" si="6"/>
        <v>0.45945596780618109</v>
      </c>
      <c r="R59" s="191">
        <f t="shared" si="72"/>
        <v>0.43073996981829477</v>
      </c>
      <c r="S59" s="386">
        <f t="shared" si="73"/>
        <v>15</v>
      </c>
      <c r="T59" s="191">
        <f t="shared" si="74"/>
        <v>2.4093712511467076</v>
      </c>
      <c r="U59" s="191">
        <f t="shared" si="10"/>
        <v>1.9535442576865196</v>
      </c>
      <c r="V59" s="191">
        <f t="shared" si="11"/>
        <v>2.8308539504334682</v>
      </c>
      <c r="W59" s="175">
        <f t="shared" si="12"/>
        <v>350</v>
      </c>
      <c r="X59" s="386">
        <f t="shared" si="52"/>
        <v>209.01270264310762</v>
      </c>
      <c r="Z59" s="191">
        <f t="shared" si="13"/>
        <v>1.4388262767793685</v>
      </c>
      <c r="AA59" s="153">
        <f t="shared" si="14"/>
        <v>1.6905269570514774</v>
      </c>
      <c r="AB59" s="153">
        <f t="shared" si="75"/>
        <v>0.21283277814833412</v>
      </c>
      <c r="AC59" s="153"/>
      <c r="AD59" s="153">
        <f t="shared" si="16"/>
        <v>0.96344647519582249</v>
      </c>
      <c r="AE59" s="317">
        <f t="shared" si="76"/>
        <v>1367.0434265318265</v>
      </c>
      <c r="AF59" s="463">
        <f t="shared" si="77"/>
        <v>6.9127284595300251E-2</v>
      </c>
      <c r="AH59" s="153">
        <f t="shared" si="78"/>
        <v>1.7663521732655696</v>
      </c>
      <c r="AI59" s="153">
        <f t="shared" si="79"/>
        <v>2.4093712511467076</v>
      </c>
      <c r="AJ59" s="153">
        <f t="shared" si="80"/>
        <v>2.3773120378864503</v>
      </c>
      <c r="AL59" s="317">
        <f t="shared" si="81"/>
        <v>270</v>
      </c>
      <c r="AM59" s="147">
        <f t="shared" si="82"/>
        <v>209.01270264310762</v>
      </c>
      <c r="AO59">
        <f t="shared" si="53"/>
        <v>270</v>
      </c>
      <c r="AP59" s="147">
        <f t="shared" si="24"/>
        <v>209.01270264310762</v>
      </c>
      <c r="AQ59" s="147"/>
      <c r="AR59" s="5">
        <f t="shared" si="54"/>
        <v>4.7843982081199883</v>
      </c>
      <c r="AS59" s="5">
        <f t="shared" si="25"/>
        <v>1.9535442576865196</v>
      </c>
      <c r="AT59" s="5">
        <f t="shared" si="55"/>
        <v>2.8308539504334687</v>
      </c>
      <c r="AU59" s="153">
        <f t="shared" si="56"/>
        <v>0.40831556503198291</v>
      </c>
      <c r="AW59" s="5">
        <f t="shared" si="83"/>
        <v>11.33051538024511</v>
      </c>
      <c r="AX59" s="5">
        <f t="shared" si="84"/>
        <v>5.7659674273192127</v>
      </c>
      <c r="AY59" s="5">
        <f t="shared" si="85"/>
        <v>0.45203804398448061</v>
      </c>
      <c r="AZ59" s="5">
        <f t="shared" si="86"/>
        <v>1.0666494081881785</v>
      </c>
      <c r="BA59" s="5">
        <f t="shared" si="87"/>
        <v>2.5089623519790178</v>
      </c>
      <c r="BB59" s="147">
        <f t="shared" si="88"/>
        <v>64.769953191510012</v>
      </c>
      <c r="BC59" s="5"/>
      <c r="BD59" s="153">
        <f t="shared" si="57"/>
        <v>0.88887576297121462</v>
      </c>
      <c r="BE59" s="153">
        <f t="shared" si="89"/>
        <v>0.53500540961901144</v>
      </c>
      <c r="BF59" s="153">
        <f t="shared" si="90"/>
        <v>0.10714095261912751</v>
      </c>
      <c r="BG59" s="153"/>
      <c r="BH59" s="463">
        <f t="shared" si="34"/>
        <v>8.6911013419742472E-2</v>
      </c>
      <c r="BI59" s="463">
        <f t="shared" si="35"/>
        <v>4.7236666666666663E-2</v>
      </c>
      <c r="BJ59" s="463">
        <f t="shared" si="36"/>
        <v>1.045063513215538E-2</v>
      </c>
      <c r="BK59" s="463">
        <f t="shared" si="37"/>
        <v>1.655087151098901E-2</v>
      </c>
      <c r="BL59">
        <f t="shared" si="38"/>
        <v>3.2190000000000001E-3</v>
      </c>
      <c r="BM59">
        <f t="shared" si="91"/>
        <v>1.2749774861229565E-5</v>
      </c>
      <c r="BN59">
        <f t="shared" si="92"/>
        <v>0.17898394555543909</v>
      </c>
      <c r="BO59" s="147">
        <f t="shared" si="58"/>
        <v>178.98394555543908</v>
      </c>
      <c r="BP59" s="153">
        <f t="shared" si="93"/>
        <v>0.14687606445554144</v>
      </c>
      <c r="BQ59" s="153">
        <f t="shared" si="94"/>
        <v>2.2382019273658897E-2</v>
      </c>
      <c r="BR59" s="463"/>
      <c r="BT59" s="147">
        <f t="shared" si="59"/>
        <v>169.25808372920034</v>
      </c>
      <c r="BU59" s="463">
        <f t="shared" si="43"/>
        <v>6.7158510369801014E-2</v>
      </c>
      <c r="BV59" s="463">
        <f t="shared" si="60"/>
        <v>5.4383849781105179E-2</v>
      </c>
      <c r="BW59" s="463">
        <f t="shared" si="95"/>
        <v>5.7395918640670634E-4</v>
      </c>
      <c r="BX59" s="463">
        <f t="shared" si="45"/>
        <v>0</v>
      </c>
      <c r="BY59" s="463">
        <f t="shared" si="96"/>
        <v>0.13811961033316567</v>
      </c>
      <c r="BZ59" s="463">
        <f t="shared" si="61"/>
        <v>0.1221163193373129</v>
      </c>
      <c r="CA59" s="549">
        <f t="shared" si="97"/>
        <v>0.60666666666666658</v>
      </c>
      <c r="CB59" s="147">
        <f t="shared" si="62"/>
        <v>744.78627699983224</v>
      </c>
      <c r="CC59" s="153">
        <f t="shared" si="63"/>
        <v>1.0930283062844717</v>
      </c>
      <c r="CD59" s="5">
        <f t="shared" si="64"/>
        <v>4.9140000000000006</v>
      </c>
      <c r="CE59" s="153">
        <f t="shared" si="65"/>
        <v>0.81804175866110695</v>
      </c>
      <c r="CF59" s="5">
        <f t="shared" si="66"/>
        <v>81.804175866110697</v>
      </c>
      <c r="CG59">
        <f t="shared" si="102"/>
        <v>54</v>
      </c>
      <c r="CI59" s="59">
        <f t="shared" si="98"/>
        <v>-50</v>
      </c>
      <c r="CJ59">
        <f t="shared" si="99"/>
        <v>-50</v>
      </c>
    </row>
    <row r="60" spans="5:88" x14ac:dyDescent="0.25">
      <c r="E60" s="150">
        <v>55</v>
      </c>
      <c r="F60" s="191">
        <f t="shared" si="103"/>
        <v>0.27500000000000002</v>
      </c>
      <c r="G60" s="191">
        <f t="shared" si="100"/>
        <v>5.5000000000000007E-2</v>
      </c>
      <c r="H60" s="191">
        <f t="shared" si="70"/>
        <v>4.125</v>
      </c>
      <c r="I60" s="191">
        <f t="shared" si="104"/>
        <v>0.88000000000000012</v>
      </c>
      <c r="J60" s="472">
        <f t="shared" si="1"/>
        <v>11.1</v>
      </c>
      <c r="K60" s="386">
        <f t="shared" si="2"/>
        <v>7.66</v>
      </c>
      <c r="L60" s="386">
        <f t="shared" si="3"/>
        <v>18.759999999999998</v>
      </c>
      <c r="M60" s="386"/>
      <c r="N60" s="191">
        <f t="shared" si="4"/>
        <v>0.40831556503198302</v>
      </c>
      <c r="O60" s="152">
        <f t="shared" si="101"/>
        <v>6.8918395170927162</v>
      </c>
      <c r="P60" s="152">
        <f t="shared" si="71"/>
        <v>1.7839143710021326</v>
      </c>
      <c r="Q60" s="191">
        <f t="shared" si="6"/>
        <v>0.45945596780618109</v>
      </c>
      <c r="R60" s="191">
        <f t="shared" si="72"/>
        <v>0.43073996981829477</v>
      </c>
      <c r="S60" s="386">
        <f t="shared" si="73"/>
        <v>15</v>
      </c>
      <c r="T60" s="191">
        <f t="shared" si="74"/>
        <v>2.4539892372790537</v>
      </c>
      <c r="U60" s="191">
        <f t="shared" si="10"/>
        <v>1.989721003199233</v>
      </c>
      <c r="V60" s="191">
        <f t="shared" si="11"/>
        <v>2.8832771717377916</v>
      </c>
      <c r="W60" s="175">
        <f t="shared" si="12"/>
        <v>350</v>
      </c>
      <c r="X60" s="386">
        <f t="shared" si="52"/>
        <v>205.21247168596022</v>
      </c>
      <c r="Z60" s="191">
        <f t="shared" si="13"/>
        <v>1.4388262767793685</v>
      </c>
      <c r="AA60" s="153">
        <f t="shared" si="14"/>
        <v>1.6905269570514774</v>
      </c>
      <c r="AB60" s="153">
        <f t="shared" si="75"/>
        <v>0.21283277814833412</v>
      </c>
      <c r="AC60" s="153"/>
      <c r="AD60" s="153">
        <f t="shared" si="16"/>
        <v>0.96344647519582249</v>
      </c>
      <c r="AE60" s="317">
        <f t="shared" si="76"/>
        <v>1392.3590455416752</v>
      </c>
      <c r="AF60" s="463">
        <f t="shared" si="77"/>
        <v>6.9127284595300251E-2</v>
      </c>
      <c r="AH60" s="153">
        <f t="shared" si="78"/>
        <v>1.7826322609494583</v>
      </c>
      <c r="AI60" s="153">
        <f t="shared" si="79"/>
        <v>2.4539892372790537</v>
      </c>
      <c r="AJ60" s="153">
        <f t="shared" si="80"/>
        <v>2.4103623979844846</v>
      </c>
      <c r="AL60" s="317">
        <f t="shared" si="81"/>
        <v>275</v>
      </c>
      <c r="AM60" s="147">
        <f t="shared" si="82"/>
        <v>205.21247168596022</v>
      </c>
      <c r="AO60">
        <f t="shared" si="53"/>
        <v>275</v>
      </c>
      <c r="AP60">
        <f t="shared" si="24"/>
        <v>205.21247168596022</v>
      </c>
      <c r="AR60" s="5">
        <f t="shared" si="54"/>
        <v>4.8729981749370248</v>
      </c>
      <c r="AS60" s="5">
        <f t="shared" si="25"/>
        <v>1.989721003199233</v>
      </c>
      <c r="AT60" s="5">
        <f t="shared" si="55"/>
        <v>2.8832771717377916</v>
      </c>
      <c r="AU60" s="153">
        <f t="shared" si="56"/>
        <v>0.40831556503198296</v>
      </c>
      <c r="AW60" s="5">
        <f t="shared" si="83"/>
        <v>11.33051538024511</v>
      </c>
      <c r="AX60" s="5">
        <f t="shared" si="84"/>
        <v>5.9662213537862199</v>
      </c>
      <c r="AY60" s="5">
        <f t="shared" si="85"/>
        <v>0.45203804398448061</v>
      </c>
      <c r="AZ60" s="5">
        <f t="shared" si="86"/>
        <v>1.1044836967658573</v>
      </c>
      <c r="BA60" s="5">
        <f t="shared" si="87"/>
        <v>2.602747295863006</v>
      </c>
      <c r="BB60" s="147">
        <f t="shared" si="88"/>
        <v>67.163218875910658</v>
      </c>
      <c r="BC60" s="5"/>
      <c r="BD60" s="153">
        <f t="shared" si="57"/>
        <v>0.90533642524845914</v>
      </c>
      <c r="BE60" s="153">
        <f t="shared" si="89"/>
        <v>0.5449129172045486</v>
      </c>
      <c r="BF60" s="153">
        <f t="shared" si="90"/>
        <v>0.10912504433429654</v>
      </c>
      <c r="BG60" s="153"/>
      <c r="BH60" s="463">
        <f t="shared" si="34"/>
        <v>9.0159744716982473E-2</v>
      </c>
      <c r="BI60" s="463">
        <f t="shared" si="35"/>
        <v>4.7236666666666663E-2</v>
      </c>
      <c r="BJ60" s="463">
        <f t="shared" si="36"/>
        <v>1.0260623584298011E-2</v>
      </c>
      <c r="BK60" s="463">
        <f t="shared" si="37"/>
        <v>1.6249946574425574E-2</v>
      </c>
      <c r="BL60">
        <f t="shared" si="38"/>
        <v>3.2190000000000001E-3</v>
      </c>
      <c r="BM60">
        <f t="shared" si="91"/>
        <v>1.2517960772843574E-5</v>
      </c>
      <c r="BN60">
        <f t="shared" si="92"/>
        <v>0.18234324887184652</v>
      </c>
      <c r="BO60" s="147">
        <f t="shared" si="58"/>
        <v>182.34324887184653</v>
      </c>
      <c r="BP60" s="153">
        <f t="shared" si="93"/>
        <v>0.15042091734499752</v>
      </c>
      <c r="BQ60" s="153">
        <f t="shared" si="94"/>
        <v>2.2829584465987027E-2</v>
      </c>
      <c r="BR60" s="463"/>
      <c r="BT60" s="147">
        <f t="shared" si="59"/>
        <v>173.25050181098456</v>
      </c>
      <c r="BU60" s="463">
        <f t="shared" si="43"/>
        <v>6.9668893644941013E-2</v>
      </c>
      <c r="BV60" s="463">
        <f t="shared" si="60"/>
        <v>5.6416716593910531E-2</v>
      </c>
      <c r="BW60" s="463">
        <f t="shared" si="95"/>
        <v>5.9541376504810932E-4</v>
      </c>
      <c r="BX60" s="463">
        <f t="shared" si="45"/>
        <v>0</v>
      </c>
      <c r="BY60" s="463">
        <f t="shared" si="96"/>
        <v>0.14333537666774801</v>
      </c>
      <c r="BZ60" s="463">
        <f t="shared" si="61"/>
        <v>0.12668102400389963</v>
      </c>
      <c r="CA60" s="549">
        <f t="shared" si="97"/>
        <v>0.61790123456790114</v>
      </c>
      <c r="CB60" s="147">
        <f t="shared" si="62"/>
        <v>761.23661123564909</v>
      </c>
      <c r="CC60" s="153">
        <f t="shared" si="63"/>
        <v>1.1168303619184803</v>
      </c>
      <c r="CD60" s="5">
        <f t="shared" si="64"/>
        <v>5.0049999999999999</v>
      </c>
      <c r="CE60" s="153">
        <f t="shared" si="65"/>
        <v>0.8175659409208974</v>
      </c>
      <c r="CF60" s="5">
        <f t="shared" si="66"/>
        <v>81.756594092089742</v>
      </c>
      <c r="CG60">
        <f t="shared" si="102"/>
        <v>55.000000000000007</v>
      </c>
      <c r="CI60" s="59">
        <f t="shared" si="98"/>
        <v>-50</v>
      </c>
      <c r="CJ60">
        <f t="shared" si="99"/>
        <v>-50</v>
      </c>
    </row>
    <row r="61" spans="5:88" x14ac:dyDescent="0.25">
      <c r="E61" s="150">
        <v>56</v>
      </c>
      <c r="F61" s="191">
        <f t="shared" si="103"/>
        <v>0.28000000000000003</v>
      </c>
      <c r="G61" s="191">
        <f t="shared" si="100"/>
        <v>5.6000000000000008E-2</v>
      </c>
      <c r="H61" s="191">
        <f t="shared" si="70"/>
        <v>4.2</v>
      </c>
      <c r="I61" s="191">
        <f t="shared" si="104"/>
        <v>0.89600000000000013</v>
      </c>
      <c r="J61" s="472">
        <f t="shared" si="1"/>
        <v>11.1</v>
      </c>
      <c r="K61" s="386">
        <f t="shared" si="2"/>
        <v>7.66</v>
      </c>
      <c r="L61" s="386">
        <f t="shared" si="3"/>
        <v>18.759999999999998</v>
      </c>
      <c r="M61" s="386"/>
      <c r="N61" s="191">
        <f t="shared" si="4"/>
        <v>0.40831556503198302</v>
      </c>
      <c r="O61" s="152">
        <f t="shared" si="101"/>
        <v>6.8918395170927162</v>
      </c>
      <c r="P61" s="152">
        <f t="shared" si="71"/>
        <v>1.7839143710021326</v>
      </c>
      <c r="Q61" s="191">
        <f t="shared" si="6"/>
        <v>0.45945596780618109</v>
      </c>
      <c r="R61" s="191">
        <f t="shared" si="72"/>
        <v>0.43073996981829477</v>
      </c>
      <c r="S61" s="386">
        <f t="shared" si="73"/>
        <v>15</v>
      </c>
      <c r="T61" s="191">
        <f t="shared" si="74"/>
        <v>2.4986072234114003</v>
      </c>
      <c r="U61" s="191">
        <f t="shared" si="10"/>
        <v>2.0258977487119463</v>
      </c>
      <c r="V61" s="191">
        <f t="shared" si="11"/>
        <v>2.9357003930421151</v>
      </c>
      <c r="W61" s="175">
        <f t="shared" si="12"/>
        <v>350</v>
      </c>
      <c r="X61" s="386">
        <f t="shared" si="52"/>
        <v>201.54796326299666</v>
      </c>
      <c r="Z61" s="191">
        <f t="shared" si="13"/>
        <v>1.4388262767793685</v>
      </c>
      <c r="AA61" s="153">
        <f t="shared" si="14"/>
        <v>1.6905269570514774</v>
      </c>
      <c r="AB61" s="153">
        <f t="shared" si="75"/>
        <v>0.21283277814833412</v>
      </c>
      <c r="AC61" s="153"/>
      <c r="AD61" s="153">
        <f t="shared" si="16"/>
        <v>0.96344647519582249</v>
      </c>
      <c r="AE61" s="317">
        <f t="shared" si="76"/>
        <v>1417.6746645515238</v>
      </c>
      <c r="AF61" s="463">
        <f t="shared" si="77"/>
        <v>6.9127284595300251E-2</v>
      </c>
      <c r="AH61" s="153">
        <f t="shared" si="78"/>
        <v>1.7987650084309388</v>
      </c>
      <c r="AI61" s="153">
        <f t="shared" si="79"/>
        <v>2.4986072234114003</v>
      </c>
      <c r="AJ61" s="153">
        <f t="shared" si="80"/>
        <v>2.4434127580825189</v>
      </c>
      <c r="AL61" s="317">
        <f t="shared" si="81"/>
        <v>280</v>
      </c>
      <c r="AM61" s="147">
        <f t="shared" si="82"/>
        <v>201.54796326299666</v>
      </c>
      <c r="AO61">
        <f t="shared" si="53"/>
        <v>280</v>
      </c>
      <c r="AP61">
        <f t="shared" si="24"/>
        <v>201.54796326299666</v>
      </c>
      <c r="AR61" s="5">
        <f t="shared" si="54"/>
        <v>4.9615981417540613</v>
      </c>
      <c r="AS61" s="5">
        <f t="shared" si="25"/>
        <v>2.0258977487119463</v>
      </c>
      <c r="AT61" s="5">
        <f t="shared" si="55"/>
        <v>2.9357003930421151</v>
      </c>
      <c r="AU61" s="153">
        <f t="shared" si="56"/>
        <v>0.40831556503198296</v>
      </c>
      <c r="AW61" s="5">
        <f t="shared" si="83"/>
        <v>11.33051538024511</v>
      </c>
      <c r="AX61" s="5">
        <f t="shared" si="84"/>
        <v>6.1698744348673005</v>
      </c>
      <c r="AY61" s="5">
        <f t="shared" si="85"/>
        <v>0.45203804398448061</v>
      </c>
      <c r="AZ61" s="5">
        <f t="shared" si="86"/>
        <v>1.1429754952256956</v>
      </c>
      <c r="BA61" s="5">
        <f t="shared" si="87"/>
        <v>2.6982530644054172</v>
      </c>
      <c r="BB61" s="147">
        <f t="shared" si="88"/>
        <v>69.599896273285182</v>
      </c>
      <c r="BC61" s="5"/>
      <c r="BD61" s="153">
        <f t="shared" si="57"/>
        <v>0.921797087525704</v>
      </c>
      <c r="BE61" s="153">
        <f t="shared" si="89"/>
        <v>0.55482042479008586</v>
      </c>
      <c r="BF61" s="153">
        <f t="shared" si="90"/>
        <v>0.11110913604946557</v>
      </c>
      <c r="BG61" s="153"/>
      <c r="BH61" s="463">
        <f t="shared" si="34"/>
        <v>9.346808576279575E-2</v>
      </c>
      <c r="BI61" s="463">
        <f t="shared" si="35"/>
        <v>4.7236666666666663E-2</v>
      </c>
      <c r="BJ61" s="463">
        <f t="shared" si="36"/>
        <v>1.0077398163149832E-2</v>
      </c>
      <c r="BK61" s="463">
        <f t="shared" si="37"/>
        <v>1.5959768957025122E-2</v>
      </c>
      <c r="BL61">
        <f t="shared" si="38"/>
        <v>3.2190000000000001E-3</v>
      </c>
      <c r="BM61">
        <f t="shared" si="91"/>
        <v>1.2294425759042798E-5</v>
      </c>
      <c r="BN61">
        <f t="shared" si="92"/>
        <v>0.18579542193198065</v>
      </c>
      <c r="BO61" s="147">
        <f t="shared" si="58"/>
        <v>185.79542193198066</v>
      </c>
      <c r="BP61" s="153">
        <f t="shared" si="93"/>
        <v>0.1539957675351776</v>
      </c>
      <c r="BQ61" s="153">
        <f t="shared" si="94"/>
        <v>2.3278352689367041E-2</v>
      </c>
      <c r="BR61" s="463"/>
      <c r="BT61" s="147">
        <f t="shared" si="59"/>
        <v>177.27412022454465</v>
      </c>
      <c r="BU61" s="463">
        <f t="shared" si="43"/>
        <v>7.2225338998523986E-2</v>
      </c>
      <c r="BV61" s="463">
        <f t="shared" si="60"/>
        <v>5.8486883715207758E-2</v>
      </c>
      <c r="BW61" s="463">
        <f t="shared" si="95"/>
        <v>6.1726200568293246E-4</v>
      </c>
      <c r="BX61" s="463">
        <f t="shared" si="45"/>
        <v>0</v>
      </c>
      <c r="BY61" s="463">
        <f t="shared" si="96"/>
        <v>0.14865080153928703</v>
      </c>
      <c r="BZ61" s="463">
        <f t="shared" si="61"/>
        <v>0.13132948471941466</v>
      </c>
      <c r="CA61" s="549">
        <f t="shared" si="97"/>
        <v>0.62913580246913581</v>
      </c>
      <c r="CB61" s="147">
        <f t="shared" si="62"/>
        <v>777.78660400842284</v>
      </c>
      <c r="CC61" s="153">
        <f t="shared" si="63"/>
        <v>1.140856146164948</v>
      </c>
      <c r="CD61" s="5">
        <f t="shared" si="64"/>
        <v>5.0960000000000001</v>
      </c>
      <c r="CE61" s="153">
        <f t="shared" si="65"/>
        <v>0.81707832930113966</v>
      </c>
      <c r="CF61" s="5">
        <f t="shared" si="66"/>
        <v>81.707832930113966</v>
      </c>
      <c r="CG61">
        <f t="shared" si="102"/>
        <v>56.000000000000007</v>
      </c>
      <c r="CI61" s="59">
        <f t="shared" si="98"/>
        <v>-50</v>
      </c>
      <c r="CJ61">
        <f t="shared" si="99"/>
        <v>-50</v>
      </c>
    </row>
    <row r="62" spans="5:88" x14ac:dyDescent="0.25">
      <c r="E62" s="150">
        <v>57</v>
      </c>
      <c r="F62" s="191">
        <f t="shared" si="103"/>
        <v>0.28499999999999998</v>
      </c>
      <c r="G62" s="191">
        <f t="shared" si="100"/>
        <v>5.6999999999999995E-2</v>
      </c>
      <c r="H62" s="191">
        <f t="shared" si="70"/>
        <v>4.2749999999999995</v>
      </c>
      <c r="I62" s="191">
        <f t="shared" si="104"/>
        <v>0.91199999999999992</v>
      </c>
      <c r="J62" s="472">
        <f t="shared" si="1"/>
        <v>11.1</v>
      </c>
      <c r="K62" s="386">
        <f t="shared" si="2"/>
        <v>7.66</v>
      </c>
      <c r="L62" s="386">
        <f t="shared" si="3"/>
        <v>18.759999999999998</v>
      </c>
      <c r="M62" s="386"/>
      <c r="N62" s="191">
        <f t="shared" si="4"/>
        <v>0.40831556503198302</v>
      </c>
      <c r="O62" s="152">
        <f t="shared" si="101"/>
        <v>6.8918395170927162</v>
      </c>
      <c r="P62" s="152">
        <f t="shared" si="71"/>
        <v>1.7839143710021326</v>
      </c>
      <c r="Q62" s="191">
        <f t="shared" si="6"/>
        <v>0.45945596780618109</v>
      </c>
      <c r="R62" s="191">
        <f t="shared" si="72"/>
        <v>0.43073996981829477</v>
      </c>
      <c r="S62" s="386">
        <f t="shared" si="73"/>
        <v>15</v>
      </c>
      <c r="T62" s="191">
        <f t="shared" si="74"/>
        <v>2.5432252095437464</v>
      </c>
      <c r="U62" s="191">
        <f t="shared" si="10"/>
        <v>2.0620744942246594</v>
      </c>
      <c r="V62" s="191">
        <f t="shared" si="11"/>
        <v>2.9881236143464385</v>
      </c>
      <c r="W62" s="175">
        <f t="shared" si="12"/>
        <v>350</v>
      </c>
      <c r="X62" s="386">
        <f t="shared" si="52"/>
        <v>198.0120340829441</v>
      </c>
      <c r="Z62" s="191">
        <f t="shared" si="13"/>
        <v>1.4388262767793685</v>
      </c>
      <c r="AA62" s="153">
        <f t="shared" si="14"/>
        <v>1.6905269570514774</v>
      </c>
      <c r="AB62" s="153">
        <f t="shared" si="75"/>
        <v>0.21283277814833412</v>
      </c>
      <c r="AC62" s="153"/>
      <c r="AD62" s="153">
        <f t="shared" si="16"/>
        <v>0.96344647519582249</v>
      </c>
      <c r="AE62" s="317">
        <f t="shared" si="76"/>
        <v>1442.9902835613723</v>
      </c>
      <c r="AF62" s="463">
        <f t="shared" si="77"/>
        <v>6.9127284595300251E-2</v>
      </c>
      <c r="AH62" s="153">
        <f t="shared" si="78"/>
        <v>1.8147543451754933</v>
      </c>
      <c r="AI62" s="153">
        <f t="shared" si="79"/>
        <v>2.5432252095437464</v>
      </c>
      <c r="AJ62" s="153">
        <f t="shared" si="80"/>
        <v>2.4764631181805532</v>
      </c>
      <c r="AL62" s="317">
        <f t="shared" si="81"/>
        <v>285</v>
      </c>
      <c r="AM62" s="147">
        <f t="shared" si="82"/>
        <v>198.0120340829441</v>
      </c>
      <c r="AO62">
        <f t="shared" si="53"/>
        <v>285</v>
      </c>
      <c r="AP62">
        <f t="shared" si="24"/>
        <v>198.0120340829441</v>
      </c>
      <c r="AR62" s="5">
        <f t="shared" si="54"/>
        <v>5.0501981085710979</v>
      </c>
      <c r="AS62" s="5">
        <f t="shared" si="25"/>
        <v>2.0620744942246594</v>
      </c>
      <c r="AT62" s="5">
        <f t="shared" si="55"/>
        <v>2.9881236143464385</v>
      </c>
      <c r="AU62" s="153">
        <f t="shared" si="56"/>
        <v>0.40831556503198296</v>
      </c>
      <c r="AW62" s="5">
        <f t="shared" si="83"/>
        <v>11.33051538024511</v>
      </c>
      <c r="AX62" s="5">
        <f t="shared" si="84"/>
        <v>6.3769266705624545</v>
      </c>
      <c r="AY62" s="5">
        <f t="shared" si="85"/>
        <v>0.45203804398448061</v>
      </c>
      <c r="AZ62" s="5">
        <f t="shared" si="86"/>
        <v>1.1821248035676923</v>
      </c>
      <c r="BA62" s="5">
        <f t="shared" si="87"/>
        <v>2.7954796576062502</v>
      </c>
      <c r="BB62" s="147">
        <f t="shared" si="88"/>
        <v>72.079985383633513</v>
      </c>
      <c r="BC62" s="5"/>
      <c r="BD62" s="153">
        <f t="shared" si="57"/>
        <v>0.93825774980294852</v>
      </c>
      <c r="BE62" s="153">
        <f t="shared" si="89"/>
        <v>0.56472793237562302</v>
      </c>
      <c r="BF62" s="153">
        <f t="shared" si="90"/>
        <v>0.11309322776463457</v>
      </c>
      <c r="BG62" s="153"/>
      <c r="BH62" s="463">
        <f t="shared" si="34"/>
        <v>9.6836036557182148E-2</v>
      </c>
      <c r="BI62" s="463">
        <f t="shared" si="35"/>
        <v>4.7236666666666663E-2</v>
      </c>
      <c r="BJ62" s="463">
        <f t="shared" si="36"/>
        <v>9.9006017041472043E-3</v>
      </c>
      <c r="BK62" s="463">
        <f t="shared" si="37"/>
        <v>1.5679773010410642E-2</v>
      </c>
      <c r="BL62">
        <f t="shared" si="38"/>
        <v>3.2190000000000001E-3</v>
      </c>
      <c r="BM62">
        <f t="shared" si="91"/>
        <v>1.207873407905959E-5</v>
      </c>
      <c r="BN62">
        <f t="shared" si="92"/>
        <v>0.18933981381868406</v>
      </c>
      <c r="BO62" s="147">
        <f t="shared" si="58"/>
        <v>189.33981381868406</v>
      </c>
      <c r="BP62" s="153">
        <f t="shared" si="93"/>
        <v>0.15760061502608164</v>
      </c>
      <c r="BQ62" s="153">
        <f t="shared" si="94"/>
        <v>2.3728323943798955E-2</v>
      </c>
      <c r="BR62" s="463"/>
      <c r="BT62" s="147">
        <f t="shared" si="59"/>
        <v>181.3289389698806</v>
      </c>
      <c r="BU62" s="463">
        <f t="shared" si="43"/>
        <v>7.4827846430549849E-2</v>
      </c>
      <c r="BV62" s="463">
        <f t="shared" si="60"/>
        <v>6.059435114499679E-2</v>
      </c>
      <c r="BW62" s="463">
        <f t="shared" si="95"/>
        <v>6.3950390831117555E-4</v>
      </c>
      <c r="BX62" s="463">
        <f t="shared" si="45"/>
        <v>0</v>
      </c>
      <c r="BY62" s="463">
        <f t="shared" si="96"/>
        <v>0.15406610537700771</v>
      </c>
      <c r="BZ62" s="463">
        <f t="shared" si="61"/>
        <v>0.13606170148385779</v>
      </c>
      <c r="CA62" s="549">
        <f t="shared" si="97"/>
        <v>0.64037037037037015</v>
      </c>
      <c r="CB62" s="147">
        <f t="shared" si="62"/>
        <v>794.43647574737781</v>
      </c>
      <c r="CC62" s="153">
        <f t="shared" si="63"/>
        <v>1.1651052285359427</v>
      </c>
      <c r="CD62" s="5">
        <f t="shared" si="64"/>
        <v>5.1869999999999994</v>
      </c>
      <c r="CE62" s="153">
        <f t="shared" si="65"/>
        <v>0.81657967136597942</v>
      </c>
      <c r="CF62" s="5">
        <f t="shared" si="66"/>
        <v>81.657967136597946</v>
      </c>
      <c r="CG62">
        <f t="shared" si="102"/>
        <v>56.999999999999993</v>
      </c>
      <c r="CI62" s="59">
        <f t="shared" si="98"/>
        <v>-50</v>
      </c>
      <c r="CJ62">
        <f t="shared" si="99"/>
        <v>-50</v>
      </c>
    </row>
    <row r="63" spans="5:88" x14ac:dyDescent="0.25">
      <c r="E63" s="150">
        <v>58</v>
      </c>
      <c r="F63" s="191">
        <f t="shared" si="103"/>
        <v>0.28999999999999998</v>
      </c>
      <c r="G63" s="191">
        <f t="shared" si="100"/>
        <v>5.7999999999999996E-2</v>
      </c>
      <c r="H63" s="191">
        <f t="shared" si="70"/>
        <v>4.3499999999999996</v>
      </c>
      <c r="I63" s="191">
        <f t="shared" si="104"/>
        <v>0.92799999999999994</v>
      </c>
      <c r="J63" s="472">
        <f t="shared" si="1"/>
        <v>11.1</v>
      </c>
      <c r="K63" s="386">
        <f t="shared" si="2"/>
        <v>7.66</v>
      </c>
      <c r="L63" s="386">
        <f t="shared" si="3"/>
        <v>18.759999999999998</v>
      </c>
      <c r="M63" s="386"/>
      <c r="N63" s="191">
        <f t="shared" si="4"/>
        <v>0.40831556503198302</v>
      </c>
      <c r="O63" s="152">
        <f t="shared" si="101"/>
        <v>6.8918395170927162</v>
      </c>
      <c r="P63" s="152">
        <f t="shared" si="71"/>
        <v>1.7839143710021326</v>
      </c>
      <c r="Q63" s="191">
        <f t="shared" si="6"/>
        <v>0.45945596780618109</v>
      </c>
      <c r="R63" s="191">
        <f t="shared" si="72"/>
        <v>0.43073996981829477</v>
      </c>
      <c r="S63" s="386">
        <f t="shared" si="73"/>
        <v>15</v>
      </c>
      <c r="T63" s="191">
        <f t="shared" si="74"/>
        <v>2.587843195676093</v>
      </c>
      <c r="U63" s="191">
        <f t="shared" si="10"/>
        <v>2.0982512397373729</v>
      </c>
      <c r="V63" s="191">
        <f t="shared" si="11"/>
        <v>3.0405468356507619</v>
      </c>
      <c r="W63" s="175">
        <f t="shared" si="12"/>
        <v>350</v>
      </c>
      <c r="X63" s="386">
        <f t="shared" si="52"/>
        <v>194.59803349530713</v>
      </c>
      <c r="Z63" s="191">
        <f t="shared" si="13"/>
        <v>1.4388262767793685</v>
      </c>
      <c r="AA63" s="153">
        <f t="shared" si="14"/>
        <v>1.6905269570514774</v>
      </c>
      <c r="AB63" s="153">
        <f t="shared" si="75"/>
        <v>0.21283277814833412</v>
      </c>
      <c r="AC63" s="153"/>
      <c r="AD63" s="153">
        <f t="shared" si="16"/>
        <v>0.96344647519582249</v>
      </c>
      <c r="AE63" s="317">
        <f t="shared" si="76"/>
        <v>1468.3059025712209</v>
      </c>
      <c r="AF63" s="463">
        <f t="shared" si="77"/>
        <v>6.9127284595300251E-2</v>
      </c>
      <c r="AH63" s="153">
        <f t="shared" si="78"/>
        <v>1.8306040290327974</v>
      </c>
      <c r="AI63" s="153">
        <f t="shared" si="79"/>
        <v>2.587843195676093</v>
      </c>
      <c r="AJ63" s="153">
        <f t="shared" si="80"/>
        <v>2.5095134782785875</v>
      </c>
      <c r="AL63" s="317">
        <f t="shared" si="81"/>
        <v>290</v>
      </c>
      <c r="AM63" s="147">
        <f t="shared" si="82"/>
        <v>194.59803349530713</v>
      </c>
      <c r="AO63">
        <f t="shared" si="53"/>
        <v>290</v>
      </c>
      <c r="AP63">
        <f t="shared" si="24"/>
        <v>194.59803349530713</v>
      </c>
      <c r="AR63" s="5">
        <f t="shared" si="54"/>
        <v>5.1387980753881344</v>
      </c>
      <c r="AS63" s="5">
        <f t="shared" si="25"/>
        <v>2.0982512397373729</v>
      </c>
      <c r="AT63" s="5">
        <f t="shared" si="55"/>
        <v>3.0405468356507614</v>
      </c>
      <c r="AU63" s="153">
        <f t="shared" si="56"/>
        <v>0.40831556503198302</v>
      </c>
      <c r="AW63" s="5">
        <f t="shared" si="83"/>
        <v>11.33051538024511</v>
      </c>
      <c r="AX63" s="5">
        <f t="shared" si="84"/>
        <v>6.587378060871683</v>
      </c>
      <c r="AY63" s="5">
        <f t="shared" si="85"/>
        <v>0.45203804398448061</v>
      </c>
      <c r="AZ63" s="5">
        <f t="shared" si="86"/>
        <v>1.2219316217918488</v>
      </c>
      <c r="BA63" s="5">
        <f t="shared" si="87"/>
        <v>2.8944270754655048</v>
      </c>
      <c r="BB63" s="147">
        <f t="shared" si="88"/>
        <v>74.603486206955665</v>
      </c>
      <c r="BC63" s="5"/>
      <c r="BD63" s="153">
        <f t="shared" si="57"/>
        <v>0.95471841208019348</v>
      </c>
      <c r="BE63" s="153">
        <f t="shared" si="89"/>
        <v>0.57463543996116029</v>
      </c>
      <c r="BF63" s="153">
        <f t="shared" si="90"/>
        <v>0.11507731947980361</v>
      </c>
      <c r="BG63" s="153"/>
      <c r="BH63" s="463">
        <f t="shared" si="34"/>
        <v>0.10026359710014188</v>
      </c>
      <c r="BI63" s="463">
        <f t="shared" si="35"/>
        <v>4.7236666666666663E-2</v>
      </c>
      <c r="BJ63" s="463">
        <f t="shared" si="36"/>
        <v>9.7299016747653556E-3</v>
      </c>
      <c r="BK63" s="463">
        <f t="shared" si="37"/>
        <v>1.5409432096438047E-2</v>
      </c>
      <c r="BL63">
        <f t="shared" si="38"/>
        <v>3.2190000000000001E-3</v>
      </c>
      <c r="BM63">
        <f t="shared" si="91"/>
        <v>1.1870480043213737E-5</v>
      </c>
      <c r="BN63">
        <f t="shared" si="92"/>
        <v>0.19297584305340926</v>
      </c>
      <c r="BO63" s="147">
        <f t="shared" si="58"/>
        <v>192.97584305340925</v>
      </c>
      <c r="BP63" s="153">
        <f t="shared" si="93"/>
        <v>0.16123545981770965</v>
      </c>
      <c r="BQ63" s="153">
        <f t="shared" si="94"/>
        <v>2.4179498229282753E-2</v>
      </c>
      <c r="BR63" s="463"/>
      <c r="BT63" s="147">
        <f t="shared" si="59"/>
        <v>185.41495804699241</v>
      </c>
      <c r="BU63" s="463">
        <f t="shared" si="43"/>
        <v>7.7476415941018728E-2</v>
      </c>
      <c r="BV63" s="463">
        <f t="shared" si="60"/>
        <v>6.2739118883277684E-2</v>
      </c>
      <c r="BW63" s="463">
        <f t="shared" si="95"/>
        <v>6.6213947293283944E-4</v>
      </c>
      <c r="BX63" s="463">
        <f t="shared" si="45"/>
        <v>0</v>
      </c>
      <c r="BY63" s="463">
        <f t="shared" si="96"/>
        <v>0.15958151300594561</v>
      </c>
      <c r="BZ63" s="463">
        <f t="shared" si="61"/>
        <v>0.14087767429722925</v>
      </c>
      <c r="CA63" s="549">
        <f t="shared" si="97"/>
        <v>0.65160493827160493</v>
      </c>
      <c r="CB63" s="147">
        <f t="shared" si="62"/>
        <v>811.18645127755053</v>
      </c>
      <c r="CC63" s="153">
        <f t="shared" si="63"/>
        <v>1.1895772523779522</v>
      </c>
      <c r="CD63" s="5">
        <f t="shared" si="64"/>
        <v>5.2779999999999996</v>
      </c>
      <c r="CE63" s="153">
        <f t="shared" si="65"/>
        <v>0.81607065428703196</v>
      </c>
      <c r="CF63" s="5">
        <f t="shared" si="66"/>
        <v>81.607065428703194</v>
      </c>
      <c r="CG63">
        <f t="shared" si="102"/>
        <v>57.999999999999993</v>
      </c>
      <c r="CI63" s="59">
        <f t="shared" si="98"/>
        <v>-50</v>
      </c>
      <c r="CJ63">
        <f t="shared" si="99"/>
        <v>-50</v>
      </c>
    </row>
    <row r="64" spans="5:88" x14ac:dyDescent="0.25">
      <c r="E64" s="150">
        <v>59</v>
      </c>
      <c r="F64" s="191">
        <f t="shared" si="103"/>
        <v>0.29499999999999998</v>
      </c>
      <c r="G64" s="191">
        <f t="shared" si="100"/>
        <v>5.8999999999999997E-2</v>
      </c>
      <c r="H64" s="191">
        <f t="shared" si="70"/>
        <v>4.4249999999999998</v>
      </c>
      <c r="I64" s="191">
        <f t="shared" si="104"/>
        <v>0.94399999999999995</v>
      </c>
      <c r="J64" s="472">
        <f t="shared" si="1"/>
        <v>11.1</v>
      </c>
      <c r="K64" s="386">
        <f t="shared" si="2"/>
        <v>7.66</v>
      </c>
      <c r="L64" s="386">
        <f t="shared" si="3"/>
        <v>18.759999999999998</v>
      </c>
      <c r="M64" s="386"/>
      <c r="N64" s="191">
        <f t="shared" si="4"/>
        <v>0.40831556503198302</v>
      </c>
      <c r="O64" s="152">
        <f t="shared" si="101"/>
        <v>6.8918395170927162</v>
      </c>
      <c r="P64" s="152">
        <f t="shared" si="71"/>
        <v>1.7839143710021326</v>
      </c>
      <c r="Q64" s="191">
        <f t="shared" si="6"/>
        <v>0.45945596780618109</v>
      </c>
      <c r="R64" s="191">
        <f t="shared" si="72"/>
        <v>0.43073996981829477</v>
      </c>
      <c r="S64" s="386">
        <f t="shared" si="73"/>
        <v>15</v>
      </c>
      <c r="T64" s="191">
        <f t="shared" si="74"/>
        <v>2.6324611818084396</v>
      </c>
      <c r="U64" s="191">
        <f t="shared" si="10"/>
        <v>2.1344279852500865</v>
      </c>
      <c r="V64" s="191">
        <f t="shared" si="11"/>
        <v>3.0929700569550858</v>
      </c>
      <c r="W64" s="175">
        <f t="shared" si="12"/>
        <v>350</v>
      </c>
      <c r="X64" s="386">
        <f t="shared" si="52"/>
        <v>191.29976174114935</v>
      </c>
      <c r="Z64" s="191">
        <f t="shared" si="13"/>
        <v>1.4388262767793685</v>
      </c>
      <c r="AA64" s="153">
        <f t="shared" si="14"/>
        <v>1.6905269570514774</v>
      </c>
      <c r="AB64" s="153">
        <f t="shared" si="75"/>
        <v>0.21283277814833412</v>
      </c>
      <c r="AC64" s="153"/>
      <c r="AD64" s="153">
        <f t="shared" si="16"/>
        <v>0.96344647519582249</v>
      </c>
      <c r="AE64" s="317">
        <f t="shared" si="76"/>
        <v>1493.6215215810696</v>
      </c>
      <c r="AF64" s="463">
        <f t="shared" si="77"/>
        <v>6.9127284595300251E-2</v>
      </c>
      <c r="AH64" s="153">
        <f t="shared" si="78"/>
        <v>1.8463176565501638</v>
      </c>
      <c r="AI64" s="153">
        <f t="shared" si="79"/>
        <v>2.6324611818084396</v>
      </c>
      <c r="AJ64" s="153">
        <f t="shared" si="80"/>
        <v>2.5425638383766218</v>
      </c>
      <c r="AL64" s="317">
        <f t="shared" si="81"/>
        <v>295</v>
      </c>
      <c r="AM64" s="147">
        <f t="shared" si="82"/>
        <v>191.29976174114935</v>
      </c>
      <c r="AO64">
        <f t="shared" si="53"/>
        <v>295</v>
      </c>
      <c r="AP64">
        <f t="shared" si="24"/>
        <v>191.29976174114935</v>
      </c>
      <c r="AR64" s="5">
        <f t="shared" si="54"/>
        <v>5.2273980422051718</v>
      </c>
      <c r="AS64" s="5">
        <f t="shared" si="25"/>
        <v>2.1344279852500865</v>
      </c>
      <c r="AT64" s="5">
        <f t="shared" si="55"/>
        <v>3.0929700569550853</v>
      </c>
      <c r="AU64" s="153">
        <f t="shared" si="56"/>
        <v>0.40831556503198302</v>
      </c>
      <c r="AW64" s="5">
        <f t="shared" si="83"/>
        <v>11.33051538024511</v>
      </c>
      <c r="AX64" s="5">
        <f t="shared" si="84"/>
        <v>6.8012286057949831</v>
      </c>
      <c r="AY64" s="5">
        <f t="shared" si="85"/>
        <v>0.45203804398448061</v>
      </c>
      <c r="AZ64" s="5">
        <f t="shared" si="86"/>
        <v>1.2623959498981647</v>
      </c>
      <c r="BA64" s="5">
        <f t="shared" si="87"/>
        <v>2.9950953179831816</v>
      </c>
      <c r="BB64" s="147">
        <f t="shared" si="88"/>
        <v>77.170398743251667</v>
      </c>
      <c r="BC64" s="5"/>
      <c r="BD64" s="153">
        <f t="shared" si="57"/>
        <v>0.97117907435743822</v>
      </c>
      <c r="BE64" s="153">
        <f t="shared" si="89"/>
        <v>0.58454294754669756</v>
      </c>
      <c r="BF64" s="153">
        <f t="shared" si="90"/>
        <v>0.11706141119497264</v>
      </c>
      <c r="BG64" s="153"/>
      <c r="BH64" s="463">
        <f t="shared" si="34"/>
        <v>0.10375076739167476</v>
      </c>
      <c r="BI64" s="463">
        <f t="shared" si="35"/>
        <v>4.7236666666666663E-2</v>
      </c>
      <c r="BJ64" s="463">
        <f t="shared" si="36"/>
        <v>9.5649880870574671E-3</v>
      </c>
      <c r="BK64" s="463">
        <f t="shared" si="37"/>
        <v>1.5148255281244178E-2</v>
      </c>
      <c r="BL64">
        <f t="shared" si="38"/>
        <v>3.2190000000000001E-3</v>
      </c>
      <c r="BM64">
        <f t="shared" si="91"/>
        <v>1.1669285466210111E-5</v>
      </c>
      <c r="BN64">
        <f t="shared" si="92"/>
        <v>0.19670299224970522</v>
      </c>
      <c r="BO64" s="147">
        <f t="shared" si="58"/>
        <v>196.70299224970523</v>
      </c>
      <c r="BP64" s="153">
        <f t="shared" si="93"/>
        <v>0.16490030191006161</v>
      </c>
      <c r="BQ64" s="153">
        <f t="shared" si="94"/>
        <v>2.4631875545818454E-2</v>
      </c>
      <c r="BR64" s="463"/>
      <c r="BT64" s="147">
        <f t="shared" si="59"/>
        <v>189.53217745588006</v>
      </c>
      <c r="BU64" s="463">
        <f t="shared" si="43"/>
        <v>8.0171047529930498E-2</v>
      </c>
      <c r="BV64" s="463">
        <f t="shared" si="60"/>
        <v>6.4921186930050431E-2</v>
      </c>
      <c r="BW64" s="463">
        <f t="shared" si="95"/>
        <v>6.8516869954792338E-4</v>
      </c>
      <c r="BX64" s="463">
        <f t="shared" si="45"/>
        <v>0</v>
      </c>
      <c r="BY64" s="463">
        <f t="shared" si="96"/>
        <v>0.16519725367060731</v>
      </c>
      <c r="BZ64" s="463">
        <f t="shared" si="61"/>
        <v>0.14577740315952886</v>
      </c>
      <c r="CA64" s="549">
        <f t="shared" si="97"/>
        <v>0.66283950617283938</v>
      </c>
      <c r="CB64" s="147">
        <f t="shared" si="62"/>
        <v>828.0367598434467</v>
      </c>
      <c r="CC64" s="153">
        <f t="shared" si="63"/>
        <v>1.2142719295490321</v>
      </c>
      <c r="CD64" s="5">
        <f t="shared" si="64"/>
        <v>5.3689999999999998</v>
      </c>
      <c r="CE64" s="153">
        <f t="shared" si="65"/>
        <v>0.81555191057826892</v>
      </c>
      <c r="CF64" s="5">
        <f t="shared" si="66"/>
        <v>81.555191057826889</v>
      </c>
      <c r="CG64">
        <f t="shared" si="102"/>
        <v>59</v>
      </c>
      <c r="CI64" s="59">
        <f t="shared" si="98"/>
        <v>-50</v>
      </c>
      <c r="CJ64">
        <f t="shared" si="99"/>
        <v>-50</v>
      </c>
    </row>
    <row r="65" spans="5:88" x14ac:dyDescent="0.25">
      <c r="E65" s="150">
        <v>60</v>
      </c>
      <c r="F65" s="191">
        <f t="shared" si="103"/>
        <v>0.3</v>
      </c>
      <c r="G65" s="191">
        <f t="shared" si="100"/>
        <v>0.06</v>
      </c>
      <c r="H65" s="191">
        <f t="shared" si="70"/>
        <v>4.5</v>
      </c>
      <c r="I65" s="191">
        <f t="shared" si="104"/>
        <v>0.96</v>
      </c>
      <c r="J65" s="472">
        <f t="shared" si="1"/>
        <v>11.1</v>
      </c>
      <c r="K65" s="386">
        <f t="shared" si="2"/>
        <v>7.66</v>
      </c>
      <c r="L65" s="386">
        <f t="shared" si="3"/>
        <v>18.759999999999998</v>
      </c>
      <c r="M65" s="386"/>
      <c r="N65" s="191">
        <f t="shared" si="4"/>
        <v>0.40831556503198302</v>
      </c>
      <c r="O65" s="152">
        <f t="shared" si="101"/>
        <v>6.8918395170927162</v>
      </c>
      <c r="P65" s="152">
        <f t="shared" si="71"/>
        <v>1.7839143710021326</v>
      </c>
      <c r="Q65" s="191">
        <f t="shared" si="6"/>
        <v>0.45945596780618109</v>
      </c>
      <c r="R65" s="191">
        <f t="shared" si="72"/>
        <v>0.43073996981829477</v>
      </c>
      <c r="S65" s="386">
        <f t="shared" si="73"/>
        <v>15</v>
      </c>
      <c r="T65" s="191">
        <f t="shared" si="74"/>
        <v>2.6770791679407862</v>
      </c>
      <c r="U65" s="191">
        <f t="shared" si="10"/>
        <v>2.1706047307627996</v>
      </c>
      <c r="V65" s="191">
        <f t="shared" si="11"/>
        <v>3.1453932782594092</v>
      </c>
      <c r="W65" s="175">
        <f t="shared" si="12"/>
        <v>350</v>
      </c>
      <c r="X65" s="386">
        <f t="shared" si="52"/>
        <v>188.11143237879685</v>
      </c>
      <c r="Z65" s="191">
        <f t="shared" si="13"/>
        <v>1.4388262767793685</v>
      </c>
      <c r="AA65" s="153">
        <f t="shared" si="14"/>
        <v>1.6905269570514774</v>
      </c>
      <c r="AB65" s="153">
        <f t="shared" si="75"/>
        <v>0.21283277814833412</v>
      </c>
      <c r="AC65" s="153"/>
      <c r="AD65" s="153">
        <f t="shared" si="16"/>
        <v>0.96344647519582249</v>
      </c>
      <c r="AE65" s="317">
        <f t="shared" si="76"/>
        <v>1518.9371405909183</v>
      </c>
      <c r="AF65" s="463">
        <f t="shared" si="77"/>
        <v>6.9127284595300251E-2</v>
      </c>
      <c r="AH65" s="153">
        <f t="shared" si="78"/>
        <v>1.8618986725025255</v>
      </c>
      <c r="AI65" s="153">
        <f t="shared" si="79"/>
        <v>2.6770791679407862</v>
      </c>
      <c r="AJ65" s="153">
        <f t="shared" si="80"/>
        <v>2.5756141984746566</v>
      </c>
      <c r="AL65" s="317">
        <f t="shared" si="81"/>
        <v>300</v>
      </c>
      <c r="AM65" s="147">
        <f t="shared" si="82"/>
        <v>188.11143237879685</v>
      </c>
      <c r="AO65">
        <f t="shared" si="53"/>
        <v>300</v>
      </c>
      <c r="AP65">
        <f t="shared" si="24"/>
        <v>188.11143237879685</v>
      </c>
      <c r="AR65" s="5">
        <f t="shared" si="54"/>
        <v>5.3159980090222092</v>
      </c>
      <c r="AS65" s="5">
        <f t="shared" si="25"/>
        <v>2.1706047307627996</v>
      </c>
      <c r="AT65" s="5">
        <f t="shared" si="55"/>
        <v>3.1453932782594096</v>
      </c>
      <c r="AU65" s="153">
        <f t="shared" si="56"/>
        <v>0.40831556503198291</v>
      </c>
      <c r="AW65" s="5">
        <f t="shared" si="83"/>
        <v>11.33051538024511</v>
      </c>
      <c r="AX65" s="5">
        <f t="shared" si="84"/>
        <v>7.0184783053323603</v>
      </c>
      <c r="AY65" s="5">
        <f t="shared" si="85"/>
        <v>0.45203804398448061</v>
      </c>
      <c r="AZ65" s="5">
        <f t="shared" si="86"/>
        <v>1.3035177878866397</v>
      </c>
      <c r="BA65" s="5">
        <f t="shared" si="87"/>
        <v>3.097484385159281</v>
      </c>
      <c r="BB65" s="147">
        <f t="shared" si="88"/>
        <v>79.780722992521504</v>
      </c>
      <c r="BC65" s="5"/>
      <c r="BD65" s="153">
        <f t="shared" si="57"/>
        <v>0.98763973663468285</v>
      </c>
      <c r="BE65" s="153">
        <f t="shared" si="89"/>
        <v>0.59445045513223482</v>
      </c>
      <c r="BF65" s="153">
        <f t="shared" si="90"/>
        <v>0.11904550291014168</v>
      </c>
      <c r="BG65" s="153"/>
      <c r="BH65" s="463">
        <f t="shared" si="34"/>
        <v>0.10729754743178084</v>
      </c>
      <c r="BI65" s="463">
        <f t="shared" si="35"/>
        <v>4.7236666666666663E-2</v>
      </c>
      <c r="BJ65" s="463">
        <f t="shared" si="36"/>
        <v>9.4055716189398418E-3</v>
      </c>
      <c r="BK65" s="463">
        <f t="shared" si="37"/>
        <v>1.4895784359890108E-2</v>
      </c>
      <c r="BL65">
        <f t="shared" si="38"/>
        <v>3.2190000000000001E-3</v>
      </c>
      <c r="BM65">
        <f t="shared" si="91"/>
        <v>1.1474797375106609E-5</v>
      </c>
      <c r="BN65">
        <f t="shared" si="92"/>
        <v>0.2005208033074703</v>
      </c>
      <c r="BO65" s="147">
        <f t="shared" si="58"/>
        <v>200.52080330747029</v>
      </c>
      <c r="BP65" s="153">
        <f t="shared" si="93"/>
        <v>0.16859514130313755</v>
      </c>
      <c r="BQ65" s="153">
        <f t="shared" si="94"/>
        <v>2.5085455893406043E-2</v>
      </c>
      <c r="BR65" s="463"/>
      <c r="BT65" s="147">
        <f t="shared" si="59"/>
        <v>193.6805971965436</v>
      </c>
      <c r="BU65" s="463">
        <f t="shared" si="43"/>
        <v>8.2911741197285199E-2</v>
      </c>
      <c r="BV65" s="463">
        <f t="shared" si="60"/>
        <v>6.7140555285315012E-2</v>
      </c>
      <c r="BW65" s="463">
        <f t="shared" si="95"/>
        <v>7.0859158815642759E-4</v>
      </c>
      <c r="BX65" s="463">
        <f t="shared" si="45"/>
        <v>0</v>
      </c>
      <c r="BY65" s="463">
        <f t="shared" si="96"/>
        <v>0.17091356105913633</v>
      </c>
      <c r="BZ65" s="463">
        <f t="shared" si="61"/>
        <v>0.15076088807075663</v>
      </c>
      <c r="CA65" s="549">
        <f t="shared" si="97"/>
        <v>0.67407407407407405</v>
      </c>
      <c r="CB65" s="147">
        <f t="shared" si="62"/>
        <v>844.98763513321035</v>
      </c>
      <c r="CC65" s="153">
        <f t="shared" si="63"/>
        <v>1.2391890356372244</v>
      </c>
      <c r="CD65" s="5">
        <f t="shared" si="64"/>
        <v>5.46</v>
      </c>
      <c r="CE65" s="153">
        <f t="shared" si="65"/>
        <v>0.81502402319964495</v>
      </c>
      <c r="CF65" s="5">
        <f t="shared" si="66"/>
        <v>81.502402319964489</v>
      </c>
      <c r="CG65">
        <f t="shared" si="102"/>
        <v>60</v>
      </c>
      <c r="CI65" s="59">
        <f t="shared" si="98"/>
        <v>-50</v>
      </c>
      <c r="CJ65">
        <f t="shared" si="99"/>
        <v>-50</v>
      </c>
    </row>
    <row r="66" spans="5:88" x14ac:dyDescent="0.25">
      <c r="E66" s="150">
        <v>61</v>
      </c>
      <c r="F66" s="191">
        <f t="shared" si="103"/>
        <v>0.30499999999999999</v>
      </c>
      <c r="G66" s="191">
        <f t="shared" si="100"/>
        <v>6.0999999999999999E-2</v>
      </c>
      <c r="H66" s="191">
        <f t="shared" si="70"/>
        <v>4.5750000000000002</v>
      </c>
      <c r="I66" s="191">
        <f t="shared" si="104"/>
        <v>0.97599999999999998</v>
      </c>
      <c r="J66" s="472">
        <f t="shared" si="1"/>
        <v>11.1</v>
      </c>
      <c r="K66" s="386">
        <f t="shared" si="2"/>
        <v>7.66</v>
      </c>
      <c r="L66" s="386">
        <f t="shared" si="3"/>
        <v>18.759999999999998</v>
      </c>
      <c r="M66" s="386"/>
      <c r="N66" s="191">
        <f t="shared" si="4"/>
        <v>0.40831556503198302</v>
      </c>
      <c r="O66" s="152">
        <f t="shared" si="101"/>
        <v>6.8918395170927162</v>
      </c>
      <c r="P66" s="152">
        <f t="shared" si="71"/>
        <v>1.7839143710021326</v>
      </c>
      <c r="Q66" s="191">
        <f t="shared" si="6"/>
        <v>0.45945596780618109</v>
      </c>
      <c r="R66" s="191">
        <f t="shared" si="72"/>
        <v>0.43073996981829477</v>
      </c>
      <c r="S66" s="386">
        <f t="shared" si="73"/>
        <v>15</v>
      </c>
      <c r="T66" s="191">
        <f t="shared" si="74"/>
        <v>2.7216971540731327</v>
      </c>
      <c r="U66" s="191">
        <f t="shared" si="10"/>
        <v>2.2067814762755131</v>
      </c>
      <c r="V66" s="191">
        <f t="shared" si="11"/>
        <v>3.197816499563733</v>
      </c>
      <c r="W66" s="175">
        <f t="shared" si="12"/>
        <v>350</v>
      </c>
      <c r="X66" s="386">
        <f t="shared" si="52"/>
        <v>185.02763840537392</v>
      </c>
      <c r="Z66" s="191">
        <f t="shared" si="13"/>
        <v>1.4388262767793685</v>
      </c>
      <c r="AA66" s="153">
        <f t="shared" si="14"/>
        <v>1.6905269570514774</v>
      </c>
      <c r="AB66" s="153">
        <f t="shared" si="75"/>
        <v>0.21283277814833412</v>
      </c>
      <c r="AC66" s="153"/>
      <c r="AD66" s="153">
        <f t="shared" si="16"/>
        <v>0.96344647519582249</v>
      </c>
      <c r="AE66" s="317">
        <f t="shared" si="76"/>
        <v>1544.2527596007669</v>
      </c>
      <c r="AF66" s="463">
        <f t="shared" si="77"/>
        <v>6.9127284595300251E-2</v>
      </c>
      <c r="AH66" s="153">
        <f t="shared" si="78"/>
        <v>1.8773503787104966</v>
      </c>
      <c r="AI66" s="153">
        <f t="shared" si="79"/>
        <v>2.7216971540731327</v>
      </c>
      <c r="AJ66" s="153">
        <f t="shared" si="80"/>
        <v>2.6086645585726913</v>
      </c>
      <c r="AL66" s="317">
        <f t="shared" si="81"/>
        <v>305</v>
      </c>
      <c r="AM66" s="147">
        <f t="shared" si="82"/>
        <v>185.02763840537392</v>
      </c>
      <c r="AO66">
        <f t="shared" si="53"/>
        <v>305</v>
      </c>
      <c r="AP66">
        <f t="shared" si="24"/>
        <v>185.02763840537392</v>
      </c>
      <c r="AR66" s="5">
        <f t="shared" si="54"/>
        <v>5.4045979758392466</v>
      </c>
      <c r="AS66" s="5">
        <f t="shared" si="25"/>
        <v>2.2067814762755131</v>
      </c>
      <c r="AT66" s="5">
        <f t="shared" si="55"/>
        <v>3.1978164995637335</v>
      </c>
      <c r="AU66" s="153">
        <f t="shared" si="56"/>
        <v>0.40831556503198291</v>
      </c>
      <c r="AW66" s="5">
        <f t="shared" si="83"/>
        <v>11.33051538024511</v>
      </c>
      <c r="AX66" s="5">
        <f t="shared" si="84"/>
        <v>7.2391271594838082</v>
      </c>
      <c r="AY66" s="5">
        <f t="shared" si="85"/>
        <v>0.45203804398448061</v>
      </c>
      <c r="AZ66" s="5">
        <f t="shared" si="86"/>
        <v>1.3452971357572743</v>
      </c>
      <c r="BA66" s="5">
        <f t="shared" si="87"/>
        <v>3.2015942769938013</v>
      </c>
      <c r="BB66" s="147">
        <f t="shared" si="88"/>
        <v>82.434458954765162</v>
      </c>
      <c r="BC66" s="5"/>
      <c r="BD66" s="153">
        <f t="shared" si="57"/>
        <v>1.0041003989119277</v>
      </c>
      <c r="BE66" s="153">
        <f t="shared" si="89"/>
        <v>0.60435796271777209</v>
      </c>
      <c r="BF66" s="153">
        <f t="shared" si="90"/>
        <v>0.12102959462531071</v>
      </c>
      <c r="BG66" s="153"/>
      <c r="BH66" s="463">
        <f t="shared" si="34"/>
        <v>0.11090393722046017</v>
      </c>
      <c r="BI66" s="463">
        <f t="shared" si="35"/>
        <v>4.7236666666666649E-2</v>
      </c>
      <c r="BJ66" s="463">
        <f t="shared" si="36"/>
        <v>9.2513819202686958E-3</v>
      </c>
      <c r="BK66" s="463">
        <f t="shared" si="37"/>
        <v>1.4651591173662399E-2</v>
      </c>
      <c r="BL66">
        <f t="shared" si="38"/>
        <v>3.2190000000000001E-3</v>
      </c>
      <c r="BM66">
        <f t="shared" si="91"/>
        <v>1.128668594272781E-5</v>
      </c>
      <c r="BN66">
        <f t="shared" si="92"/>
        <v>0.20442887308606486</v>
      </c>
      <c r="BO66" s="147">
        <f t="shared" si="58"/>
        <v>204.42887308606487</v>
      </c>
      <c r="BP66" s="153">
        <f t="shared" si="93"/>
        <v>0.17231997799693746</v>
      </c>
      <c r="BQ66" s="153">
        <f t="shared" si="94"/>
        <v>2.5540239272045524E-2</v>
      </c>
      <c r="BR66" s="463"/>
      <c r="BT66" s="147">
        <f t="shared" si="59"/>
        <v>197.86021726898298</v>
      </c>
      <c r="BU66" s="463">
        <f t="shared" si="43"/>
        <v>8.5698496943082861E-2</v>
      </c>
      <c r="BV66" s="463">
        <f t="shared" si="60"/>
        <v>6.939722394907144E-2</v>
      </c>
      <c r="BW66" s="463">
        <f t="shared" si="95"/>
        <v>7.3240813875835196E-4</v>
      </c>
      <c r="BX66" s="463">
        <f t="shared" si="45"/>
        <v>0</v>
      </c>
      <c r="BY66" s="463">
        <f t="shared" si="96"/>
        <v>0.17673067332798809</v>
      </c>
      <c r="BZ66" s="463">
        <f t="shared" si="61"/>
        <v>0.15582812903091264</v>
      </c>
      <c r="CA66" s="549">
        <f t="shared" si="97"/>
        <v>0.6853086419753085</v>
      </c>
      <c r="CB66" s="147">
        <f t="shared" si="62"/>
        <v>862.03931530329658</v>
      </c>
      <c r="CC66" s="153">
        <f t="shared" si="63"/>
        <v>1.2643284056583444</v>
      </c>
      <c r="CD66" s="5">
        <f t="shared" si="64"/>
        <v>5.5510000000000002</v>
      </c>
      <c r="CE66" s="153">
        <f t="shared" si="65"/>
        <v>0.81448753010806485</v>
      </c>
      <c r="CF66" s="5">
        <f t="shared" si="66"/>
        <v>81.448753010806485</v>
      </c>
      <c r="CG66">
        <f t="shared" si="102"/>
        <v>61</v>
      </c>
      <c r="CI66" s="59">
        <f t="shared" si="98"/>
        <v>-50</v>
      </c>
      <c r="CJ66">
        <f t="shared" si="99"/>
        <v>-50</v>
      </c>
    </row>
    <row r="67" spans="5:88" x14ac:dyDescent="0.25">
      <c r="E67" s="150">
        <v>62</v>
      </c>
      <c r="F67" s="191">
        <f t="shared" si="103"/>
        <v>0.31</v>
      </c>
      <c r="G67" s="191">
        <f t="shared" si="100"/>
        <v>6.2E-2</v>
      </c>
      <c r="H67" s="191">
        <f t="shared" si="70"/>
        <v>4.6500000000000004</v>
      </c>
      <c r="I67" s="191">
        <f t="shared" si="104"/>
        <v>0.99199999999999999</v>
      </c>
      <c r="J67" s="472">
        <f t="shared" si="1"/>
        <v>11.1</v>
      </c>
      <c r="K67" s="386">
        <f t="shared" si="2"/>
        <v>7.66</v>
      </c>
      <c r="L67" s="386">
        <f t="shared" si="3"/>
        <v>18.759999999999998</v>
      </c>
      <c r="M67" s="386"/>
      <c r="N67" s="191">
        <f t="shared" si="4"/>
        <v>0.40831556503198302</v>
      </c>
      <c r="O67" s="152">
        <f t="shared" si="101"/>
        <v>6.8918395170927162</v>
      </c>
      <c r="P67" s="152">
        <f t="shared" si="71"/>
        <v>1.7839143710021326</v>
      </c>
      <c r="Q67" s="191">
        <f t="shared" si="6"/>
        <v>0.45945596780618109</v>
      </c>
      <c r="R67" s="191">
        <f t="shared" si="72"/>
        <v>0.43073996981829477</v>
      </c>
      <c r="S67" s="386">
        <f t="shared" si="73"/>
        <v>15</v>
      </c>
      <c r="T67" s="191">
        <f t="shared" si="74"/>
        <v>2.7663151402054789</v>
      </c>
      <c r="U67" s="191">
        <f t="shared" si="10"/>
        <v>2.2429582217882262</v>
      </c>
      <c r="V67" s="191">
        <f t="shared" si="11"/>
        <v>3.2502397208680556</v>
      </c>
      <c r="W67" s="175">
        <f t="shared" si="12"/>
        <v>350</v>
      </c>
      <c r="X67" s="386">
        <f t="shared" si="52"/>
        <v>182.04332165690022</v>
      </c>
      <c r="Z67" s="191">
        <f t="shared" si="13"/>
        <v>1.4388262767793685</v>
      </c>
      <c r="AA67" s="153">
        <f t="shared" si="14"/>
        <v>1.6905269570514774</v>
      </c>
      <c r="AB67" s="153">
        <f t="shared" si="75"/>
        <v>0.21283277814833412</v>
      </c>
      <c r="AC67" s="153"/>
      <c r="AD67" s="153">
        <f t="shared" si="16"/>
        <v>0.96344647519582249</v>
      </c>
      <c r="AE67" s="317">
        <f t="shared" si="76"/>
        <v>1569.5683786106156</v>
      </c>
      <c r="AF67" s="463">
        <f t="shared" si="77"/>
        <v>6.9127284595300251E-2</v>
      </c>
      <c r="AH67" s="153">
        <f t="shared" si="78"/>
        <v>1.8926759422104522</v>
      </c>
      <c r="AI67" s="153">
        <f t="shared" si="79"/>
        <v>2.7663151402054789</v>
      </c>
      <c r="AJ67" s="153">
        <f t="shared" si="80"/>
        <v>2.6417149186707252</v>
      </c>
      <c r="AL67" s="317">
        <f t="shared" si="81"/>
        <v>310</v>
      </c>
      <c r="AM67" s="147">
        <f t="shared" si="82"/>
        <v>182.04332165690022</v>
      </c>
      <c r="AO67">
        <f t="shared" si="53"/>
        <v>310</v>
      </c>
      <c r="AP67">
        <f t="shared" si="24"/>
        <v>182.04332165690022</v>
      </c>
      <c r="AR67" s="5">
        <f t="shared" si="54"/>
        <v>5.4931979426562823</v>
      </c>
      <c r="AS67" s="5">
        <f t="shared" si="25"/>
        <v>2.2429582217882262</v>
      </c>
      <c r="AT67" s="5">
        <f t="shared" si="55"/>
        <v>3.250239720868056</v>
      </c>
      <c r="AU67" s="153">
        <f t="shared" si="56"/>
        <v>0.40831556503198296</v>
      </c>
      <c r="AW67" s="5">
        <f t="shared" si="83"/>
        <v>11.33051538024511</v>
      </c>
      <c r="AX67" s="5">
        <f t="shared" si="84"/>
        <v>7.4631751682493306</v>
      </c>
      <c r="AY67" s="5">
        <f t="shared" si="85"/>
        <v>0.45203804398448061</v>
      </c>
      <c r="AZ67" s="5">
        <f t="shared" si="86"/>
        <v>1.3877339935100674</v>
      </c>
      <c r="BA67" s="5">
        <f t="shared" si="87"/>
        <v>3.3074249934867428</v>
      </c>
      <c r="BB67" s="147">
        <f t="shared" si="88"/>
        <v>85.131606629982585</v>
      </c>
      <c r="BC67" s="5"/>
      <c r="BD67" s="153">
        <f t="shared" si="57"/>
        <v>1.0205610611891722</v>
      </c>
      <c r="BE67" s="153">
        <f t="shared" si="89"/>
        <v>0.61426547030330936</v>
      </c>
      <c r="BF67" s="153">
        <f t="shared" si="90"/>
        <v>0.12301368634047974</v>
      </c>
      <c r="BG67" s="153"/>
      <c r="BH67" s="463">
        <f t="shared" si="34"/>
        <v>0.11456993675771263</v>
      </c>
      <c r="BI67" s="463">
        <f t="shared" si="35"/>
        <v>4.723666666666667E-2</v>
      </c>
      <c r="BJ67" s="463">
        <f t="shared" si="36"/>
        <v>9.1021660828450104E-3</v>
      </c>
      <c r="BK67" s="463">
        <f t="shared" si="37"/>
        <v>1.441527518699043E-2</v>
      </c>
      <c r="BL67">
        <f t="shared" si="38"/>
        <v>3.2190000000000001E-3</v>
      </c>
      <c r="BM67">
        <f t="shared" si="91"/>
        <v>1.1104642621070913E-5</v>
      </c>
      <c r="BN67">
        <f t="shared" si="92"/>
        <v>0.20842684950237172</v>
      </c>
      <c r="BO67" s="147">
        <f t="shared" si="58"/>
        <v>208.42684950237174</v>
      </c>
      <c r="BP67" s="153">
        <f t="shared" si="93"/>
        <v>0.17607481199146133</v>
      </c>
      <c r="BQ67" s="153">
        <f t="shared" si="94"/>
        <v>2.5996225681736901E-2</v>
      </c>
      <c r="BR67" s="463"/>
      <c r="BT67" s="147">
        <f t="shared" si="59"/>
        <v>202.07103767319822</v>
      </c>
      <c r="BU67" s="463">
        <f t="shared" si="43"/>
        <v>8.8531314767323399E-2</v>
      </c>
      <c r="BV67" s="463">
        <f t="shared" si="60"/>
        <v>7.1691192921319716E-2</v>
      </c>
      <c r="BW67" s="463">
        <f t="shared" si="95"/>
        <v>7.566183513536966E-4</v>
      </c>
      <c r="BX67" s="463">
        <f t="shared" si="45"/>
        <v>0</v>
      </c>
      <c r="BY67" s="463">
        <f t="shared" si="96"/>
        <v>0.18264883312711871</v>
      </c>
      <c r="BZ67" s="463">
        <f t="shared" si="61"/>
        <v>0.16097912603999678</v>
      </c>
      <c r="CA67" s="549">
        <f t="shared" si="97"/>
        <v>0.69654320987654317</v>
      </c>
      <c r="CB67" s="147">
        <f t="shared" si="62"/>
        <v>879.19204300366198</v>
      </c>
      <c r="CC67" s="153">
        <f t="shared" si="63"/>
        <v>1.2896899301792317</v>
      </c>
      <c r="CD67" s="5">
        <f t="shared" si="64"/>
        <v>5.6420000000000003</v>
      </c>
      <c r="CE67" s="153">
        <f t="shared" si="65"/>
        <v>0.81394292832341331</v>
      </c>
      <c r="CF67" s="5">
        <f t="shared" si="66"/>
        <v>81.394292832341335</v>
      </c>
      <c r="CG67">
        <f t="shared" si="102"/>
        <v>62</v>
      </c>
      <c r="CI67" s="59">
        <f t="shared" si="98"/>
        <v>-50</v>
      </c>
      <c r="CJ67">
        <f t="shared" si="99"/>
        <v>-50</v>
      </c>
    </row>
    <row r="68" spans="5:88" x14ac:dyDescent="0.25">
      <c r="E68" s="150">
        <v>63</v>
      </c>
      <c r="F68" s="191">
        <f t="shared" si="103"/>
        <v>0.315</v>
      </c>
      <c r="G68" s="191">
        <f t="shared" si="100"/>
        <v>6.3E-2</v>
      </c>
      <c r="H68" s="191">
        <f t="shared" si="70"/>
        <v>4.7249999999999996</v>
      </c>
      <c r="I68" s="191">
        <f t="shared" si="104"/>
        <v>1.008</v>
      </c>
      <c r="J68" s="472">
        <f t="shared" si="1"/>
        <v>11.1</v>
      </c>
      <c r="K68" s="386">
        <f t="shared" si="2"/>
        <v>7.66</v>
      </c>
      <c r="L68" s="386">
        <f t="shared" si="3"/>
        <v>18.759999999999998</v>
      </c>
      <c r="M68" s="386"/>
      <c r="N68" s="191">
        <f t="shared" si="4"/>
        <v>0.40831556503198302</v>
      </c>
      <c r="O68" s="152">
        <f t="shared" si="101"/>
        <v>6.8918395170927162</v>
      </c>
      <c r="P68" s="152">
        <f t="shared" si="71"/>
        <v>1.7839143710021326</v>
      </c>
      <c r="Q68" s="191">
        <f t="shared" si="6"/>
        <v>0.45945596780618109</v>
      </c>
      <c r="R68" s="191">
        <f t="shared" si="72"/>
        <v>0.43073996981829477</v>
      </c>
      <c r="S68" s="386">
        <f t="shared" si="73"/>
        <v>15</v>
      </c>
      <c r="T68" s="191">
        <f t="shared" si="74"/>
        <v>2.810933126337825</v>
      </c>
      <c r="U68" s="191">
        <f t="shared" si="10"/>
        <v>2.2791349673009398</v>
      </c>
      <c r="V68" s="191">
        <f t="shared" si="11"/>
        <v>3.3026629421723794</v>
      </c>
      <c r="W68" s="175">
        <f t="shared" si="12"/>
        <v>350</v>
      </c>
      <c r="X68" s="386">
        <f t="shared" si="52"/>
        <v>179.15374512266365</v>
      </c>
      <c r="Z68" s="191">
        <f t="shared" si="13"/>
        <v>1.4388262767793685</v>
      </c>
      <c r="AA68" s="153">
        <f t="shared" si="14"/>
        <v>1.6905269570514774</v>
      </c>
      <c r="AB68" s="153">
        <f t="shared" si="75"/>
        <v>0.21283277814833412</v>
      </c>
      <c r="AC68" s="153"/>
      <c r="AD68" s="153">
        <f t="shared" si="16"/>
        <v>0.96344647519582249</v>
      </c>
      <c r="AE68" s="317">
        <f t="shared" si="76"/>
        <v>1594.8839976204642</v>
      </c>
      <c r="AF68" s="463">
        <f t="shared" si="77"/>
        <v>6.9127284595300251E-2</v>
      </c>
      <c r="AH68" s="153">
        <f t="shared" si="78"/>
        <v>1.9078784028338913</v>
      </c>
      <c r="AI68" s="153">
        <f t="shared" si="79"/>
        <v>2.810933126337825</v>
      </c>
      <c r="AJ68" s="153">
        <f t="shared" si="80"/>
        <v>2.674765278768759</v>
      </c>
      <c r="AL68" s="317">
        <f t="shared" si="81"/>
        <v>315</v>
      </c>
      <c r="AM68" s="147">
        <f t="shared" si="82"/>
        <v>179.15374512266365</v>
      </c>
      <c r="AO68">
        <f t="shared" si="53"/>
        <v>315</v>
      </c>
      <c r="AP68">
        <f t="shared" si="24"/>
        <v>179.15374512266365</v>
      </c>
      <c r="AR68" s="5">
        <f t="shared" si="54"/>
        <v>5.5817979094733197</v>
      </c>
      <c r="AS68" s="5">
        <f t="shared" si="25"/>
        <v>2.2791349673009398</v>
      </c>
      <c r="AT68" s="5">
        <f t="shared" si="55"/>
        <v>3.3026629421723799</v>
      </c>
      <c r="AU68" s="153">
        <f t="shared" si="56"/>
        <v>0.40831556503198296</v>
      </c>
      <c r="AW68" s="5">
        <f t="shared" si="83"/>
        <v>11.33051538024511</v>
      </c>
      <c r="AX68" s="5">
        <f t="shared" si="84"/>
        <v>7.6906223316289282</v>
      </c>
      <c r="AY68" s="5">
        <f t="shared" si="85"/>
        <v>0.45203804398448061</v>
      </c>
      <c r="AZ68" s="5">
        <f t="shared" si="86"/>
        <v>1.4308283611450205</v>
      </c>
      <c r="BA68" s="5">
        <f t="shared" si="87"/>
        <v>3.4149765346381065</v>
      </c>
      <c r="BB68" s="147">
        <f t="shared" si="88"/>
        <v>87.872166018173871</v>
      </c>
      <c r="BC68" s="5"/>
      <c r="BD68" s="153">
        <f t="shared" si="57"/>
        <v>1.0370217234664167</v>
      </c>
      <c r="BE68" s="153">
        <f t="shared" si="89"/>
        <v>0.62417297788884651</v>
      </c>
      <c r="BF68" s="153">
        <f t="shared" si="90"/>
        <v>0.12499777805564875</v>
      </c>
      <c r="BG68" s="153"/>
      <c r="BH68" s="463">
        <f t="shared" si="34"/>
        <v>0.11829554604353831</v>
      </c>
      <c r="BI68" s="463">
        <f t="shared" si="35"/>
        <v>4.7236666666666642E-2</v>
      </c>
      <c r="BJ68" s="463">
        <f t="shared" si="36"/>
        <v>8.9576872561331813E-3</v>
      </c>
      <c r="BK68" s="463">
        <f t="shared" si="37"/>
        <v>1.4186461295133436E-2</v>
      </c>
      <c r="BL68">
        <f t="shared" si="38"/>
        <v>3.2190000000000001E-3</v>
      </c>
      <c r="BM68">
        <f t="shared" si="91"/>
        <v>1.0928378452482483E-5</v>
      </c>
      <c r="BN68">
        <f t="shared" si="92"/>
        <v>0.21251442800673984</v>
      </c>
      <c r="BO68" s="147">
        <f t="shared" si="58"/>
        <v>212.51442800673985</v>
      </c>
      <c r="BP68" s="153">
        <f t="shared" si="93"/>
        <v>0.17985964328670917</v>
      </c>
      <c r="BQ68" s="153">
        <f t="shared" si="94"/>
        <v>2.6453415122480159E-2</v>
      </c>
      <c r="BR68" s="463"/>
      <c r="BT68" s="147">
        <f t="shared" si="59"/>
        <v>206.31305840918935</v>
      </c>
      <c r="BU68" s="463">
        <f t="shared" si="43"/>
        <v>9.1410194670006883E-2</v>
      </c>
      <c r="BV68" s="463">
        <f t="shared" si="60"/>
        <v>7.4022462202059797E-2</v>
      </c>
      <c r="BW68" s="463">
        <f t="shared" si="95"/>
        <v>7.8122222594246128E-4</v>
      </c>
      <c r="BX68" s="463">
        <f t="shared" si="45"/>
        <v>0</v>
      </c>
      <c r="BY68" s="463">
        <f t="shared" si="96"/>
        <v>0.18866828762569388</v>
      </c>
      <c r="BZ68" s="463">
        <f t="shared" si="61"/>
        <v>0.16621387909800914</v>
      </c>
      <c r="CA68" s="549">
        <f t="shared" si="97"/>
        <v>0.70777777777777728</v>
      </c>
      <c r="CB68" s="147">
        <f t="shared" si="62"/>
        <v>896.44606540347115</v>
      </c>
      <c r="CC68" s="153">
        <f t="shared" si="63"/>
        <v>1.3152735518194003</v>
      </c>
      <c r="CD68" s="5">
        <f t="shared" si="64"/>
        <v>5.7329999999999997</v>
      </c>
      <c r="CE68" s="153">
        <f t="shared" si="65"/>
        <v>0.81339067756814243</v>
      </c>
      <c r="CF68" s="5">
        <f t="shared" si="66"/>
        <v>81.339067756814245</v>
      </c>
      <c r="CG68">
        <f t="shared" si="102"/>
        <v>63</v>
      </c>
      <c r="CI68" s="59">
        <f t="shared" si="98"/>
        <v>-50</v>
      </c>
      <c r="CJ68">
        <f t="shared" si="99"/>
        <v>-50</v>
      </c>
    </row>
    <row r="69" spans="5:88" x14ac:dyDescent="0.25">
      <c r="E69" s="150">
        <v>64</v>
      </c>
      <c r="F69" s="191">
        <f t="shared" si="103"/>
        <v>0.32</v>
      </c>
      <c r="G69" s="191">
        <f t="shared" si="100"/>
        <v>6.4000000000000001E-2</v>
      </c>
      <c r="H69" s="191">
        <f t="shared" ref="H69:H105" si="105">F69*Vout</f>
        <v>4.8</v>
      </c>
      <c r="I69" s="191">
        <f t="shared" si="104"/>
        <v>1.024</v>
      </c>
      <c r="J69" s="472">
        <f t="shared" ref="J69:J105" si="106">Vin</f>
        <v>11.1</v>
      </c>
      <c r="K69" s="386">
        <f t="shared" ref="K69:K105" si="107">(S69+Vfwd1)*Nps</f>
        <v>7.66</v>
      </c>
      <c r="L69" s="386">
        <f t="shared" ref="L69:L105" si="108">(Vout+Vfwd1)*Nps+J69</f>
        <v>18.759999999999998</v>
      </c>
      <c r="M69" s="386"/>
      <c r="N69" s="191">
        <f t="shared" ref="N69:N105" si="109">(Vout+Vfwd1)*Nps/((Vout+Vfwd1)*Nps+J69)</f>
        <v>0.40831556503198302</v>
      </c>
      <c r="O69" s="152">
        <f t="shared" si="101"/>
        <v>6.8918395170927162</v>
      </c>
      <c r="P69" s="152">
        <f t="shared" ref="P69:P105" si="110">N69*J69*Isw_max*0.5*Efficiency*(Pout2/Pout_total)</f>
        <v>1.7839143710021326</v>
      </c>
      <c r="Q69" s="191">
        <f t="shared" ref="Q69:Q105" si="111">O69/Vout</f>
        <v>0.45945596780618109</v>
      </c>
      <c r="R69" s="191">
        <f t="shared" ref="R69:R105" si="112">O69/Vout2</f>
        <v>0.43073996981829477</v>
      </c>
      <c r="S69" s="386">
        <f t="shared" ref="S69:S105" si="113">MIN(Vout,O69/F69)</f>
        <v>15</v>
      </c>
      <c r="T69" s="191">
        <f t="shared" ref="T69:T105" si="114">MIN(2*(Vout*F69+Vout2*G69)/(Efficiency*J69*N69), Isw_max)</f>
        <v>2.8555511124701716</v>
      </c>
      <c r="U69" s="191">
        <f t="shared" ref="U69:U105" si="115">L*T69/J69*1000000</f>
        <v>2.3153117128136529</v>
      </c>
      <c r="V69" s="191">
        <f t="shared" ref="V69:V105" si="116">L*T69/K69*1000000</f>
        <v>3.3550861634767029</v>
      </c>
      <c r="W69" s="175">
        <f t="shared" ref="W69:W105" si="117">IF(1/((350000*L)*(1/J69+1/K69))&gt;Isw_min, 350, 0.001/((Isw_min*L)*(1/J69+1/K69)))</f>
        <v>350</v>
      </c>
      <c r="X69" s="386">
        <f t="shared" si="52"/>
        <v>176.35446785512207</v>
      </c>
      <c r="Z69" s="191">
        <f t="shared" ref="Z69:Z105" si="118">1/((W69*1000*L)*(1/J69+1/K69))</f>
        <v>1.4388262767793685</v>
      </c>
      <c r="AA69" s="153">
        <f t="shared" ref="AA69:AA105" si="119">L*Z69/K69*1000000</f>
        <v>1.6905269570514774</v>
      </c>
      <c r="AB69" s="153">
        <f t="shared" ref="AB69:AB100" si="120">0.5*AA69*Z69*Nps*W69/1000*(Pout/Pout_total)</f>
        <v>0.21283277814833412</v>
      </c>
      <c r="AC69" s="153"/>
      <c r="AD69" s="153">
        <f t="shared" ref="AD69:AD105" si="121">L*Isw_min/K69*1000000</f>
        <v>0.96344647519582249</v>
      </c>
      <c r="AE69" s="317">
        <f t="shared" ref="AE69:AE100" si="122">MAX(10, F69/(0.5*AD69/1000000*Isw_min*Nps)/1000*Pout_total/Pout)</f>
        <v>1620.1996166303127</v>
      </c>
      <c r="AF69" s="463">
        <f t="shared" ref="AF69:AF105" si="123">0.5*AD69/1000000*Isw_min*Nps*W69*1000*(Pout/Pout_total)</f>
        <v>6.9127284595300251E-2</v>
      </c>
      <c r="AH69" s="153">
        <f t="shared" ref="AH69:AH105" si="124">SQRT((H69+I69)/(0.5*L*Fsw_DCM))</f>
        <v>1.9229606802474608</v>
      </c>
      <c r="AI69" s="153">
        <f t="shared" ref="AI69:AI100" si="125">MAX(IF(F69&gt;AB69,T69,AH69),Isw_min)</f>
        <v>2.8555511124701716</v>
      </c>
      <c r="AJ69" s="153">
        <f t="shared" ref="AJ69:AJ100" si="126">IF(F69&gt;AF69, (AI69-Isw_min)/1.08*0.8+1.2, AE69*0.2/350+1)</f>
        <v>2.7078156388667942</v>
      </c>
      <c r="AL69" s="317">
        <f t="shared" ref="AL69:AL105" si="127">F69*1000</f>
        <v>320</v>
      </c>
      <c r="AM69" s="147">
        <f t="shared" ref="AM69:AM105" si="128">IF(F69&gt;AF69, X69, AE69)</f>
        <v>176.35446785512207</v>
      </c>
      <c r="AO69">
        <f t="shared" si="53"/>
        <v>320</v>
      </c>
      <c r="AP69">
        <f t="shared" ref="AP69:AP105" si="129">IF(H69&gt;O69, "",AM69)</f>
        <v>176.35446785512207</v>
      </c>
      <c r="AR69" s="5">
        <f t="shared" si="54"/>
        <v>5.6703978762903562</v>
      </c>
      <c r="AS69" s="5">
        <f t="shared" ref="AS69:AS105" si="130">L*AI69/J69*1000000</f>
        <v>2.3153117128136529</v>
      </c>
      <c r="AT69" s="5">
        <f t="shared" si="55"/>
        <v>3.3550861634767033</v>
      </c>
      <c r="AU69" s="153">
        <f t="shared" si="56"/>
        <v>0.40831556503198296</v>
      </c>
      <c r="AW69" s="5">
        <f t="shared" ref="AW69:AW105" si="131">L*Iout^2/(2*Vripple1_spec*Vout*Npri_sec1^2)*1000000000*((1+N69)/(1-N69))^2</f>
        <v>11.33051538024511</v>
      </c>
      <c r="AX69" s="5">
        <f t="shared" ref="AX69:AX105" si="132">L*F69^2/(2*Cout*Vout*Nps^2)*1000000000*((1+N69)/(1-N69))^2+F69*RCoutEsr</f>
        <v>7.9214686496225966</v>
      </c>
      <c r="AY69" s="5">
        <f t="shared" ref="AY69:AY105" si="133">L*Iout2^2/(2*Vripple2_spec*Vout2*Npri_sec2^2)*1000000000*((1+N69)/(1-N69))^2</f>
        <v>0.45203804398448061</v>
      </c>
      <c r="AZ69" s="5">
        <f t="shared" ref="AZ69:AZ105" si="134">L*G69^2/(2*Cout2*Vout2*Npri_sec2^2)*1000000000*((1+N69)/(1-N69))^2+G69*CoutEsr2</f>
        <v>1.4745802386621323</v>
      </c>
      <c r="BA69" s="5">
        <f t="shared" ref="BA69:BA105" si="135">(H69+I69)/Efficiency/J69*AT69/Vinripple1</f>
        <v>3.5242489004478927</v>
      </c>
      <c r="BB69" s="147">
        <f t="shared" ref="BB69:BB105" si="136">((CD69/J69/Efficiency)*AT69/Cin+(CD69/J69/Efficiency)*RCinEsr)*1000</f>
        <v>90.656137119338965</v>
      </c>
      <c r="BC69" s="5"/>
      <c r="BD69" s="153">
        <f t="shared" si="57"/>
        <v>1.0534823857436615</v>
      </c>
      <c r="BE69" s="153">
        <f t="shared" ref="BE69:BE105" si="137">AI69*Npri_sec1*SQRT((1-AU69)/3)*(Pout/Pout_total)</f>
        <v>0.63408048547438378</v>
      </c>
      <c r="BF69" s="153">
        <f t="shared" ref="BF69:BF105" si="138">AI69*Npri_sec2*SQRT((1-AU69)/3)*(Pout2/Pout_total)</f>
        <v>0.12698186977081777</v>
      </c>
      <c r="BG69" s="153"/>
      <c r="BH69" s="463">
        <f t="shared" ref="BH69:BH105" si="139">Rdson*BD69^2</f>
        <v>0.12208076507793725</v>
      </c>
      <c r="BI69" s="463">
        <f t="shared" ref="BI69:BI105" si="140">0.5*L69*AI69*AM69*1000*Trise</f>
        <v>4.7236666666666663E-2</v>
      </c>
      <c r="BJ69" s="463">
        <f t="shared" ref="BJ69:BJ105" si="141">Qg*Vdd*AM69*1000</f>
        <v>8.8177233927561032E-3</v>
      </c>
      <c r="BK69" s="463">
        <f t="shared" ref="BK69:BK105" si="142">0.5*(Coss+Csw)*L69^2*AM69*1000</f>
        <v>1.3964797837396977E-2</v>
      </c>
      <c r="BL69">
        <f t="shared" ref="BL69:BL105" si="143">J69*IQ</f>
        <v>3.2190000000000001E-3</v>
      </c>
      <c r="BM69">
        <f t="shared" ref="BM69:BM105" si="144">(J69-Vdd)*Qg*AM69</f>
        <v>1.0757622539162446E-5</v>
      </c>
      <c r="BN69">
        <f t="shared" ref="BN69:BN100" si="145">(BI69+BJ69+BK69+BL69+BM69+BH69*(1+RdsonTC*(Ta-25)))/(1-BH69*RdsonTC*ThetaJA)</f>
        <v>0.21669134839563181</v>
      </c>
      <c r="BO69" s="147">
        <f t="shared" si="58"/>
        <v>216.69134839563182</v>
      </c>
      <c r="BP69" s="153">
        <f t="shared" ref="BP69:BP105" si="146">(Vfwd2*F69+BE69^2*Rdiode)*(1+Diode_TC/1000*(Ta-25))</f>
        <v>0.18367447188268096</v>
      </c>
      <c r="BQ69" s="153">
        <f t="shared" ref="BQ69:BQ105" si="147">(Vfwd2*G69+BF69^2*Rdiode)*(1+Diode_TC/1000*(Ta-25))</f>
        <v>2.6911807594275319E-2</v>
      </c>
      <c r="BR69" s="463"/>
      <c r="BT69" s="147">
        <f t="shared" si="59"/>
        <v>210.58627947695629</v>
      </c>
      <c r="BU69" s="463">
        <f t="shared" ref="BU69:BU105" si="148">Rdcr_pri*BD69^2</f>
        <v>9.4335136651133328E-2</v>
      </c>
      <c r="BV69" s="463">
        <f t="shared" ref="BV69:BV105" si="149">Rdcr_sec*BE69^2</f>
        <v>7.6391031791291739E-2</v>
      </c>
      <c r="BW69" s="463">
        <f t="shared" ref="BW69:BW105" si="150">Rdcr_sec2*BF69^2</f>
        <v>8.0621976252464624E-4</v>
      </c>
      <c r="BX69" s="463">
        <f t="shared" ref="BX69:BX105" si="151">AI69^2.5*AM69^2.5*k_core</f>
        <v>0</v>
      </c>
      <c r="BY69" s="463">
        <f t="shared" ref="BY69:BY100" si="152">(BX69+(BU69+BV69+BW69)*(1+Ltc*(Ta-25)))/(1-(BU69+BV69+BW69)*Ltc*ThetaCa)</f>
        <v>0.19478928853832139</v>
      </c>
      <c r="BZ69" s="463">
        <f t="shared" si="61"/>
        <v>0.1715323882049497</v>
      </c>
      <c r="CA69" s="549">
        <f t="shared" ref="CA69:CA105" si="153">0.5*Lleak*0.000000001*AI69^2*AM69*1000</f>
        <v>0.71901234567901207</v>
      </c>
      <c r="CB69" s="147">
        <f t="shared" si="62"/>
        <v>913.80163421733346</v>
      </c>
      <c r="CC69" s="153">
        <f t="shared" si="63"/>
        <v>1.3410792620899215</v>
      </c>
      <c r="CD69" s="5">
        <f t="shared" si="64"/>
        <v>5.8239999999999998</v>
      </c>
      <c r="CE69" s="153">
        <f t="shared" si="65"/>
        <v>0.81283120353106131</v>
      </c>
      <c r="CF69" s="5">
        <f t="shared" si="66"/>
        <v>81.283120353106128</v>
      </c>
      <c r="CG69">
        <f t="shared" si="102"/>
        <v>64</v>
      </c>
      <c r="CI69" s="59">
        <f t="shared" ref="CI69:CI105" si="154">IF(ABS(F69-Ioutmax_Vinnom)&lt;Iout/200, AM69, -50)</f>
        <v>-50</v>
      </c>
      <c r="CJ69">
        <f t="shared" ref="CJ69:CJ105" si="155">IF(ABS(F69-Ioutmax_Vinnom)&lt;Iout/200, (O69+P69)*CE69, -50)</f>
        <v>-50</v>
      </c>
    </row>
    <row r="70" spans="5:88" x14ac:dyDescent="0.25">
      <c r="E70" s="150">
        <v>65</v>
      </c>
      <c r="F70" s="191">
        <f t="shared" si="103"/>
        <v>0.32500000000000001</v>
      </c>
      <c r="G70" s="191">
        <f t="shared" ref="G70:G105" si="156">IF(PLOT_TYPE=1, E70/100*Iout2, min_I*EXP(Q70*rr/100))</f>
        <v>6.5000000000000002E-2</v>
      </c>
      <c r="H70" s="191">
        <f t="shared" si="105"/>
        <v>4.875</v>
      </c>
      <c r="I70" s="191">
        <f t="shared" si="104"/>
        <v>1.04</v>
      </c>
      <c r="J70" s="472">
        <f t="shared" si="106"/>
        <v>11.1</v>
      </c>
      <c r="K70" s="386">
        <f t="shared" si="107"/>
        <v>7.66</v>
      </c>
      <c r="L70" s="386">
        <f t="shared" si="108"/>
        <v>18.759999999999998</v>
      </c>
      <c r="M70" s="386"/>
      <c r="N70" s="191">
        <f t="shared" si="109"/>
        <v>0.40831556503198302</v>
      </c>
      <c r="O70" s="152">
        <f t="shared" ref="O70:O101" si="157">N70*J70*Isw_max*0.5*Efficiency*Pout/(Pout+Pout2)</f>
        <v>6.8918395170927162</v>
      </c>
      <c r="P70" s="152">
        <f t="shared" si="110"/>
        <v>1.7839143710021326</v>
      </c>
      <c r="Q70" s="191">
        <f t="shared" si="111"/>
        <v>0.45945596780618109</v>
      </c>
      <c r="R70" s="191">
        <f t="shared" si="112"/>
        <v>0.43073996981829477</v>
      </c>
      <c r="S70" s="386">
        <f t="shared" si="113"/>
        <v>15</v>
      </c>
      <c r="T70" s="191">
        <f t="shared" si="114"/>
        <v>2.9001690986025181</v>
      </c>
      <c r="U70" s="191">
        <f t="shared" si="115"/>
        <v>2.351488458326366</v>
      </c>
      <c r="V70" s="191">
        <f t="shared" si="116"/>
        <v>3.4075093847810267</v>
      </c>
      <c r="W70" s="175">
        <f t="shared" si="117"/>
        <v>350</v>
      </c>
      <c r="X70" s="386">
        <f t="shared" ref="X70:X105" si="158">MIN(1/(U70+V70)*1000, 350)</f>
        <v>173.64132219581248</v>
      </c>
      <c r="Z70" s="191">
        <f t="shared" si="118"/>
        <v>1.4388262767793685</v>
      </c>
      <c r="AA70" s="153">
        <f t="shared" si="119"/>
        <v>1.6905269570514774</v>
      </c>
      <c r="AB70" s="153">
        <f t="shared" si="120"/>
        <v>0.21283277814833412</v>
      </c>
      <c r="AC70" s="153"/>
      <c r="AD70" s="153">
        <f t="shared" si="121"/>
        <v>0.96344647519582249</v>
      </c>
      <c r="AE70" s="317">
        <f t="shared" si="122"/>
        <v>1645.5152356401616</v>
      </c>
      <c r="AF70" s="463">
        <f t="shared" si="123"/>
        <v>6.9127284595300251E-2</v>
      </c>
      <c r="AH70" s="153">
        <f t="shared" si="124"/>
        <v>1.9379255804998177</v>
      </c>
      <c r="AI70" s="153">
        <f t="shared" si="125"/>
        <v>2.9001690986025181</v>
      </c>
      <c r="AJ70" s="153">
        <f t="shared" si="126"/>
        <v>2.7408659989648285</v>
      </c>
      <c r="AL70" s="317">
        <f t="shared" si="127"/>
        <v>325</v>
      </c>
      <c r="AM70" s="147">
        <f t="shared" si="128"/>
        <v>173.64132219581248</v>
      </c>
      <c r="AO70">
        <f t="shared" ref="AO70:AO105" si="159">IF(H70&gt;O70, "",AL70)</f>
        <v>325</v>
      </c>
      <c r="AP70">
        <f t="shared" si="129"/>
        <v>173.64132219581248</v>
      </c>
      <c r="AR70" s="5">
        <f t="shared" ref="AR70:AR133" si="160">1/AM70*1000</f>
        <v>5.7589978431073927</v>
      </c>
      <c r="AS70" s="5">
        <f t="shared" si="130"/>
        <v>2.351488458326366</v>
      </c>
      <c r="AT70" s="5">
        <f t="shared" ref="AT70:AT105" si="161">AR70-AS70</f>
        <v>3.4075093847810267</v>
      </c>
      <c r="AU70" s="153">
        <f t="shared" ref="AU70:AU105" si="162">AS70/AR70</f>
        <v>0.40831556503198291</v>
      </c>
      <c r="AW70" s="5">
        <f t="shared" si="131"/>
        <v>11.33051538024511</v>
      </c>
      <c r="AX70" s="5">
        <f t="shared" si="132"/>
        <v>8.1557141222303411</v>
      </c>
      <c r="AY70" s="5">
        <f t="shared" si="133"/>
        <v>0.45203804398448061</v>
      </c>
      <c r="AZ70" s="5">
        <f t="shared" si="134"/>
        <v>1.518989626061404</v>
      </c>
      <c r="BA70" s="5">
        <f t="shared" si="135"/>
        <v>3.6352420909161003</v>
      </c>
      <c r="BB70" s="147">
        <f t="shared" si="136"/>
        <v>93.483519933477908</v>
      </c>
      <c r="BC70" s="5"/>
      <c r="BD70" s="153">
        <f t="shared" ref="BD70:BD105" si="163">AI70*SQRT(AU70/3)</f>
        <v>1.0699430480209065</v>
      </c>
      <c r="BE70" s="153">
        <f t="shared" si="137"/>
        <v>0.64398799305992105</v>
      </c>
      <c r="BF70" s="153">
        <f t="shared" si="138"/>
        <v>0.1289659614859868</v>
      </c>
      <c r="BG70" s="153"/>
      <c r="BH70" s="463">
        <f t="shared" si="139"/>
        <v>0.12592559386090946</v>
      </c>
      <c r="BI70" s="463">
        <f t="shared" si="140"/>
        <v>4.7236666666666649E-2</v>
      </c>
      <c r="BJ70" s="463">
        <f t="shared" si="141"/>
        <v>8.6820661097906232E-3</v>
      </c>
      <c r="BK70" s="463">
        <f t="shared" si="142"/>
        <v>1.3749954793744716E-2</v>
      </c>
      <c r="BL70">
        <f t="shared" si="143"/>
        <v>3.2190000000000001E-3</v>
      </c>
      <c r="BM70">
        <f t="shared" si="144"/>
        <v>1.0592120653944561E-5</v>
      </c>
      <c r="BN70">
        <f t="shared" si="145"/>
        <v>0.22095739192486802</v>
      </c>
      <c r="BO70" s="147">
        <f t="shared" ref="BO70:BO105" si="164">BN70*1000</f>
        <v>220.95739192486801</v>
      </c>
      <c r="BP70" s="153">
        <f t="shared" si="146"/>
        <v>0.1875192977793767</v>
      </c>
      <c r="BQ70" s="153">
        <f t="shared" si="147"/>
        <v>2.7371403097122368E-2</v>
      </c>
      <c r="BR70" s="463"/>
      <c r="BT70" s="147">
        <f t="shared" ref="BT70:BT105" si="165">SUM(BP70:BS70)*1000</f>
        <v>214.8907008764991</v>
      </c>
      <c r="BU70" s="463">
        <f t="shared" si="148"/>
        <v>9.730614071070276E-2</v>
      </c>
      <c r="BV70" s="463">
        <f t="shared" si="149"/>
        <v>7.8796901689015528E-2</v>
      </c>
      <c r="BW70" s="463">
        <f t="shared" si="150"/>
        <v>8.3161096110025146E-4</v>
      </c>
      <c r="BX70" s="463">
        <f t="shared" si="151"/>
        <v>0</v>
      </c>
      <c r="BY70" s="463">
        <f t="shared" si="152"/>
        <v>0.20101209215181393</v>
      </c>
      <c r="BZ70" s="463">
        <f t="shared" ref="BZ70:BZ133" si="166">SUM(BU70:BX70)</f>
        <v>0.17693465336081854</v>
      </c>
      <c r="CA70" s="549">
        <f t="shared" si="153"/>
        <v>0.73024691358024674</v>
      </c>
      <c r="CB70" s="147">
        <f t="shared" ref="CB70:CB105" si="167">(BY70+CA70)*1000</f>
        <v>931.2590057320607</v>
      </c>
      <c r="CC70" s="153">
        <f t="shared" ref="CC70:CC133" si="168">SUM(BN70,BP70:BS70,BY70, CA70)</f>
        <v>1.3671070985334277</v>
      </c>
      <c r="CD70" s="5">
        <f t="shared" ref="CD70:CD105" si="169">MIN(H70+I70,O70+P70)</f>
        <v>5.915</v>
      </c>
      <c r="CE70" s="153">
        <f t="shared" ref="CE70:CE105" si="170">CD70/(CD70+CC70)</f>
        <v>0.81226490079928171</v>
      </c>
      <c r="CF70" s="5">
        <f t="shared" ref="CF70:CF105" si="171">CE70*100</f>
        <v>81.226490079928169</v>
      </c>
      <c r="CG70">
        <f t="shared" ref="CG70:CG105" si="172">F70/Iout*100</f>
        <v>65</v>
      </c>
      <c r="CI70" s="59">
        <f t="shared" si="154"/>
        <v>-50</v>
      </c>
      <c r="CJ70">
        <f t="shared" si="155"/>
        <v>-50</v>
      </c>
    </row>
    <row r="71" spans="5:88" x14ac:dyDescent="0.25">
      <c r="E71" s="150">
        <v>66</v>
      </c>
      <c r="F71" s="191">
        <f t="shared" si="103"/>
        <v>0.33</v>
      </c>
      <c r="G71" s="191">
        <f t="shared" si="156"/>
        <v>6.6000000000000003E-2</v>
      </c>
      <c r="H71" s="191">
        <f t="shared" si="105"/>
        <v>4.95</v>
      </c>
      <c r="I71" s="191">
        <f t="shared" si="104"/>
        <v>1.056</v>
      </c>
      <c r="J71" s="472">
        <f t="shared" si="106"/>
        <v>11.1</v>
      </c>
      <c r="K71" s="386">
        <f t="shared" si="107"/>
        <v>7.66</v>
      </c>
      <c r="L71" s="386">
        <f t="shared" si="108"/>
        <v>18.759999999999998</v>
      </c>
      <c r="M71" s="386"/>
      <c r="N71" s="191">
        <f t="shared" si="109"/>
        <v>0.40831556503198302</v>
      </c>
      <c r="O71" s="152">
        <f t="shared" si="157"/>
        <v>6.8918395170927162</v>
      </c>
      <c r="P71" s="152">
        <f t="shared" si="110"/>
        <v>1.7839143710021326</v>
      </c>
      <c r="Q71" s="191">
        <f t="shared" si="111"/>
        <v>0.45945596780618109</v>
      </c>
      <c r="R71" s="191">
        <f t="shared" si="112"/>
        <v>0.43073996981829477</v>
      </c>
      <c r="S71" s="386">
        <f t="shared" si="113"/>
        <v>15</v>
      </c>
      <c r="T71" s="191">
        <f t="shared" si="114"/>
        <v>2.9447870847348647</v>
      </c>
      <c r="U71" s="191">
        <f t="shared" si="115"/>
        <v>2.3876652038390795</v>
      </c>
      <c r="V71" s="191">
        <f t="shared" si="116"/>
        <v>3.4599326060853501</v>
      </c>
      <c r="W71" s="175">
        <f t="shared" si="117"/>
        <v>350</v>
      </c>
      <c r="X71" s="386">
        <f t="shared" si="158"/>
        <v>171.0103930716335</v>
      </c>
      <c r="Z71" s="191">
        <f t="shared" si="118"/>
        <v>1.4388262767793685</v>
      </c>
      <c r="AA71" s="153">
        <f t="shared" si="119"/>
        <v>1.6905269570514774</v>
      </c>
      <c r="AB71" s="153">
        <f t="shared" si="120"/>
        <v>0.21283277814833412</v>
      </c>
      <c r="AC71" s="153"/>
      <c r="AD71" s="153">
        <f t="shared" si="121"/>
        <v>0.96344647519582249</v>
      </c>
      <c r="AE71" s="317">
        <f t="shared" si="122"/>
        <v>1670.83085465001</v>
      </c>
      <c r="AF71" s="463">
        <f t="shared" si="123"/>
        <v>6.9127284595300251E-2</v>
      </c>
      <c r="AH71" s="153">
        <f t="shared" si="124"/>
        <v>1.9527758021169079</v>
      </c>
      <c r="AI71" s="153">
        <f t="shared" si="125"/>
        <v>2.9447870847348647</v>
      </c>
      <c r="AJ71" s="153">
        <f t="shared" si="126"/>
        <v>2.7739163590628628</v>
      </c>
      <c r="AL71" s="317">
        <f t="shared" si="127"/>
        <v>330</v>
      </c>
      <c r="AM71" s="147">
        <f t="shared" si="128"/>
        <v>171.0103930716335</v>
      </c>
      <c r="AO71">
        <f t="shared" si="159"/>
        <v>330</v>
      </c>
      <c r="AP71">
        <f t="shared" si="129"/>
        <v>171.0103930716335</v>
      </c>
      <c r="AR71" s="5">
        <f t="shared" si="160"/>
        <v>5.8475978099244301</v>
      </c>
      <c r="AS71" s="5">
        <f t="shared" si="130"/>
        <v>2.3876652038390795</v>
      </c>
      <c r="AT71" s="5">
        <f t="shared" si="161"/>
        <v>3.4599326060853506</v>
      </c>
      <c r="AU71" s="153">
        <f t="shared" si="162"/>
        <v>0.40831556503198291</v>
      </c>
      <c r="AW71" s="5">
        <f t="shared" si="131"/>
        <v>11.33051538024511</v>
      </c>
      <c r="AX71" s="5">
        <f t="shared" si="132"/>
        <v>8.3933587494521564</v>
      </c>
      <c r="AY71" s="5">
        <f t="shared" si="133"/>
        <v>0.45203804398448061</v>
      </c>
      <c r="AZ71" s="5">
        <f t="shared" si="134"/>
        <v>1.5640565233428343</v>
      </c>
      <c r="BA71" s="5">
        <f t="shared" si="135"/>
        <v>3.74795610604273</v>
      </c>
      <c r="BB71" s="147">
        <f t="shared" si="136"/>
        <v>96.354314460590658</v>
      </c>
      <c r="BC71" s="5"/>
      <c r="BD71" s="153">
        <f t="shared" si="163"/>
        <v>1.0864037102981512</v>
      </c>
      <c r="BE71" s="153">
        <f t="shared" si="137"/>
        <v>0.65389550064545832</v>
      </c>
      <c r="BF71" s="153">
        <f t="shared" si="138"/>
        <v>0.13095005320115585</v>
      </c>
      <c r="BG71" s="153"/>
      <c r="BH71" s="463">
        <f t="shared" si="139"/>
        <v>0.1298300323924548</v>
      </c>
      <c r="BI71" s="463">
        <f t="shared" si="140"/>
        <v>4.7236666666666663E-2</v>
      </c>
      <c r="BJ71" s="463">
        <f t="shared" si="141"/>
        <v>8.5505196535816744E-3</v>
      </c>
      <c r="BK71" s="463">
        <f t="shared" si="142"/>
        <v>1.3541622145354645E-2</v>
      </c>
      <c r="BL71">
        <f t="shared" si="143"/>
        <v>3.2190000000000001E-3</v>
      </c>
      <c r="BM71">
        <f t="shared" si="144"/>
        <v>1.0431633977369644E-5</v>
      </c>
      <c r="BN71">
        <f t="shared" si="145"/>
        <v>0.22531237869173895</v>
      </c>
      <c r="BO71" s="147">
        <f t="shared" si="164"/>
        <v>225.31237869173896</v>
      </c>
      <c r="BP71" s="153">
        <f t="shared" si="146"/>
        <v>0.19139412097679645</v>
      </c>
      <c r="BQ71" s="153">
        <f t="shared" si="147"/>
        <v>2.7832201631021316E-2</v>
      </c>
      <c r="BR71" s="463"/>
      <c r="BT71" s="147">
        <f t="shared" si="165"/>
        <v>219.22632260781776</v>
      </c>
      <c r="BU71" s="463">
        <f t="shared" si="148"/>
        <v>0.10032320684871508</v>
      </c>
      <c r="BV71" s="463">
        <f t="shared" si="149"/>
        <v>8.1240071895231164E-2</v>
      </c>
      <c r="BW71" s="463">
        <f t="shared" si="150"/>
        <v>8.5739582166927748E-4</v>
      </c>
      <c r="BX71" s="463">
        <f t="shared" si="151"/>
        <v>0</v>
      </c>
      <c r="BY71" s="463">
        <f t="shared" si="152"/>
        <v>0.20733695935248653</v>
      </c>
      <c r="BZ71" s="463">
        <f t="shared" si="166"/>
        <v>0.1824206745656155</v>
      </c>
      <c r="CA71" s="549">
        <f t="shared" si="153"/>
        <v>0.74148148148148141</v>
      </c>
      <c r="CB71" s="147">
        <f t="shared" si="167"/>
        <v>948.81844083396788</v>
      </c>
      <c r="CC71" s="153">
        <f t="shared" si="168"/>
        <v>1.3933571421335247</v>
      </c>
      <c r="CD71" s="5">
        <f t="shared" si="169"/>
        <v>6.0060000000000002</v>
      </c>
      <c r="CE71" s="153">
        <f t="shared" si="170"/>
        <v>0.81169213549654873</v>
      </c>
      <c r="CF71" s="5">
        <f t="shared" si="171"/>
        <v>81.16921354965487</v>
      </c>
      <c r="CG71">
        <f t="shared" si="172"/>
        <v>66</v>
      </c>
      <c r="CI71" s="59">
        <f t="shared" si="154"/>
        <v>-50</v>
      </c>
      <c r="CJ71">
        <f t="shared" si="155"/>
        <v>-50</v>
      </c>
    </row>
    <row r="72" spans="5:88" x14ac:dyDescent="0.25">
      <c r="E72" s="150">
        <v>67</v>
      </c>
      <c r="F72" s="191">
        <f t="shared" ref="F72:F103" si="173">IF(PLOT_TYPE=1, E72/100*Iout_max, min_I*EXP(O72*rr/100))</f>
        <v>0.33500000000000002</v>
      </c>
      <c r="G72" s="191">
        <f t="shared" si="156"/>
        <v>6.7000000000000004E-2</v>
      </c>
      <c r="H72" s="191">
        <f t="shared" si="105"/>
        <v>5.0250000000000004</v>
      </c>
      <c r="I72" s="191">
        <f t="shared" ref="I72:I105" si="174">Vout2*G72</f>
        <v>1.0720000000000001</v>
      </c>
      <c r="J72" s="472">
        <f t="shared" si="106"/>
        <v>11.1</v>
      </c>
      <c r="K72" s="386">
        <f t="shared" si="107"/>
        <v>7.66</v>
      </c>
      <c r="L72" s="386">
        <f t="shared" si="108"/>
        <v>18.759999999999998</v>
      </c>
      <c r="M72" s="386"/>
      <c r="N72" s="191">
        <f t="shared" si="109"/>
        <v>0.40831556503198302</v>
      </c>
      <c r="O72" s="152">
        <f t="shared" si="157"/>
        <v>6.8918395170927162</v>
      </c>
      <c r="P72" s="152">
        <f t="shared" si="110"/>
        <v>1.7839143710021326</v>
      </c>
      <c r="Q72" s="191">
        <f t="shared" si="111"/>
        <v>0.45945596780618109</v>
      </c>
      <c r="R72" s="191">
        <f t="shared" si="112"/>
        <v>0.43073996981829477</v>
      </c>
      <c r="S72" s="386">
        <f t="shared" si="113"/>
        <v>15</v>
      </c>
      <c r="T72" s="191">
        <f t="shared" si="114"/>
        <v>2.9894050708672113</v>
      </c>
      <c r="U72" s="191">
        <f t="shared" si="115"/>
        <v>2.4238419493517931</v>
      </c>
      <c r="V72" s="191">
        <f t="shared" si="116"/>
        <v>3.5123558273896736</v>
      </c>
      <c r="W72" s="175">
        <f t="shared" si="117"/>
        <v>350</v>
      </c>
      <c r="X72" s="386">
        <f t="shared" si="158"/>
        <v>168.45799914519122</v>
      </c>
      <c r="Z72" s="191">
        <f t="shared" si="118"/>
        <v>1.4388262767793685</v>
      </c>
      <c r="AA72" s="153">
        <f t="shared" si="119"/>
        <v>1.6905269570514774</v>
      </c>
      <c r="AB72" s="153">
        <f t="shared" si="120"/>
        <v>0.21283277814833412</v>
      </c>
      <c r="AC72" s="153"/>
      <c r="AD72" s="153">
        <f t="shared" si="121"/>
        <v>0.96344647519582249</v>
      </c>
      <c r="AE72" s="317">
        <f t="shared" si="122"/>
        <v>1696.1464736598589</v>
      </c>
      <c r="AF72" s="463">
        <f t="shared" si="123"/>
        <v>6.9127284595300251E-2</v>
      </c>
      <c r="AH72" s="153">
        <f t="shared" si="124"/>
        <v>1.9675139417831609</v>
      </c>
      <c r="AI72" s="153">
        <f t="shared" si="125"/>
        <v>2.9894050708672113</v>
      </c>
      <c r="AJ72" s="153">
        <f t="shared" si="126"/>
        <v>2.8069667191608971</v>
      </c>
      <c r="AL72" s="317">
        <f t="shared" si="127"/>
        <v>335</v>
      </c>
      <c r="AM72" s="147">
        <f t="shared" si="128"/>
        <v>168.45799914519122</v>
      </c>
      <c r="AO72">
        <f t="shared" si="159"/>
        <v>335</v>
      </c>
      <c r="AP72">
        <f t="shared" si="129"/>
        <v>168.45799914519122</v>
      </c>
      <c r="AR72" s="5">
        <f t="shared" si="160"/>
        <v>5.9361977767414658</v>
      </c>
      <c r="AS72" s="5">
        <f t="shared" si="130"/>
        <v>2.4238419493517931</v>
      </c>
      <c r="AT72" s="5">
        <f t="shared" si="161"/>
        <v>3.5123558273896727</v>
      </c>
      <c r="AU72" s="153">
        <f t="shared" si="162"/>
        <v>0.40831556503198302</v>
      </c>
      <c r="AW72" s="5">
        <f t="shared" si="131"/>
        <v>11.33051538024511</v>
      </c>
      <c r="AX72" s="5">
        <f t="shared" si="132"/>
        <v>8.6344025312880461</v>
      </c>
      <c r="AY72" s="5">
        <f t="shared" si="133"/>
        <v>0.45203804398448061</v>
      </c>
      <c r="AZ72" s="5">
        <f t="shared" si="134"/>
        <v>1.6097809305064237</v>
      </c>
      <c r="BA72" s="5">
        <f t="shared" si="135"/>
        <v>3.8623909458277796</v>
      </c>
      <c r="BB72" s="147">
        <f t="shared" si="136"/>
        <v>99.268520700677215</v>
      </c>
      <c r="BC72" s="5"/>
      <c r="BD72" s="153">
        <f t="shared" si="163"/>
        <v>1.1028643725753959</v>
      </c>
      <c r="BE72" s="153">
        <f t="shared" si="137"/>
        <v>0.66380300823099558</v>
      </c>
      <c r="BF72" s="153">
        <f t="shared" si="138"/>
        <v>0.13293414491632488</v>
      </c>
      <c r="BG72" s="153"/>
      <c r="BH72" s="463">
        <f t="shared" si="139"/>
        <v>0.1337940806725734</v>
      </c>
      <c r="BI72" s="463">
        <f t="shared" si="140"/>
        <v>4.7236666666666663E-2</v>
      </c>
      <c r="BJ72" s="463">
        <f t="shared" si="141"/>
        <v>8.4228999572595609E-3</v>
      </c>
      <c r="BK72" s="463">
        <f t="shared" si="142"/>
        <v>1.3339508381991143E-2</v>
      </c>
      <c r="BL72">
        <f t="shared" si="143"/>
        <v>3.2190000000000001E-3</v>
      </c>
      <c r="BM72">
        <f t="shared" si="144"/>
        <v>1.0275937947856665E-5</v>
      </c>
      <c r="BN72">
        <f t="shared" si="145"/>
        <v>0.22975616525804921</v>
      </c>
      <c r="BO72" s="147">
        <f t="shared" si="164"/>
        <v>229.75616525804921</v>
      </c>
      <c r="BP72" s="153">
        <f t="shared" si="146"/>
        <v>0.19529894147494015</v>
      </c>
      <c r="BQ72" s="153">
        <f t="shared" si="147"/>
        <v>2.8294203195972149E-2</v>
      </c>
      <c r="BR72" s="463"/>
      <c r="BT72" s="147">
        <f t="shared" si="165"/>
        <v>223.5931446709123</v>
      </c>
      <c r="BU72" s="463">
        <f t="shared" si="148"/>
        <v>0.10338633506517035</v>
      </c>
      <c r="BV72" s="463">
        <f t="shared" si="149"/>
        <v>8.3720542409938647E-2</v>
      </c>
      <c r="BW72" s="463">
        <f t="shared" si="150"/>
        <v>8.8357434423172324E-4</v>
      </c>
      <c r="BX72" s="463">
        <f t="shared" si="151"/>
        <v>0</v>
      </c>
      <c r="BY72" s="463">
        <f t="shared" si="152"/>
        <v>0.21376415565399559</v>
      </c>
      <c r="BZ72" s="463">
        <f t="shared" si="166"/>
        <v>0.18799045181934074</v>
      </c>
      <c r="CA72" s="549">
        <f t="shared" si="153"/>
        <v>0.75271604938271597</v>
      </c>
      <c r="CB72" s="147">
        <f t="shared" si="167"/>
        <v>966.4802050367116</v>
      </c>
      <c r="CC72" s="153">
        <f t="shared" si="168"/>
        <v>1.4198295149656732</v>
      </c>
      <c r="CD72" s="5">
        <f t="shared" si="169"/>
        <v>6.0970000000000004</v>
      </c>
      <c r="CE72" s="153">
        <f t="shared" si="170"/>
        <v>0.8111132476612839</v>
      </c>
      <c r="CF72" s="5">
        <f t="shared" si="171"/>
        <v>81.111324766128391</v>
      </c>
      <c r="CG72">
        <f t="shared" si="172"/>
        <v>67</v>
      </c>
      <c r="CI72" s="59">
        <f t="shared" si="154"/>
        <v>-50</v>
      </c>
      <c r="CJ72">
        <f t="shared" si="155"/>
        <v>-50</v>
      </c>
    </row>
    <row r="73" spans="5:88" x14ac:dyDescent="0.25">
      <c r="E73" s="150">
        <v>68</v>
      </c>
      <c r="F73" s="191">
        <f t="shared" si="173"/>
        <v>0.34</v>
      </c>
      <c r="G73" s="191">
        <f t="shared" si="156"/>
        <v>6.8000000000000005E-2</v>
      </c>
      <c r="H73" s="191">
        <f t="shared" si="105"/>
        <v>5.1000000000000005</v>
      </c>
      <c r="I73" s="191">
        <f t="shared" si="174"/>
        <v>1.0880000000000001</v>
      </c>
      <c r="J73" s="472">
        <f t="shared" si="106"/>
        <v>11.1</v>
      </c>
      <c r="K73" s="386">
        <f t="shared" si="107"/>
        <v>7.66</v>
      </c>
      <c r="L73" s="386">
        <f t="shared" si="108"/>
        <v>18.759999999999998</v>
      </c>
      <c r="M73" s="386"/>
      <c r="N73" s="191">
        <f t="shared" si="109"/>
        <v>0.40831556503198302</v>
      </c>
      <c r="O73" s="152">
        <f t="shared" si="157"/>
        <v>6.8918395170927162</v>
      </c>
      <c r="P73" s="152">
        <f t="shared" si="110"/>
        <v>1.7839143710021326</v>
      </c>
      <c r="Q73" s="191">
        <f t="shared" si="111"/>
        <v>0.45945596780618109</v>
      </c>
      <c r="R73" s="191">
        <f t="shared" si="112"/>
        <v>0.43073996981829477</v>
      </c>
      <c r="S73" s="386">
        <f t="shared" si="113"/>
        <v>15</v>
      </c>
      <c r="T73" s="191">
        <f t="shared" si="114"/>
        <v>3.0340230569995579</v>
      </c>
      <c r="U73" s="191">
        <f t="shared" si="115"/>
        <v>2.4600186948645066</v>
      </c>
      <c r="V73" s="191">
        <f t="shared" si="116"/>
        <v>3.5647790486939979</v>
      </c>
      <c r="W73" s="175">
        <f t="shared" si="117"/>
        <v>350</v>
      </c>
      <c r="X73" s="386">
        <f t="shared" si="158"/>
        <v>165.98067562835016</v>
      </c>
      <c r="Z73" s="191">
        <f t="shared" si="118"/>
        <v>1.4388262767793685</v>
      </c>
      <c r="AA73" s="153">
        <f t="shared" si="119"/>
        <v>1.6905269570514774</v>
      </c>
      <c r="AB73" s="153">
        <f t="shared" si="120"/>
        <v>0.21283277814833412</v>
      </c>
      <c r="AC73" s="153"/>
      <c r="AD73" s="153">
        <f t="shared" si="121"/>
        <v>0.96344647519582249</v>
      </c>
      <c r="AE73" s="317">
        <f t="shared" si="122"/>
        <v>1721.4620926697075</v>
      </c>
      <c r="AF73" s="463">
        <f t="shared" si="123"/>
        <v>6.9127284595300251E-2</v>
      </c>
      <c r="AH73" s="153">
        <f t="shared" si="124"/>
        <v>1.9821424996424675</v>
      </c>
      <c r="AI73" s="153">
        <f t="shared" si="125"/>
        <v>3.0340230569995579</v>
      </c>
      <c r="AJ73" s="153">
        <f t="shared" si="126"/>
        <v>2.8400170792589319</v>
      </c>
      <c r="AL73" s="317">
        <f t="shared" si="127"/>
        <v>340</v>
      </c>
      <c r="AM73" s="147">
        <f t="shared" si="128"/>
        <v>165.98067562835016</v>
      </c>
      <c r="AO73">
        <f t="shared" si="159"/>
        <v>340</v>
      </c>
      <c r="AP73">
        <f t="shared" si="129"/>
        <v>165.98067562835016</v>
      </c>
      <c r="AR73" s="5">
        <f t="shared" si="160"/>
        <v>6.0247977435585041</v>
      </c>
      <c r="AS73" s="5">
        <f t="shared" si="130"/>
        <v>2.4600186948645066</v>
      </c>
      <c r="AT73" s="5">
        <f t="shared" si="161"/>
        <v>3.5647790486939974</v>
      </c>
      <c r="AU73" s="153">
        <f t="shared" si="162"/>
        <v>0.40831556503198296</v>
      </c>
      <c r="AW73" s="5">
        <f t="shared" si="131"/>
        <v>11.33051538024511</v>
      </c>
      <c r="AX73" s="5">
        <f t="shared" si="132"/>
        <v>8.8788454677380102</v>
      </c>
      <c r="AY73" s="5">
        <f t="shared" si="133"/>
        <v>0.45203804398448061</v>
      </c>
      <c r="AZ73" s="5">
        <f t="shared" si="134"/>
        <v>1.656162847552173</v>
      </c>
      <c r="BA73" s="5">
        <f t="shared" si="135"/>
        <v>3.9785466102712546</v>
      </c>
      <c r="BB73" s="147">
        <f t="shared" si="136"/>
        <v>102.22613865373764</v>
      </c>
      <c r="BC73" s="5"/>
      <c r="BD73" s="153">
        <f t="shared" si="163"/>
        <v>1.1193250348526407</v>
      </c>
      <c r="BE73" s="153">
        <f t="shared" si="137"/>
        <v>0.67371051581653285</v>
      </c>
      <c r="BF73" s="153">
        <f t="shared" si="138"/>
        <v>0.13491823663149394</v>
      </c>
      <c r="BG73" s="153"/>
      <c r="BH73" s="463">
        <f t="shared" si="139"/>
        <v>0.13781773870126518</v>
      </c>
      <c r="BI73" s="463">
        <f t="shared" si="140"/>
        <v>4.7236666666666663E-2</v>
      </c>
      <c r="BJ73" s="463">
        <f t="shared" si="141"/>
        <v>8.2990337814175079E-3</v>
      </c>
      <c r="BK73" s="463">
        <f t="shared" si="142"/>
        <v>1.3143339141079508E-2</v>
      </c>
      <c r="BL73">
        <f t="shared" si="143"/>
        <v>3.2190000000000001E-3</v>
      </c>
      <c r="BM73">
        <f t="shared" si="144"/>
        <v>1.012482121332936E-5</v>
      </c>
      <c r="BN73">
        <f t="shared" si="145"/>
        <v>0.234288642489445</v>
      </c>
      <c r="BO73" s="147">
        <f t="shared" si="164"/>
        <v>234.28864248944501</v>
      </c>
      <c r="BP73" s="153">
        <f t="shared" si="146"/>
        <v>0.19923375927380779</v>
      </c>
      <c r="BQ73" s="153">
        <f t="shared" si="147"/>
        <v>2.8757407791974877E-2</v>
      </c>
      <c r="BR73" s="463"/>
      <c r="BT73" s="147">
        <f t="shared" si="165"/>
        <v>227.99116706578269</v>
      </c>
      <c r="BU73" s="463">
        <f t="shared" si="148"/>
        <v>0.10649552536006855</v>
      </c>
      <c r="BV73" s="463">
        <f t="shared" si="149"/>
        <v>8.6238313233137964E-2</v>
      </c>
      <c r="BW73" s="463">
        <f t="shared" si="150"/>
        <v>9.1014652878758969E-4</v>
      </c>
      <c r="BX73" s="463">
        <f t="shared" si="151"/>
        <v>0</v>
      </c>
      <c r="BY73" s="463">
        <f t="shared" si="152"/>
        <v>0.22029395122572296</v>
      </c>
      <c r="BZ73" s="463">
        <f t="shared" si="166"/>
        <v>0.19364398512199413</v>
      </c>
      <c r="CA73" s="549">
        <f t="shared" si="153"/>
        <v>0.76395061728395053</v>
      </c>
      <c r="CB73" s="147">
        <f t="shared" si="167"/>
        <v>984.2445685096734</v>
      </c>
      <c r="CC73" s="153">
        <f t="shared" si="168"/>
        <v>1.4465243780649013</v>
      </c>
      <c r="CD73" s="5">
        <f t="shared" si="169"/>
        <v>6.1880000000000006</v>
      </c>
      <c r="CE73" s="153">
        <f t="shared" si="170"/>
        <v>0.81052855339345353</v>
      </c>
      <c r="CF73" s="5">
        <f t="shared" si="171"/>
        <v>81.052855339345356</v>
      </c>
      <c r="CG73">
        <f t="shared" si="172"/>
        <v>68</v>
      </c>
      <c r="CI73" s="59">
        <f t="shared" si="154"/>
        <v>-50</v>
      </c>
      <c r="CJ73">
        <f t="shared" si="155"/>
        <v>-50</v>
      </c>
    </row>
    <row r="74" spans="5:88" x14ac:dyDescent="0.25">
      <c r="E74" s="150">
        <v>69</v>
      </c>
      <c r="F74" s="191">
        <f t="shared" si="173"/>
        <v>0.34499999999999997</v>
      </c>
      <c r="G74" s="191">
        <f t="shared" si="156"/>
        <v>6.8999999999999992E-2</v>
      </c>
      <c r="H74" s="191">
        <f t="shared" si="105"/>
        <v>5.1749999999999998</v>
      </c>
      <c r="I74" s="191">
        <f t="shared" si="174"/>
        <v>1.1039999999999999</v>
      </c>
      <c r="J74" s="472">
        <f t="shared" si="106"/>
        <v>11.1</v>
      </c>
      <c r="K74" s="386">
        <f t="shared" si="107"/>
        <v>7.66</v>
      </c>
      <c r="L74" s="386">
        <f t="shared" si="108"/>
        <v>18.759999999999998</v>
      </c>
      <c r="M74" s="386"/>
      <c r="N74" s="191">
        <f t="shared" si="109"/>
        <v>0.40831556503198302</v>
      </c>
      <c r="O74" s="152">
        <f t="shared" si="157"/>
        <v>6.8918395170927162</v>
      </c>
      <c r="P74" s="152">
        <f t="shared" si="110"/>
        <v>1.7839143710021326</v>
      </c>
      <c r="Q74" s="191">
        <f t="shared" si="111"/>
        <v>0.45945596780618109</v>
      </c>
      <c r="R74" s="191">
        <f t="shared" si="112"/>
        <v>0.43073996981829477</v>
      </c>
      <c r="S74" s="386">
        <f t="shared" si="113"/>
        <v>15</v>
      </c>
      <c r="T74" s="191">
        <f t="shared" si="114"/>
        <v>3.078641043131904</v>
      </c>
      <c r="U74" s="191">
        <f t="shared" si="115"/>
        <v>2.4961954403772197</v>
      </c>
      <c r="V74" s="191">
        <f t="shared" si="116"/>
        <v>3.6172022699983204</v>
      </c>
      <c r="W74" s="175">
        <f t="shared" si="117"/>
        <v>350</v>
      </c>
      <c r="X74" s="386">
        <f t="shared" si="158"/>
        <v>163.57515859025813</v>
      </c>
      <c r="Z74" s="191">
        <f t="shared" si="118"/>
        <v>1.4388262767793685</v>
      </c>
      <c r="AA74" s="153">
        <f t="shared" si="119"/>
        <v>1.6905269570514774</v>
      </c>
      <c r="AB74" s="153">
        <f t="shared" si="120"/>
        <v>0.21283277814833412</v>
      </c>
      <c r="AC74" s="153"/>
      <c r="AD74" s="153">
        <f t="shared" si="121"/>
        <v>0.96344647519582249</v>
      </c>
      <c r="AE74" s="317">
        <f t="shared" si="122"/>
        <v>1746.777711679556</v>
      </c>
      <c r="AF74" s="463">
        <f t="shared" si="123"/>
        <v>6.9127284595300251E-2</v>
      </c>
      <c r="AH74" s="153">
        <f t="shared" si="124"/>
        <v>1.9966638842495916</v>
      </c>
      <c r="AI74" s="153">
        <f t="shared" si="125"/>
        <v>3.078641043131904</v>
      </c>
      <c r="AJ74" s="153">
        <f t="shared" si="126"/>
        <v>2.8730674393569662</v>
      </c>
      <c r="AL74" s="317">
        <f t="shared" si="127"/>
        <v>345</v>
      </c>
      <c r="AM74" s="147">
        <f t="shared" si="128"/>
        <v>163.57515859025813</v>
      </c>
      <c r="AO74">
        <f t="shared" si="159"/>
        <v>345</v>
      </c>
      <c r="AP74">
        <f t="shared" si="129"/>
        <v>163.57515859025813</v>
      </c>
      <c r="AR74" s="5">
        <f t="shared" si="160"/>
        <v>6.1133977103755406</v>
      </c>
      <c r="AS74" s="5">
        <f t="shared" si="130"/>
        <v>2.4961954403772197</v>
      </c>
      <c r="AT74" s="5">
        <f t="shared" si="161"/>
        <v>3.6172022699983208</v>
      </c>
      <c r="AU74" s="153">
        <f t="shared" si="162"/>
        <v>0.40831556503198296</v>
      </c>
      <c r="AW74" s="5">
        <f t="shared" si="131"/>
        <v>11.33051538024511</v>
      </c>
      <c r="AX74" s="5">
        <f t="shared" si="132"/>
        <v>9.1266875588020433</v>
      </c>
      <c r="AY74" s="5">
        <f t="shared" si="133"/>
        <v>0.45203804398448061</v>
      </c>
      <c r="AZ74" s="5">
        <f t="shared" si="134"/>
        <v>1.7032022744800805</v>
      </c>
      <c r="BA74" s="5">
        <f t="shared" si="135"/>
        <v>4.0964230993731485</v>
      </c>
      <c r="BB74" s="147">
        <f t="shared" si="136"/>
        <v>105.22716831977183</v>
      </c>
      <c r="BC74" s="5"/>
      <c r="BD74" s="153">
        <f t="shared" si="163"/>
        <v>1.1357856971298852</v>
      </c>
      <c r="BE74" s="153">
        <f t="shared" si="137"/>
        <v>0.68361802340207012</v>
      </c>
      <c r="BF74" s="153">
        <f t="shared" si="138"/>
        <v>0.13690232834666294</v>
      </c>
      <c r="BG74" s="153"/>
      <c r="BH74" s="463">
        <f t="shared" si="139"/>
        <v>0.14190100647853013</v>
      </c>
      <c r="BI74" s="463">
        <f t="shared" si="140"/>
        <v>4.7236666666666663E-2</v>
      </c>
      <c r="BJ74" s="463">
        <f t="shared" si="141"/>
        <v>8.1787579295129059E-3</v>
      </c>
      <c r="BK74" s="463">
        <f t="shared" si="142"/>
        <v>1.2952855965121834E-2</v>
      </c>
      <c r="BL74">
        <f t="shared" si="143"/>
        <v>3.2190000000000001E-3</v>
      </c>
      <c r="BM74">
        <f t="shared" si="144"/>
        <v>9.9780846740057458E-6</v>
      </c>
      <c r="BN74">
        <f t="shared" si="145"/>
        <v>0.23890973358923881</v>
      </c>
      <c r="BO74" s="147">
        <f t="shared" si="164"/>
        <v>238.90973358923881</v>
      </c>
      <c r="BP74" s="153">
        <f t="shared" si="146"/>
        <v>0.20319857437339942</v>
      </c>
      <c r="BQ74" s="153">
        <f t="shared" si="147"/>
        <v>2.9221815419029493E-2</v>
      </c>
      <c r="BR74" s="463"/>
      <c r="BT74" s="147">
        <f t="shared" si="165"/>
        <v>232.42038979242889</v>
      </c>
      <c r="BU74" s="463">
        <f t="shared" si="148"/>
        <v>0.10965077773340966</v>
      </c>
      <c r="BV74" s="463">
        <f t="shared" si="149"/>
        <v>8.8793384364829128E-2</v>
      </c>
      <c r="BW74" s="463">
        <f t="shared" si="150"/>
        <v>9.3711237533687555E-4</v>
      </c>
      <c r="BX74" s="463">
        <f t="shared" si="151"/>
        <v>0</v>
      </c>
      <c r="BY74" s="463">
        <f t="shared" si="152"/>
        <v>0.22692662092171301</v>
      </c>
      <c r="BZ74" s="463">
        <f t="shared" si="166"/>
        <v>0.19938127447357565</v>
      </c>
      <c r="CA74" s="549">
        <f t="shared" si="153"/>
        <v>0.77518518518518498</v>
      </c>
      <c r="CB74" s="147">
        <f t="shared" si="167"/>
        <v>1002.1118061068979</v>
      </c>
      <c r="CC74" s="153">
        <f t="shared" si="168"/>
        <v>1.4734419294885657</v>
      </c>
      <c r="CD74" s="5">
        <f t="shared" si="169"/>
        <v>6.2789999999999999</v>
      </c>
      <c r="CE74" s="153">
        <f t="shared" si="170"/>
        <v>0.80993834679574706</v>
      </c>
      <c r="CF74" s="5">
        <f t="shared" si="171"/>
        <v>80.993834679574704</v>
      </c>
      <c r="CG74">
        <f t="shared" si="172"/>
        <v>69</v>
      </c>
      <c r="CI74" s="59">
        <f t="shared" si="154"/>
        <v>-50</v>
      </c>
      <c r="CJ74">
        <f t="shared" si="155"/>
        <v>-50</v>
      </c>
    </row>
    <row r="75" spans="5:88" x14ac:dyDescent="0.25">
      <c r="E75" s="150">
        <v>70</v>
      </c>
      <c r="F75" s="191">
        <f t="shared" si="173"/>
        <v>0.35</v>
      </c>
      <c r="G75" s="191">
        <f t="shared" si="156"/>
        <v>6.9999999999999993E-2</v>
      </c>
      <c r="H75" s="191">
        <f t="shared" si="105"/>
        <v>5.25</v>
      </c>
      <c r="I75" s="191">
        <f t="shared" si="174"/>
        <v>1.1199999999999999</v>
      </c>
      <c r="J75" s="472">
        <f t="shared" si="106"/>
        <v>11.1</v>
      </c>
      <c r="K75" s="386">
        <f t="shared" si="107"/>
        <v>7.66</v>
      </c>
      <c r="L75" s="386">
        <f t="shared" si="108"/>
        <v>18.759999999999998</v>
      </c>
      <c r="M75" s="386"/>
      <c r="N75" s="191">
        <f t="shared" si="109"/>
        <v>0.40831556503198302</v>
      </c>
      <c r="O75" s="152">
        <f t="shared" si="157"/>
        <v>6.8918395170927162</v>
      </c>
      <c r="P75" s="152">
        <f t="shared" si="110"/>
        <v>1.7839143710021326</v>
      </c>
      <c r="Q75" s="191">
        <f t="shared" si="111"/>
        <v>0.45945596780618109</v>
      </c>
      <c r="R75" s="191">
        <f t="shared" si="112"/>
        <v>0.43073996981829477</v>
      </c>
      <c r="S75" s="386">
        <f t="shared" si="113"/>
        <v>15</v>
      </c>
      <c r="T75" s="191">
        <f t="shared" si="114"/>
        <v>3.1232590292642506</v>
      </c>
      <c r="U75" s="191">
        <f t="shared" si="115"/>
        <v>2.5323721858899328</v>
      </c>
      <c r="V75" s="191">
        <f t="shared" si="116"/>
        <v>3.6696254913026443</v>
      </c>
      <c r="W75" s="175">
        <f t="shared" si="117"/>
        <v>350</v>
      </c>
      <c r="X75" s="386">
        <f t="shared" si="158"/>
        <v>161.23837061039731</v>
      </c>
      <c r="Z75" s="191">
        <f t="shared" si="118"/>
        <v>1.4388262767793685</v>
      </c>
      <c r="AA75" s="153">
        <f t="shared" si="119"/>
        <v>1.6905269570514774</v>
      </c>
      <c r="AB75" s="153">
        <f t="shared" si="120"/>
        <v>0.21283277814833412</v>
      </c>
      <c r="AC75" s="153"/>
      <c r="AD75" s="153">
        <f t="shared" si="121"/>
        <v>0.96344647519582249</v>
      </c>
      <c r="AE75" s="317">
        <f t="shared" si="122"/>
        <v>1772.0933306894046</v>
      </c>
      <c r="AF75" s="463">
        <f t="shared" si="123"/>
        <v>6.9127284595300251E-2</v>
      </c>
      <c r="AH75" s="153">
        <f t="shared" si="124"/>
        <v>2.0110804171997807</v>
      </c>
      <c r="AI75" s="153">
        <f t="shared" si="125"/>
        <v>3.1232590292642506</v>
      </c>
      <c r="AJ75" s="153">
        <f t="shared" si="126"/>
        <v>2.9061177994550005</v>
      </c>
      <c r="AL75" s="317">
        <f t="shared" si="127"/>
        <v>350</v>
      </c>
      <c r="AM75" s="147">
        <f t="shared" si="128"/>
        <v>161.23837061039731</v>
      </c>
      <c r="AO75">
        <f t="shared" si="159"/>
        <v>350</v>
      </c>
      <c r="AP75">
        <f t="shared" si="129"/>
        <v>161.23837061039731</v>
      </c>
      <c r="AR75" s="5">
        <f t="shared" si="160"/>
        <v>6.2019976771925771</v>
      </c>
      <c r="AS75" s="5">
        <f t="shared" si="130"/>
        <v>2.5323721858899328</v>
      </c>
      <c r="AT75" s="5">
        <f t="shared" si="161"/>
        <v>3.6696254913026443</v>
      </c>
      <c r="AU75" s="153">
        <f t="shared" si="162"/>
        <v>0.40831556503198296</v>
      </c>
      <c r="AW75" s="5">
        <f t="shared" si="131"/>
        <v>11.33051538024511</v>
      </c>
      <c r="AX75" s="5">
        <f t="shared" si="132"/>
        <v>9.3779288044801561</v>
      </c>
      <c r="AY75" s="5">
        <f t="shared" si="133"/>
        <v>0.45203804398448061</v>
      </c>
      <c r="AZ75" s="5">
        <f t="shared" si="134"/>
        <v>1.7508992112901482</v>
      </c>
      <c r="BA75" s="5">
        <f t="shared" si="135"/>
        <v>4.2160204131334655</v>
      </c>
      <c r="BB75" s="147">
        <f t="shared" si="136"/>
        <v>108.27160969877988</v>
      </c>
      <c r="BC75" s="5"/>
      <c r="BD75" s="153">
        <f t="shared" si="163"/>
        <v>1.1522463594071299</v>
      </c>
      <c r="BE75" s="153">
        <f t="shared" si="137"/>
        <v>0.69352553098760739</v>
      </c>
      <c r="BF75" s="153">
        <f t="shared" si="138"/>
        <v>0.13888642006183197</v>
      </c>
      <c r="BG75" s="153"/>
      <c r="BH75" s="463">
        <f t="shared" si="139"/>
        <v>0.14604388400436832</v>
      </c>
      <c r="BI75" s="463">
        <f t="shared" si="140"/>
        <v>4.723666666666667E-2</v>
      </c>
      <c r="BJ75" s="463">
        <f t="shared" si="141"/>
        <v>8.0619185305198654E-3</v>
      </c>
      <c r="BK75" s="463">
        <f t="shared" si="142"/>
        <v>1.2767815165620094E-2</v>
      </c>
      <c r="BL75">
        <f t="shared" si="143"/>
        <v>3.2190000000000001E-3</v>
      </c>
      <c r="BM75">
        <f t="shared" si="144"/>
        <v>9.8355406072342374E-6</v>
      </c>
      <c r="BN75">
        <f t="shared" si="145"/>
        <v>0.24361939230743826</v>
      </c>
      <c r="BO75" s="147">
        <f t="shared" si="164"/>
        <v>243.61939230743826</v>
      </c>
      <c r="BP75" s="153">
        <f t="shared" si="146"/>
        <v>0.20719338677371502</v>
      </c>
      <c r="BQ75" s="153">
        <f t="shared" si="147"/>
        <v>2.9687426077136002E-2</v>
      </c>
      <c r="BR75" s="463"/>
      <c r="BT75" s="147">
        <f t="shared" si="165"/>
        <v>236.88081285085102</v>
      </c>
      <c r="BU75" s="463">
        <f t="shared" si="148"/>
        <v>0.11285209218519372</v>
      </c>
      <c r="BV75" s="463">
        <f t="shared" si="149"/>
        <v>9.1385755805012125E-2</v>
      </c>
      <c r="BW75" s="463">
        <f t="shared" si="150"/>
        <v>9.644718838795821E-4</v>
      </c>
      <c r="BX75" s="463">
        <f t="shared" si="151"/>
        <v>0</v>
      </c>
      <c r="BY75" s="463">
        <f t="shared" si="152"/>
        <v>0.23366244431016733</v>
      </c>
      <c r="BZ75" s="463">
        <f t="shared" si="166"/>
        <v>0.20520231987408541</v>
      </c>
      <c r="CA75" s="549">
        <f t="shared" si="153"/>
        <v>0.78641975308641976</v>
      </c>
      <c r="CB75" s="147">
        <f t="shared" si="167"/>
        <v>1020.082197396587</v>
      </c>
      <c r="CC75" s="153">
        <f t="shared" si="168"/>
        <v>1.5005824025548762</v>
      </c>
      <c r="CD75" s="5">
        <f t="shared" si="169"/>
        <v>6.37</v>
      </c>
      <c r="CE75" s="153">
        <f t="shared" si="170"/>
        <v>0.8093429017314181</v>
      </c>
      <c r="CF75" s="5">
        <f t="shared" si="171"/>
        <v>80.934290173141804</v>
      </c>
      <c r="CG75">
        <f t="shared" si="172"/>
        <v>70</v>
      </c>
      <c r="CI75" s="59">
        <f t="shared" si="154"/>
        <v>-50</v>
      </c>
      <c r="CJ75">
        <f t="shared" si="155"/>
        <v>-50</v>
      </c>
    </row>
    <row r="76" spans="5:88" x14ac:dyDescent="0.25">
      <c r="E76" s="150">
        <v>71</v>
      </c>
      <c r="F76" s="191">
        <f t="shared" si="173"/>
        <v>0.35499999999999998</v>
      </c>
      <c r="G76" s="191">
        <f t="shared" si="156"/>
        <v>7.0999999999999994E-2</v>
      </c>
      <c r="H76" s="191">
        <f t="shared" si="105"/>
        <v>5.3249999999999993</v>
      </c>
      <c r="I76" s="191">
        <f t="shared" si="174"/>
        <v>1.1359999999999999</v>
      </c>
      <c r="J76" s="472">
        <f t="shared" si="106"/>
        <v>11.1</v>
      </c>
      <c r="K76" s="386">
        <f t="shared" si="107"/>
        <v>7.66</v>
      </c>
      <c r="L76" s="386">
        <f t="shared" si="108"/>
        <v>18.759999999999998</v>
      </c>
      <c r="M76" s="386"/>
      <c r="N76" s="191">
        <f t="shared" si="109"/>
        <v>0.40831556503198302</v>
      </c>
      <c r="O76" s="152">
        <f t="shared" si="157"/>
        <v>6.8918395170927162</v>
      </c>
      <c r="P76" s="152">
        <f t="shared" si="110"/>
        <v>1.7839143710021326</v>
      </c>
      <c r="Q76" s="191">
        <f t="shared" si="111"/>
        <v>0.45945596780618109</v>
      </c>
      <c r="R76" s="191">
        <f t="shared" si="112"/>
        <v>0.43073996981829477</v>
      </c>
      <c r="S76" s="386">
        <f t="shared" si="113"/>
        <v>15</v>
      </c>
      <c r="T76" s="191">
        <f t="shared" si="114"/>
        <v>3.1678770153965963</v>
      </c>
      <c r="U76" s="191">
        <f t="shared" si="115"/>
        <v>2.568548931402646</v>
      </c>
      <c r="V76" s="191">
        <f t="shared" si="116"/>
        <v>3.7220487126069672</v>
      </c>
      <c r="W76" s="175">
        <f t="shared" si="117"/>
        <v>350</v>
      </c>
      <c r="X76" s="386">
        <f t="shared" si="158"/>
        <v>158.96740764405371</v>
      </c>
      <c r="Z76" s="191">
        <f t="shared" si="118"/>
        <v>1.4388262767793685</v>
      </c>
      <c r="AA76" s="153">
        <f t="shared" si="119"/>
        <v>1.6905269570514774</v>
      </c>
      <c r="AB76" s="153">
        <f t="shared" si="120"/>
        <v>0.21283277814833412</v>
      </c>
      <c r="AC76" s="153"/>
      <c r="AD76" s="153">
        <f t="shared" si="121"/>
        <v>0.96344647519582249</v>
      </c>
      <c r="AE76" s="317">
        <f t="shared" si="122"/>
        <v>1797.4089496992533</v>
      </c>
      <c r="AF76" s="463">
        <f t="shared" si="123"/>
        <v>6.9127284595300251E-2</v>
      </c>
      <c r="AH76" s="153">
        <f t="shared" si="124"/>
        <v>2.0253943374617749</v>
      </c>
      <c r="AI76" s="153">
        <f t="shared" si="125"/>
        <v>3.1678770153965963</v>
      </c>
      <c r="AJ76" s="153">
        <f t="shared" si="126"/>
        <v>2.9391681595530343</v>
      </c>
      <c r="AL76" s="317">
        <f t="shared" si="127"/>
        <v>355</v>
      </c>
      <c r="AM76" s="147">
        <f t="shared" si="128"/>
        <v>158.96740764405371</v>
      </c>
      <c r="AO76">
        <f t="shared" si="159"/>
        <v>355</v>
      </c>
      <c r="AP76">
        <f t="shared" si="129"/>
        <v>158.96740764405371</v>
      </c>
      <c r="AR76" s="5">
        <f t="shared" si="160"/>
        <v>6.2905976440096136</v>
      </c>
      <c r="AS76" s="5">
        <f t="shared" si="130"/>
        <v>2.568548931402646</v>
      </c>
      <c r="AT76" s="5">
        <f t="shared" si="161"/>
        <v>3.7220487126069677</v>
      </c>
      <c r="AU76" s="153">
        <f t="shared" si="162"/>
        <v>0.40831556503198291</v>
      </c>
      <c r="AW76" s="5">
        <f t="shared" si="131"/>
        <v>11.33051538024511</v>
      </c>
      <c r="AX76" s="5">
        <f t="shared" si="132"/>
        <v>9.6325692047723379</v>
      </c>
      <c r="AY76" s="5">
        <f t="shared" si="133"/>
        <v>0.45203804398448061</v>
      </c>
      <c r="AZ76" s="5">
        <f t="shared" si="134"/>
        <v>1.799253657982375</v>
      </c>
      <c r="BA76" s="5">
        <f t="shared" si="135"/>
        <v>4.3373385515522029</v>
      </c>
      <c r="BB76" s="147">
        <f t="shared" si="136"/>
        <v>111.35946279076174</v>
      </c>
      <c r="BC76" s="5"/>
      <c r="BD76" s="153">
        <f t="shared" si="163"/>
        <v>1.1687070216843745</v>
      </c>
      <c r="BE76" s="153">
        <f t="shared" si="137"/>
        <v>0.70343303857314443</v>
      </c>
      <c r="BF76" s="153">
        <f t="shared" si="138"/>
        <v>0.14087051177700097</v>
      </c>
      <c r="BG76" s="153"/>
      <c r="BH76" s="463">
        <f t="shared" si="139"/>
        <v>0.15024637127877968</v>
      </c>
      <c r="BI76" s="463">
        <f t="shared" si="140"/>
        <v>4.7236666666666663E-2</v>
      </c>
      <c r="BJ76" s="463">
        <f t="shared" si="141"/>
        <v>7.9483703822026859E-3</v>
      </c>
      <c r="BK76" s="463">
        <f t="shared" si="142"/>
        <v>1.2587986783005727E-2</v>
      </c>
      <c r="BL76">
        <f t="shared" si="143"/>
        <v>3.2190000000000001E-3</v>
      </c>
      <c r="BM76">
        <f t="shared" si="144"/>
        <v>9.6970118662872773E-6</v>
      </c>
      <c r="BN76">
        <f t="shared" si="145"/>
        <v>0.24841760130785981</v>
      </c>
      <c r="BO76" s="147">
        <f t="shared" si="164"/>
        <v>248.4176013078598</v>
      </c>
      <c r="BP76" s="153">
        <f t="shared" si="146"/>
        <v>0.21121819647475454</v>
      </c>
      <c r="BQ76" s="153">
        <f t="shared" si="147"/>
        <v>3.0154239766294402E-2</v>
      </c>
      <c r="BR76" s="463"/>
      <c r="BT76" s="147">
        <f t="shared" si="165"/>
        <v>241.37243624104892</v>
      </c>
      <c r="BU76" s="463">
        <f t="shared" si="148"/>
        <v>0.11609946871542068</v>
      </c>
      <c r="BV76" s="463">
        <f t="shared" si="149"/>
        <v>9.4015427553686914E-2</v>
      </c>
      <c r="BW76" s="463">
        <f t="shared" si="150"/>
        <v>9.9222505441570849E-4</v>
      </c>
      <c r="BX76" s="463">
        <f t="shared" si="151"/>
        <v>0</v>
      </c>
      <c r="BY76" s="463">
        <f t="shared" si="152"/>
        <v>0.24050170570350321</v>
      </c>
      <c r="BZ76" s="463">
        <f t="shared" si="166"/>
        <v>0.2111071213235233</v>
      </c>
      <c r="CA76" s="549">
        <f t="shared" si="153"/>
        <v>0.7976543209876541</v>
      </c>
      <c r="CB76" s="147">
        <f t="shared" si="167"/>
        <v>1038.1560266911574</v>
      </c>
      <c r="CC76" s="153">
        <f t="shared" si="168"/>
        <v>1.527946064240066</v>
      </c>
      <c r="CD76" s="5">
        <f t="shared" si="169"/>
        <v>6.4609999999999994</v>
      </c>
      <c r="CE76" s="153">
        <f t="shared" si="170"/>
        <v>0.80874247341843719</v>
      </c>
      <c r="CF76" s="5">
        <f t="shared" si="171"/>
        <v>80.874247341843713</v>
      </c>
      <c r="CG76">
        <f t="shared" si="172"/>
        <v>71</v>
      </c>
      <c r="CI76" s="59">
        <f t="shared" si="154"/>
        <v>-50</v>
      </c>
      <c r="CJ76">
        <f t="shared" si="155"/>
        <v>-50</v>
      </c>
    </row>
    <row r="77" spans="5:88" x14ac:dyDescent="0.25">
      <c r="E77" s="150">
        <v>72</v>
      </c>
      <c r="F77" s="191">
        <f t="shared" si="173"/>
        <v>0.36</v>
      </c>
      <c r="G77" s="191">
        <f t="shared" si="156"/>
        <v>7.1999999999999995E-2</v>
      </c>
      <c r="H77" s="191">
        <f t="shared" si="105"/>
        <v>5.3999999999999995</v>
      </c>
      <c r="I77" s="191">
        <f t="shared" si="174"/>
        <v>1.1519999999999999</v>
      </c>
      <c r="J77" s="472">
        <f t="shared" si="106"/>
        <v>11.1</v>
      </c>
      <c r="K77" s="386">
        <f t="shared" si="107"/>
        <v>7.66</v>
      </c>
      <c r="L77" s="386">
        <f t="shared" si="108"/>
        <v>18.759999999999998</v>
      </c>
      <c r="M77" s="386"/>
      <c r="N77" s="191">
        <f t="shared" si="109"/>
        <v>0.40831556503198302</v>
      </c>
      <c r="O77" s="152">
        <f t="shared" si="157"/>
        <v>6.8918395170927162</v>
      </c>
      <c r="P77" s="152">
        <f t="shared" si="110"/>
        <v>1.7839143710021326</v>
      </c>
      <c r="Q77" s="191">
        <f t="shared" si="111"/>
        <v>0.45945596780618109</v>
      </c>
      <c r="R77" s="191">
        <f t="shared" si="112"/>
        <v>0.43073996981829477</v>
      </c>
      <c r="S77" s="386">
        <f t="shared" si="113"/>
        <v>15</v>
      </c>
      <c r="T77" s="191">
        <f t="shared" si="114"/>
        <v>3.2124950015289429</v>
      </c>
      <c r="U77" s="191">
        <f t="shared" si="115"/>
        <v>2.6047256769153591</v>
      </c>
      <c r="V77" s="191">
        <f t="shared" si="116"/>
        <v>3.7744719339112902</v>
      </c>
      <c r="W77" s="175">
        <f t="shared" si="117"/>
        <v>350</v>
      </c>
      <c r="X77" s="386">
        <f t="shared" si="158"/>
        <v>156.75952698233075</v>
      </c>
      <c r="Z77" s="191">
        <f t="shared" si="118"/>
        <v>1.4388262767793685</v>
      </c>
      <c r="AA77" s="153">
        <f t="shared" si="119"/>
        <v>1.6905269570514774</v>
      </c>
      <c r="AB77" s="153">
        <f t="shared" si="120"/>
        <v>0.21283277814833412</v>
      </c>
      <c r="AC77" s="153"/>
      <c r="AD77" s="153">
        <f t="shared" si="121"/>
        <v>0.96344647519582249</v>
      </c>
      <c r="AE77" s="317">
        <f t="shared" si="122"/>
        <v>1822.7245687091017</v>
      </c>
      <c r="AF77" s="463">
        <f t="shared" si="123"/>
        <v>6.9127284595300251E-2</v>
      </c>
      <c r="AH77" s="153">
        <f t="shared" si="124"/>
        <v>2.0396078054371141</v>
      </c>
      <c r="AI77" s="153">
        <f t="shared" si="125"/>
        <v>3.2124950015289429</v>
      </c>
      <c r="AJ77" s="153">
        <f t="shared" si="126"/>
        <v>2.9722185196510686</v>
      </c>
      <c r="AL77" s="317">
        <f t="shared" si="127"/>
        <v>360</v>
      </c>
      <c r="AM77" s="147">
        <f t="shared" si="128"/>
        <v>156.75952698233075</v>
      </c>
      <c r="AO77">
        <f t="shared" si="159"/>
        <v>360</v>
      </c>
      <c r="AP77">
        <f t="shared" si="129"/>
        <v>156.75952698233075</v>
      </c>
      <c r="AR77" s="5">
        <f t="shared" si="160"/>
        <v>6.3791976108266493</v>
      </c>
      <c r="AS77" s="5">
        <f t="shared" si="130"/>
        <v>2.6047256769153591</v>
      </c>
      <c r="AT77" s="5">
        <f t="shared" si="161"/>
        <v>3.7744719339112902</v>
      </c>
      <c r="AU77" s="153">
        <f t="shared" si="162"/>
        <v>0.40831556503198296</v>
      </c>
      <c r="AW77" s="5">
        <f t="shared" si="131"/>
        <v>11.33051538024511</v>
      </c>
      <c r="AX77" s="5">
        <f t="shared" si="132"/>
        <v>9.8906087596785977</v>
      </c>
      <c r="AY77" s="5">
        <f t="shared" si="133"/>
        <v>0.45203804398448061</v>
      </c>
      <c r="AZ77" s="5">
        <f t="shared" si="134"/>
        <v>1.8482656145567611</v>
      </c>
      <c r="BA77" s="5">
        <f t="shared" si="135"/>
        <v>4.4603775146293625</v>
      </c>
      <c r="BB77" s="147">
        <f t="shared" si="136"/>
        <v>114.49072759571739</v>
      </c>
      <c r="BC77" s="5"/>
      <c r="BD77" s="153">
        <f t="shared" si="163"/>
        <v>1.1851676839616192</v>
      </c>
      <c r="BE77" s="153">
        <f t="shared" si="137"/>
        <v>0.7133405461586817</v>
      </c>
      <c r="BF77" s="153">
        <f t="shared" si="138"/>
        <v>0.14285460349216997</v>
      </c>
      <c r="BG77" s="153"/>
      <c r="BH77" s="463">
        <f t="shared" si="139"/>
        <v>0.15450846830176432</v>
      </c>
      <c r="BI77" s="463">
        <f t="shared" si="140"/>
        <v>4.7236666666666663E-2</v>
      </c>
      <c r="BJ77" s="463">
        <f t="shared" si="141"/>
        <v>7.8379763491165377E-3</v>
      </c>
      <c r="BK77" s="463">
        <f t="shared" si="142"/>
        <v>1.2413153633241761E-2</v>
      </c>
      <c r="BL77">
        <f t="shared" si="143"/>
        <v>3.2190000000000001E-3</v>
      </c>
      <c r="BM77">
        <f t="shared" si="144"/>
        <v>9.5623311459221772E-6</v>
      </c>
      <c r="BN77">
        <f t="shared" si="145"/>
        <v>0.25330437067811901</v>
      </c>
      <c r="BO77" s="147">
        <f t="shared" si="164"/>
        <v>253.304370678119</v>
      </c>
      <c r="BP77" s="153">
        <f t="shared" si="146"/>
        <v>0.21527300347651804</v>
      </c>
      <c r="BQ77" s="153">
        <f t="shared" si="147"/>
        <v>3.0622256486504702E-2</v>
      </c>
      <c r="BR77" s="463"/>
      <c r="BT77" s="147">
        <f t="shared" si="165"/>
        <v>245.89525996302274</v>
      </c>
      <c r="BU77" s="463">
        <f t="shared" si="148"/>
        <v>0.11939290732409062</v>
      </c>
      <c r="BV77" s="463">
        <f t="shared" si="149"/>
        <v>9.6682399610853592E-2</v>
      </c>
      <c r="BW77" s="463">
        <f t="shared" si="150"/>
        <v>1.020371886945255E-3</v>
      </c>
      <c r="BX77" s="463">
        <f t="shared" si="151"/>
        <v>0</v>
      </c>
      <c r="BY77" s="463">
        <f t="shared" si="152"/>
        <v>0.24744469418898279</v>
      </c>
      <c r="BZ77" s="463">
        <f t="shared" si="166"/>
        <v>0.21709567882188946</v>
      </c>
      <c r="CA77" s="549">
        <f t="shared" si="153"/>
        <v>0.80888888888888888</v>
      </c>
      <c r="CB77" s="147">
        <f t="shared" si="167"/>
        <v>1056.3335830778717</v>
      </c>
      <c r="CC77" s="153">
        <f t="shared" si="168"/>
        <v>1.5555332137190134</v>
      </c>
      <c r="CD77" s="5">
        <f t="shared" si="169"/>
        <v>6.5519999999999996</v>
      </c>
      <c r="CE77" s="153">
        <f t="shared" si="170"/>
        <v>0.80813729987724925</v>
      </c>
      <c r="CF77" s="5">
        <f t="shared" si="171"/>
        <v>80.813729987724926</v>
      </c>
      <c r="CG77">
        <f t="shared" si="172"/>
        <v>72</v>
      </c>
      <c r="CI77" s="59">
        <f t="shared" si="154"/>
        <v>-50</v>
      </c>
      <c r="CJ77">
        <f t="shared" si="155"/>
        <v>-50</v>
      </c>
    </row>
    <row r="78" spans="5:88" x14ac:dyDescent="0.25">
      <c r="E78" s="150">
        <v>73</v>
      </c>
      <c r="F78" s="191">
        <f t="shared" si="173"/>
        <v>0.36499999999999999</v>
      </c>
      <c r="G78" s="191">
        <f t="shared" si="156"/>
        <v>7.2999999999999995E-2</v>
      </c>
      <c r="H78" s="191">
        <f t="shared" si="105"/>
        <v>5.4749999999999996</v>
      </c>
      <c r="I78" s="191">
        <f t="shared" si="174"/>
        <v>1.1679999999999999</v>
      </c>
      <c r="J78" s="472">
        <f t="shared" si="106"/>
        <v>11.1</v>
      </c>
      <c r="K78" s="386">
        <f t="shared" si="107"/>
        <v>7.66</v>
      </c>
      <c r="L78" s="386">
        <f t="shared" si="108"/>
        <v>18.759999999999998</v>
      </c>
      <c r="M78" s="386"/>
      <c r="N78" s="191">
        <f t="shared" si="109"/>
        <v>0.40831556503198302</v>
      </c>
      <c r="O78" s="152">
        <f t="shared" si="157"/>
        <v>6.8918395170927162</v>
      </c>
      <c r="P78" s="152">
        <f t="shared" si="110"/>
        <v>1.7839143710021326</v>
      </c>
      <c r="Q78" s="191">
        <f t="shared" si="111"/>
        <v>0.45945596780618109</v>
      </c>
      <c r="R78" s="191">
        <f t="shared" si="112"/>
        <v>0.43073996981829477</v>
      </c>
      <c r="S78" s="386">
        <f t="shared" si="113"/>
        <v>15</v>
      </c>
      <c r="T78" s="191">
        <f t="shared" si="114"/>
        <v>3.2571129876612894</v>
      </c>
      <c r="U78" s="191">
        <f t="shared" si="115"/>
        <v>2.6409024224280726</v>
      </c>
      <c r="V78" s="191">
        <f t="shared" si="116"/>
        <v>3.8268951552156141</v>
      </c>
      <c r="W78" s="175">
        <f t="shared" si="117"/>
        <v>350</v>
      </c>
      <c r="X78" s="386">
        <f t="shared" si="158"/>
        <v>154.61213620175087</v>
      </c>
      <c r="Z78" s="191">
        <f t="shared" si="118"/>
        <v>1.4388262767793685</v>
      </c>
      <c r="AA78" s="153">
        <f t="shared" si="119"/>
        <v>1.6905269570514774</v>
      </c>
      <c r="AB78" s="153">
        <f t="shared" si="120"/>
        <v>0.21283277814833412</v>
      </c>
      <c r="AC78" s="153"/>
      <c r="AD78" s="153">
        <f t="shared" si="121"/>
        <v>0.96344647519582249</v>
      </c>
      <c r="AE78" s="317">
        <f t="shared" si="122"/>
        <v>1848.0401877189504</v>
      </c>
      <c r="AF78" s="463">
        <f t="shared" si="123"/>
        <v>6.9127284595300251E-2</v>
      </c>
      <c r="AH78" s="153">
        <f t="shared" si="124"/>
        <v>2.0537229067665819</v>
      </c>
      <c r="AI78" s="153">
        <f t="shared" si="125"/>
        <v>3.2571129876612894</v>
      </c>
      <c r="AJ78" s="153">
        <f t="shared" si="126"/>
        <v>3.0052688797491034</v>
      </c>
      <c r="AL78" s="317">
        <f t="shared" si="127"/>
        <v>365</v>
      </c>
      <c r="AM78" s="147">
        <f t="shared" si="128"/>
        <v>154.61213620175087</v>
      </c>
      <c r="AO78">
        <f t="shared" si="159"/>
        <v>365</v>
      </c>
      <c r="AP78">
        <f t="shared" si="129"/>
        <v>154.61213620175087</v>
      </c>
      <c r="AR78" s="5">
        <f t="shared" si="160"/>
        <v>6.4677975776436867</v>
      </c>
      <c r="AS78" s="5">
        <f t="shared" si="130"/>
        <v>2.6409024224280726</v>
      </c>
      <c r="AT78" s="5">
        <f t="shared" si="161"/>
        <v>3.8268951552156141</v>
      </c>
      <c r="AU78" s="153">
        <f t="shared" si="162"/>
        <v>0.40831556503198296</v>
      </c>
      <c r="AW78" s="5">
        <f t="shared" si="131"/>
        <v>11.33051538024511</v>
      </c>
      <c r="AX78" s="5">
        <f t="shared" si="132"/>
        <v>10.152047469198928</v>
      </c>
      <c r="AY78" s="5">
        <f t="shared" si="133"/>
        <v>0.45203804398448061</v>
      </c>
      <c r="AZ78" s="5">
        <f t="shared" si="134"/>
        <v>1.8979350810133064</v>
      </c>
      <c r="BA78" s="5">
        <f t="shared" si="135"/>
        <v>4.5851373023649451</v>
      </c>
      <c r="BB78" s="147">
        <f t="shared" si="136"/>
        <v>117.66540411364693</v>
      </c>
      <c r="BC78" s="5"/>
      <c r="BD78" s="153">
        <f t="shared" si="163"/>
        <v>1.2016283462388639</v>
      </c>
      <c r="BE78" s="153">
        <f t="shared" si="137"/>
        <v>0.72324805374421897</v>
      </c>
      <c r="BF78" s="153">
        <f t="shared" si="138"/>
        <v>0.14483869520733902</v>
      </c>
      <c r="BG78" s="153"/>
      <c r="BH78" s="463">
        <f t="shared" si="139"/>
        <v>0.1588301750733222</v>
      </c>
      <c r="BI78" s="463">
        <f t="shared" si="140"/>
        <v>4.723666666666667E-2</v>
      </c>
      <c r="BJ78" s="463">
        <f t="shared" si="141"/>
        <v>7.7306068100875432E-3</v>
      </c>
      <c r="BK78" s="463">
        <f t="shared" si="142"/>
        <v>1.2243110432786393E-2</v>
      </c>
      <c r="BL78">
        <f t="shared" si="143"/>
        <v>3.2190000000000001E-3</v>
      </c>
      <c r="BM78">
        <f t="shared" si="144"/>
        <v>9.4313403083068046E-6</v>
      </c>
      <c r="BN78">
        <f t="shared" si="145"/>
        <v>0.25827973656895159</v>
      </c>
      <c r="BO78" s="147">
        <f t="shared" si="164"/>
        <v>258.27973656895159</v>
      </c>
      <c r="BP78" s="153">
        <f t="shared" si="146"/>
        <v>0.21935780777900554</v>
      </c>
      <c r="BQ78" s="153">
        <f t="shared" si="147"/>
        <v>3.1091476237766886E-2</v>
      </c>
      <c r="BR78" s="463"/>
      <c r="BT78" s="147">
        <f t="shared" si="165"/>
        <v>250.44928401677242</v>
      </c>
      <c r="BU78" s="463">
        <f t="shared" si="148"/>
        <v>0.12273240801120353</v>
      </c>
      <c r="BV78" s="463">
        <f t="shared" si="149"/>
        <v>9.9386671976512131E-2</v>
      </c>
      <c r="BW78" s="463">
        <f t="shared" si="150"/>
        <v>1.0489123814682226E-3</v>
      </c>
      <c r="BX78" s="463">
        <f t="shared" si="151"/>
        <v>0</v>
      </c>
      <c r="BY78" s="463">
        <f t="shared" si="152"/>
        <v>0.25449170365991775</v>
      </c>
      <c r="BZ78" s="463">
        <f t="shared" si="166"/>
        <v>0.22316799236918389</v>
      </c>
      <c r="CA78" s="549">
        <f t="shared" si="153"/>
        <v>0.82012345679012322</v>
      </c>
      <c r="CB78" s="147">
        <f t="shared" si="167"/>
        <v>1074.615160450041</v>
      </c>
      <c r="CC78" s="153">
        <f t="shared" si="168"/>
        <v>1.5833441810357649</v>
      </c>
      <c r="CD78" s="5">
        <f t="shared" si="169"/>
        <v>6.6429999999999998</v>
      </c>
      <c r="CE78" s="153">
        <f t="shared" si="170"/>
        <v>0.80752760324739914</v>
      </c>
      <c r="CF78" s="5">
        <f t="shared" si="171"/>
        <v>80.75276032473991</v>
      </c>
      <c r="CG78">
        <f t="shared" si="172"/>
        <v>73</v>
      </c>
      <c r="CI78" s="59">
        <f t="shared" si="154"/>
        <v>-50</v>
      </c>
      <c r="CJ78">
        <f t="shared" si="155"/>
        <v>-50</v>
      </c>
    </row>
    <row r="79" spans="5:88" x14ac:dyDescent="0.25">
      <c r="E79" s="150">
        <v>74</v>
      </c>
      <c r="F79" s="191">
        <f t="shared" si="173"/>
        <v>0.37</v>
      </c>
      <c r="G79" s="191">
        <f t="shared" si="156"/>
        <v>7.3999999999999996E-2</v>
      </c>
      <c r="H79" s="191">
        <f t="shared" si="105"/>
        <v>5.55</v>
      </c>
      <c r="I79" s="191">
        <f t="shared" si="174"/>
        <v>1.1839999999999999</v>
      </c>
      <c r="J79" s="472">
        <f t="shared" si="106"/>
        <v>11.1</v>
      </c>
      <c r="K79" s="386">
        <f t="shared" si="107"/>
        <v>7.66</v>
      </c>
      <c r="L79" s="386">
        <f t="shared" si="108"/>
        <v>18.759999999999998</v>
      </c>
      <c r="M79" s="386"/>
      <c r="N79" s="191">
        <f t="shared" si="109"/>
        <v>0.40831556503198302</v>
      </c>
      <c r="O79" s="152">
        <f t="shared" si="157"/>
        <v>6.8918395170927162</v>
      </c>
      <c r="P79" s="152">
        <f t="shared" si="110"/>
        <v>1.7839143710021326</v>
      </c>
      <c r="Q79" s="191">
        <f t="shared" si="111"/>
        <v>0.45945596780618109</v>
      </c>
      <c r="R79" s="191">
        <f t="shared" si="112"/>
        <v>0.43073996981829477</v>
      </c>
      <c r="S79" s="386">
        <f t="shared" si="113"/>
        <v>15</v>
      </c>
      <c r="T79" s="191">
        <f t="shared" si="114"/>
        <v>3.301730973793636</v>
      </c>
      <c r="U79" s="191">
        <f t="shared" si="115"/>
        <v>2.6770791679407862</v>
      </c>
      <c r="V79" s="191">
        <f t="shared" si="116"/>
        <v>3.8793183765199375</v>
      </c>
      <c r="W79" s="175">
        <f t="shared" si="117"/>
        <v>350</v>
      </c>
      <c r="X79" s="386">
        <f t="shared" si="158"/>
        <v>152.52278300983531</v>
      </c>
      <c r="Z79" s="191">
        <f t="shared" si="118"/>
        <v>1.4388262767793685</v>
      </c>
      <c r="AA79" s="153">
        <f t="shared" si="119"/>
        <v>1.6905269570514774</v>
      </c>
      <c r="AB79" s="153">
        <f t="shared" si="120"/>
        <v>0.21283277814833412</v>
      </c>
      <c r="AC79" s="153"/>
      <c r="AD79" s="153">
        <f t="shared" si="121"/>
        <v>0.96344647519582249</v>
      </c>
      <c r="AE79" s="317">
        <f t="shared" si="122"/>
        <v>1873.3558067287991</v>
      </c>
      <c r="AF79" s="463">
        <f t="shared" si="123"/>
        <v>6.9127284595300251E-2</v>
      </c>
      <c r="AH79" s="153">
        <f t="shared" si="124"/>
        <v>2.0677416559027764</v>
      </c>
      <c r="AI79" s="153">
        <f t="shared" si="125"/>
        <v>3.301730973793636</v>
      </c>
      <c r="AJ79" s="153">
        <f t="shared" si="126"/>
        <v>3.0383192398471377</v>
      </c>
      <c r="AL79" s="317">
        <f t="shared" si="127"/>
        <v>370</v>
      </c>
      <c r="AM79" s="147">
        <f t="shared" si="128"/>
        <v>152.52278300983531</v>
      </c>
      <c r="AO79">
        <f t="shared" si="159"/>
        <v>370</v>
      </c>
      <c r="AP79">
        <f t="shared" si="129"/>
        <v>152.52278300983531</v>
      </c>
      <c r="AR79" s="5">
        <f t="shared" si="160"/>
        <v>6.5563975444607232</v>
      </c>
      <c r="AS79" s="5">
        <f t="shared" si="130"/>
        <v>2.6770791679407862</v>
      </c>
      <c r="AT79" s="5">
        <f t="shared" si="161"/>
        <v>3.8793183765199371</v>
      </c>
      <c r="AU79" s="153">
        <f t="shared" si="162"/>
        <v>0.40831556503198302</v>
      </c>
      <c r="AW79" s="5">
        <f t="shared" si="131"/>
        <v>11.33051538024511</v>
      </c>
      <c r="AX79" s="5">
        <f t="shared" si="132"/>
        <v>10.416885333333333</v>
      </c>
      <c r="AY79" s="5">
        <f t="shared" si="133"/>
        <v>0.45203804398448061</v>
      </c>
      <c r="AZ79" s="5">
        <f t="shared" si="134"/>
        <v>1.9482620573520106</v>
      </c>
      <c r="BA79" s="5">
        <f t="shared" si="135"/>
        <v>4.7116179147589481</v>
      </c>
      <c r="BB79" s="147">
        <f t="shared" si="136"/>
        <v>120.88349234455025</v>
      </c>
      <c r="BC79" s="5"/>
      <c r="BD79" s="153">
        <f t="shared" si="163"/>
        <v>1.2180890085161089</v>
      </c>
      <c r="BE79" s="153">
        <f t="shared" si="137"/>
        <v>0.73315556132975623</v>
      </c>
      <c r="BF79" s="153">
        <f t="shared" si="138"/>
        <v>0.14682278692250808</v>
      </c>
      <c r="BG79" s="153"/>
      <c r="BH79" s="463">
        <f t="shared" si="139"/>
        <v>0.1632114915934533</v>
      </c>
      <c r="BI79" s="463">
        <f t="shared" si="140"/>
        <v>4.7236666666666663E-2</v>
      </c>
      <c r="BJ79" s="463">
        <f t="shared" si="141"/>
        <v>7.6261391504917645E-3</v>
      </c>
      <c r="BK79" s="463">
        <f t="shared" si="142"/>
        <v>1.2077662994505495E-2</v>
      </c>
      <c r="BL79">
        <f t="shared" si="143"/>
        <v>3.2190000000000001E-3</v>
      </c>
      <c r="BM79">
        <f t="shared" si="144"/>
        <v>9.3038897635999537E-6</v>
      </c>
      <c r="BN79">
        <f t="shared" si="145"/>
        <v>0.26334375995079379</v>
      </c>
      <c r="BO79" s="147">
        <f t="shared" si="164"/>
        <v>263.34375995079381</v>
      </c>
      <c r="BP79" s="153">
        <f t="shared" si="146"/>
        <v>0.22347260938221697</v>
      </c>
      <c r="BQ79" s="153">
        <f t="shared" si="147"/>
        <v>3.1561899020080969E-2</v>
      </c>
      <c r="BR79" s="463"/>
      <c r="BT79" s="147">
        <f t="shared" si="165"/>
        <v>255.03450840229792</v>
      </c>
      <c r="BU79" s="463">
        <f t="shared" si="148"/>
        <v>0.12611797077675937</v>
      </c>
      <c r="BV79" s="463">
        <f t="shared" si="149"/>
        <v>0.10212824465066249</v>
      </c>
      <c r="BW79" s="463">
        <f t="shared" si="150"/>
        <v>1.0778465379846106E-3</v>
      </c>
      <c r="BX79" s="463">
        <f t="shared" si="151"/>
        <v>0</v>
      </c>
      <c r="BY79" s="463">
        <f t="shared" si="152"/>
        <v>0.26164303284745749</v>
      </c>
      <c r="BZ79" s="463">
        <f t="shared" si="166"/>
        <v>0.22932406196540647</v>
      </c>
      <c r="CA79" s="549">
        <f t="shared" si="153"/>
        <v>0.83135802469135789</v>
      </c>
      <c r="CB79" s="147">
        <f t="shared" si="167"/>
        <v>1093.0010575388153</v>
      </c>
      <c r="CC79" s="153">
        <f t="shared" si="168"/>
        <v>1.6113793258919071</v>
      </c>
      <c r="CD79" s="5">
        <f t="shared" si="169"/>
        <v>6.734</v>
      </c>
      <c r="CE79" s="153">
        <f t="shared" si="170"/>
        <v>0.80691359098650783</v>
      </c>
      <c r="CF79" s="5">
        <f t="shared" si="171"/>
        <v>80.691359098650778</v>
      </c>
      <c r="CG79">
        <f t="shared" si="172"/>
        <v>74</v>
      </c>
      <c r="CI79" s="59">
        <f t="shared" si="154"/>
        <v>-50</v>
      </c>
      <c r="CJ79">
        <f t="shared" si="155"/>
        <v>-50</v>
      </c>
    </row>
    <row r="80" spans="5:88" x14ac:dyDescent="0.25">
      <c r="E80" s="150">
        <v>75</v>
      </c>
      <c r="F80" s="191">
        <f t="shared" si="173"/>
        <v>0.375</v>
      </c>
      <c r="G80" s="191">
        <f t="shared" si="156"/>
        <v>7.5000000000000011E-2</v>
      </c>
      <c r="H80" s="191">
        <f t="shared" si="105"/>
        <v>5.625</v>
      </c>
      <c r="I80" s="191">
        <f t="shared" si="174"/>
        <v>1.2000000000000002</v>
      </c>
      <c r="J80" s="472">
        <f t="shared" si="106"/>
        <v>11.1</v>
      </c>
      <c r="K80" s="386">
        <f t="shared" si="107"/>
        <v>7.66</v>
      </c>
      <c r="L80" s="386">
        <f t="shared" si="108"/>
        <v>18.759999999999998</v>
      </c>
      <c r="M80" s="386"/>
      <c r="N80" s="191">
        <f t="shared" si="109"/>
        <v>0.40831556503198302</v>
      </c>
      <c r="O80" s="152">
        <f t="shared" si="157"/>
        <v>6.8918395170927162</v>
      </c>
      <c r="P80" s="152">
        <f t="shared" si="110"/>
        <v>1.7839143710021326</v>
      </c>
      <c r="Q80" s="191">
        <f t="shared" si="111"/>
        <v>0.45945596780618109</v>
      </c>
      <c r="R80" s="191">
        <f t="shared" si="112"/>
        <v>0.43073996981829477</v>
      </c>
      <c r="S80" s="386">
        <f t="shared" si="113"/>
        <v>15</v>
      </c>
      <c r="T80" s="191">
        <f t="shared" si="114"/>
        <v>3.3463489599259826</v>
      </c>
      <c r="U80" s="191">
        <f t="shared" si="115"/>
        <v>2.7132559134534997</v>
      </c>
      <c r="V80" s="191">
        <f t="shared" si="116"/>
        <v>3.9317415978242614</v>
      </c>
      <c r="W80" s="175">
        <f t="shared" si="117"/>
        <v>350</v>
      </c>
      <c r="X80" s="386">
        <f t="shared" si="158"/>
        <v>150.48914590303747</v>
      </c>
      <c r="Z80" s="191">
        <f t="shared" si="118"/>
        <v>1.4388262767793685</v>
      </c>
      <c r="AA80" s="153">
        <f t="shared" si="119"/>
        <v>1.6905269570514774</v>
      </c>
      <c r="AB80" s="153">
        <f t="shared" si="120"/>
        <v>0.21283277814833412</v>
      </c>
      <c r="AC80" s="153"/>
      <c r="AD80" s="153">
        <f t="shared" si="121"/>
        <v>0.96344647519582249</v>
      </c>
      <c r="AE80" s="317">
        <f t="shared" si="122"/>
        <v>1898.6714257386477</v>
      </c>
      <c r="AF80" s="463">
        <f t="shared" si="123"/>
        <v>6.9127284595300251E-2</v>
      </c>
      <c r="AH80" s="153">
        <f t="shared" si="124"/>
        <v>2.0816659994661331</v>
      </c>
      <c r="AI80" s="153">
        <f t="shared" si="125"/>
        <v>3.3463489599259826</v>
      </c>
      <c r="AJ80" s="153">
        <f t="shared" si="126"/>
        <v>3.0713695999451724</v>
      </c>
      <c r="AL80" s="317">
        <f t="shared" si="127"/>
        <v>375</v>
      </c>
      <c r="AM80" s="147">
        <f t="shared" si="128"/>
        <v>150.48914590303747</v>
      </c>
      <c r="AO80">
        <f t="shared" si="159"/>
        <v>375</v>
      </c>
      <c r="AP80">
        <f t="shared" si="129"/>
        <v>150.48914590303747</v>
      </c>
      <c r="AR80" s="5">
        <f t="shared" si="160"/>
        <v>6.6449975112777624</v>
      </c>
      <c r="AS80" s="5">
        <f t="shared" si="130"/>
        <v>2.7132559134534997</v>
      </c>
      <c r="AT80" s="5">
        <f t="shared" si="161"/>
        <v>3.9317415978242627</v>
      </c>
      <c r="AU80" s="153">
        <f t="shared" si="162"/>
        <v>0.40831556503198291</v>
      </c>
      <c r="AW80" s="5">
        <f t="shared" si="131"/>
        <v>11.33051538024511</v>
      </c>
      <c r="AX80" s="5">
        <f t="shared" si="132"/>
        <v>10.685122352081812</v>
      </c>
      <c r="AY80" s="5">
        <f t="shared" si="133"/>
        <v>0.45203804398448061</v>
      </c>
      <c r="AZ80" s="5">
        <f t="shared" si="134"/>
        <v>1.9992465435728755</v>
      </c>
      <c r="BA80" s="5">
        <f t="shared" si="135"/>
        <v>4.8398193518113768</v>
      </c>
      <c r="BB80" s="147">
        <f t="shared" si="136"/>
        <v>124.1449922884275</v>
      </c>
      <c r="BC80" s="5"/>
      <c r="BD80" s="153">
        <f t="shared" si="163"/>
        <v>1.2345496707933534</v>
      </c>
      <c r="BE80" s="153">
        <f t="shared" si="137"/>
        <v>0.74306306891529361</v>
      </c>
      <c r="BF80" s="153">
        <f t="shared" si="138"/>
        <v>0.14880687863767711</v>
      </c>
      <c r="BG80" s="153"/>
      <c r="BH80" s="463">
        <f t="shared" si="139"/>
        <v>0.16765241786215751</v>
      </c>
      <c r="BI80" s="463">
        <f t="shared" si="140"/>
        <v>4.7236666666666649E-2</v>
      </c>
      <c r="BJ80" s="463">
        <f t="shared" si="141"/>
        <v>7.5244572951518734E-3</v>
      </c>
      <c r="BK80" s="463">
        <f t="shared" si="142"/>
        <v>1.1916627487912085E-2</v>
      </c>
      <c r="BL80">
        <f t="shared" si="143"/>
        <v>3.2190000000000001E-3</v>
      </c>
      <c r="BM80">
        <f t="shared" si="144"/>
        <v>9.1798379000852865E-6</v>
      </c>
      <c r="BN80">
        <f t="shared" si="145"/>
        <v>0.26849652547683689</v>
      </c>
      <c r="BO80" s="147">
        <f t="shared" si="164"/>
        <v>268.49652547683689</v>
      </c>
      <c r="BP80" s="153">
        <f t="shared" si="146"/>
        <v>0.22761740828615246</v>
      </c>
      <c r="BQ80" s="153">
        <f t="shared" si="147"/>
        <v>3.2033524833446944E-2</v>
      </c>
      <c r="BR80" s="463"/>
      <c r="BT80" s="147">
        <f t="shared" si="165"/>
        <v>259.65093311959942</v>
      </c>
      <c r="BU80" s="463">
        <f t="shared" si="148"/>
        <v>0.12954959562075807</v>
      </c>
      <c r="BV80" s="463">
        <f t="shared" si="149"/>
        <v>0.10490711763330472</v>
      </c>
      <c r="BW80" s="463">
        <f t="shared" si="150"/>
        <v>1.1071743564944182E-3</v>
      </c>
      <c r="BX80" s="463">
        <f t="shared" si="151"/>
        <v>0</v>
      </c>
      <c r="BY80" s="463">
        <f t="shared" si="152"/>
        <v>0.26889898535296641</v>
      </c>
      <c r="BZ80" s="463">
        <f t="shared" si="166"/>
        <v>0.23556388761055722</v>
      </c>
      <c r="CA80" s="549">
        <f t="shared" si="153"/>
        <v>0.84259259259259234</v>
      </c>
      <c r="CB80" s="147">
        <f t="shared" si="167"/>
        <v>1111.4915779455587</v>
      </c>
      <c r="CC80" s="153">
        <f t="shared" si="168"/>
        <v>1.6396390365419951</v>
      </c>
      <c r="CD80" s="5">
        <f t="shared" si="169"/>
        <v>6.8250000000000002</v>
      </c>
      <c r="CE80" s="153">
        <f t="shared" si="170"/>
        <v>0.80629545696353433</v>
      </c>
      <c r="CF80" s="5">
        <f t="shared" si="171"/>
        <v>80.629545696353432</v>
      </c>
      <c r="CG80">
        <f t="shared" si="172"/>
        <v>75</v>
      </c>
      <c r="CI80" s="59">
        <f t="shared" si="154"/>
        <v>-50</v>
      </c>
      <c r="CJ80">
        <f t="shared" si="155"/>
        <v>-50</v>
      </c>
    </row>
    <row r="81" spans="5:88" x14ac:dyDescent="0.25">
      <c r="E81" s="150">
        <v>76</v>
      </c>
      <c r="F81" s="191">
        <f t="shared" si="173"/>
        <v>0.38</v>
      </c>
      <c r="G81" s="191">
        <f t="shared" si="156"/>
        <v>7.6000000000000012E-2</v>
      </c>
      <c r="H81" s="191">
        <f t="shared" si="105"/>
        <v>5.7</v>
      </c>
      <c r="I81" s="191">
        <f t="shared" si="174"/>
        <v>1.2160000000000002</v>
      </c>
      <c r="J81" s="472">
        <f t="shared" si="106"/>
        <v>11.1</v>
      </c>
      <c r="K81" s="386">
        <f t="shared" si="107"/>
        <v>7.66</v>
      </c>
      <c r="L81" s="386">
        <f t="shared" si="108"/>
        <v>18.759999999999998</v>
      </c>
      <c r="M81" s="386"/>
      <c r="N81" s="191">
        <f t="shared" si="109"/>
        <v>0.40831556503198302</v>
      </c>
      <c r="O81" s="152">
        <f t="shared" si="157"/>
        <v>6.8918395170927162</v>
      </c>
      <c r="P81" s="152">
        <f t="shared" si="110"/>
        <v>1.7839143710021326</v>
      </c>
      <c r="Q81" s="191">
        <f t="shared" si="111"/>
        <v>0.45945596780618109</v>
      </c>
      <c r="R81" s="191">
        <f t="shared" si="112"/>
        <v>0.43073996981829477</v>
      </c>
      <c r="S81" s="386">
        <f t="shared" si="113"/>
        <v>15</v>
      </c>
      <c r="T81" s="191">
        <f t="shared" si="114"/>
        <v>3.3909669460583292</v>
      </c>
      <c r="U81" s="191">
        <f t="shared" si="115"/>
        <v>2.7494326589662128</v>
      </c>
      <c r="V81" s="191">
        <f t="shared" si="116"/>
        <v>3.9841648191285848</v>
      </c>
      <c r="W81" s="175">
        <f t="shared" si="117"/>
        <v>350</v>
      </c>
      <c r="X81" s="386">
        <f t="shared" si="158"/>
        <v>148.50902556220808</v>
      </c>
      <c r="Z81" s="191">
        <f t="shared" si="118"/>
        <v>1.4388262767793685</v>
      </c>
      <c r="AA81" s="153">
        <f t="shared" si="119"/>
        <v>1.6905269570514774</v>
      </c>
      <c r="AB81" s="153">
        <f t="shared" si="120"/>
        <v>0.21283277814833412</v>
      </c>
      <c r="AC81" s="153"/>
      <c r="AD81" s="153">
        <f t="shared" si="121"/>
        <v>0.96344647519582249</v>
      </c>
      <c r="AE81" s="317">
        <f t="shared" si="122"/>
        <v>1923.9870447484966</v>
      </c>
      <c r="AF81" s="463">
        <f t="shared" si="123"/>
        <v>6.9127284595300251E-2</v>
      </c>
      <c r="AH81" s="153">
        <f t="shared" si="124"/>
        <v>2.0954978194002285</v>
      </c>
      <c r="AI81" s="153">
        <f t="shared" si="125"/>
        <v>3.3909669460583292</v>
      </c>
      <c r="AJ81" s="153">
        <f t="shared" si="126"/>
        <v>3.1044199600432067</v>
      </c>
      <c r="AL81" s="317">
        <f t="shared" si="127"/>
        <v>380</v>
      </c>
      <c r="AM81" s="147">
        <f t="shared" si="128"/>
        <v>148.50902556220808</v>
      </c>
      <c r="AO81">
        <f t="shared" si="159"/>
        <v>380</v>
      </c>
      <c r="AP81">
        <f t="shared" si="129"/>
        <v>148.50902556220808</v>
      </c>
      <c r="AR81" s="5">
        <f t="shared" si="160"/>
        <v>6.7335974780947963</v>
      </c>
      <c r="AS81" s="5">
        <f t="shared" si="130"/>
        <v>2.7494326589662128</v>
      </c>
      <c r="AT81" s="5">
        <f t="shared" si="161"/>
        <v>3.9841648191285834</v>
      </c>
      <c r="AU81" s="153">
        <f t="shared" si="162"/>
        <v>0.40831556503198302</v>
      </c>
      <c r="AW81" s="5">
        <f t="shared" si="131"/>
        <v>11.33051538024511</v>
      </c>
      <c r="AX81" s="5">
        <f t="shared" si="132"/>
        <v>10.956758525444364</v>
      </c>
      <c r="AY81" s="5">
        <f t="shared" si="133"/>
        <v>0.45203804398448061</v>
      </c>
      <c r="AZ81" s="5">
        <f t="shared" si="134"/>
        <v>2.0508885396758982</v>
      </c>
      <c r="BA81" s="5">
        <f t="shared" si="135"/>
        <v>4.9697416135222214</v>
      </c>
      <c r="BB81" s="147">
        <f t="shared" si="136"/>
        <v>127.44990394527839</v>
      </c>
      <c r="BC81" s="5"/>
      <c r="BD81" s="153">
        <f t="shared" si="163"/>
        <v>1.2510103330705984</v>
      </c>
      <c r="BE81" s="153">
        <f t="shared" si="137"/>
        <v>0.75297057650083088</v>
      </c>
      <c r="BF81" s="153">
        <f t="shared" si="138"/>
        <v>0.15079097035284614</v>
      </c>
      <c r="BG81" s="153"/>
      <c r="BH81" s="463">
        <f t="shared" si="139"/>
        <v>0.17215295387943505</v>
      </c>
      <c r="BI81" s="463">
        <f t="shared" si="140"/>
        <v>4.723666666666667E-2</v>
      </c>
      <c r="BJ81" s="463">
        <f t="shared" si="141"/>
        <v>7.4254512781104041E-3</v>
      </c>
      <c r="BK81" s="463">
        <f t="shared" si="142"/>
        <v>1.1759829757807984E-2</v>
      </c>
      <c r="BL81">
        <f t="shared" si="143"/>
        <v>3.2190000000000001E-3</v>
      </c>
      <c r="BM81">
        <f t="shared" si="144"/>
        <v>9.0590505592946939E-6</v>
      </c>
      <c r="BN81">
        <f t="shared" si="145"/>
        <v>0.27373814044291128</v>
      </c>
      <c r="BO81" s="147">
        <f t="shared" si="164"/>
        <v>273.73814044291129</v>
      </c>
      <c r="BP81" s="153">
        <f t="shared" si="146"/>
        <v>0.23179220449081187</v>
      </c>
      <c r="BQ81" s="153">
        <f t="shared" si="147"/>
        <v>3.2506353677864808E-2</v>
      </c>
      <c r="BR81" s="463"/>
      <c r="BT81" s="147">
        <f t="shared" si="165"/>
        <v>264.29855816867666</v>
      </c>
      <c r="BU81" s="463">
        <f t="shared" si="148"/>
        <v>0.13302728254319982</v>
      </c>
      <c r="BV81" s="463">
        <f t="shared" si="149"/>
        <v>0.10772329092443879</v>
      </c>
      <c r="BW81" s="463">
        <f t="shared" si="150"/>
        <v>1.1368958369976461E-3</v>
      </c>
      <c r="BX81" s="463">
        <f t="shared" si="151"/>
        <v>0</v>
      </c>
      <c r="BY81" s="463">
        <f t="shared" si="152"/>
        <v>0.27625986968099786</v>
      </c>
      <c r="BZ81" s="463">
        <f t="shared" si="166"/>
        <v>0.24188746930463625</v>
      </c>
      <c r="CA81" s="549">
        <f t="shared" si="153"/>
        <v>0.85382716049382723</v>
      </c>
      <c r="CB81" s="147">
        <f t="shared" si="167"/>
        <v>1130.0870301748253</v>
      </c>
      <c r="CC81" s="153">
        <f t="shared" si="168"/>
        <v>1.668123728786413</v>
      </c>
      <c r="CD81" s="5">
        <f t="shared" si="169"/>
        <v>6.9160000000000004</v>
      </c>
      <c r="CE81" s="153">
        <f t="shared" si="170"/>
        <v>0.80567338245691333</v>
      </c>
      <c r="CF81" s="5">
        <f t="shared" si="171"/>
        <v>80.567338245691332</v>
      </c>
      <c r="CG81">
        <f t="shared" si="172"/>
        <v>76</v>
      </c>
      <c r="CI81" s="59">
        <f t="shared" si="154"/>
        <v>-50</v>
      </c>
      <c r="CJ81">
        <f t="shared" si="155"/>
        <v>-50</v>
      </c>
    </row>
    <row r="82" spans="5:88" x14ac:dyDescent="0.25">
      <c r="E82" s="150">
        <v>77</v>
      </c>
      <c r="F82" s="191">
        <f t="shared" si="173"/>
        <v>0.38500000000000001</v>
      </c>
      <c r="G82" s="191">
        <f t="shared" si="156"/>
        <v>7.7000000000000013E-2</v>
      </c>
      <c r="H82" s="191">
        <f t="shared" si="105"/>
        <v>5.7750000000000004</v>
      </c>
      <c r="I82" s="191">
        <f t="shared" si="174"/>
        <v>1.2320000000000002</v>
      </c>
      <c r="J82" s="472">
        <f t="shared" si="106"/>
        <v>11.1</v>
      </c>
      <c r="K82" s="386">
        <f t="shared" si="107"/>
        <v>7.66</v>
      </c>
      <c r="L82" s="386">
        <f t="shared" si="108"/>
        <v>18.759999999999998</v>
      </c>
      <c r="M82" s="386"/>
      <c r="N82" s="191">
        <f t="shared" si="109"/>
        <v>0.40831556503198302</v>
      </c>
      <c r="O82" s="152">
        <f t="shared" si="157"/>
        <v>6.8918395170927162</v>
      </c>
      <c r="P82" s="152">
        <f t="shared" si="110"/>
        <v>1.7839143710021326</v>
      </c>
      <c r="Q82" s="191">
        <f t="shared" si="111"/>
        <v>0.45945596780618109</v>
      </c>
      <c r="R82" s="191">
        <f t="shared" si="112"/>
        <v>0.43073996981829477</v>
      </c>
      <c r="S82" s="386">
        <f t="shared" si="113"/>
        <v>15</v>
      </c>
      <c r="T82" s="191">
        <f t="shared" si="114"/>
        <v>3.4355849321906757</v>
      </c>
      <c r="U82" s="191">
        <f t="shared" si="115"/>
        <v>2.7856094044789264</v>
      </c>
      <c r="V82" s="191">
        <f t="shared" si="116"/>
        <v>4.0365880404329086</v>
      </c>
      <c r="W82" s="175">
        <f t="shared" si="117"/>
        <v>350</v>
      </c>
      <c r="X82" s="386">
        <f t="shared" si="158"/>
        <v>146.58033691854303</v>
      </c>
      <c r="Z82" s="191">
        <f t="shared" si="118"/>
        <v>1.4388262767793685</v>
      </c>
      <c r="AA82" s="153">
        <f t="shared" si="119"/>
        <v>1.6905269570514774</v>
      </c>
      <c r="AB82" s="153">
        <f t="shared" si="120"/>
        <v>0.21283277814833412</v>
      </c>
      <c r="AC82" s="153"/>
      <c r="AD82" s="153">
        <f t="shared" si="121"/>
        <v>0.96344647519582249</v>
      </c>
      <c r="AE82" s="317">
        <f t="shared" si="122"/>
        <v>1949.3026637583453</v>
      </c>
      <c r="AF82" s="463">
        <f t="shared" si="123"/>
        <v>6.9127284595300251E-2</v>
      </c>
      <c r="AH82" s="153">
        <f t="shared" si="124"/>
        <v>2.1092389359408501</v>
      </c>
      <c r="AI82" s="153">
        <f t="shared" si="125"/>
        <v>3.4355849321906757</v>
      </c>
      <c r="AJ82" s="153">
        <f t="shared" si="126"/>
        <v>3.1374703201412411</v>
      </c>
      <c r="AL82" s="317">
        <f t="shared" si="127"/>
        <v>385</v>
      </c>
      <c r="AM82" s="147">
        <f t="shared" si="128"/>
        <v>146.58033691854303</v>
      </c>
      <c r="AO82">
        <f t="shared" si="159"/>
        <v>385</v>
      </c>
      <c r="AP82">
        <f t="shared" si="129"/>
        <v>146.58033691854303</v>
      </c>
      <c r="AR82" s="5">
        <f t="shared" si="160"/>
        <v>6.8221974449118346</v>
      </c>
      <c r="AS82" s="5">
        <f t="shared" si="130"/>
        <v>2.7856094044789264</v>
      </c>
      <c r="AT82" s="5">
        <f t="shared" si="161"/>
        <v>4.0365880404329086</v>
      </c>
      <c r="AU82" s="153">
        <f t="shared" si="162"/>
        <v>0.40831556503198296</v>
      </c>
      <c r="AW82" s="5">
        <f t="shared" si="131"/>
        <v>11.33051538024511</v>
      </c>
      <c r="AX82" s="5">
        <f t="shared" si="132"/>
        <v>11.231793853420989</v>
      </c>
      <c r="AY82" s="5">
        <f t="shared" si="133"/>
        <v>0.45203804398448061</v>
      </c>
      <c r="AZ82" s="5">
        <f t="shared" si="134"/>
        <v>2.1031880456610805</v>
      </c>
      <c r="BA82" s="5">
        <f t="shared" si="135"/>
        <v>5.1013846998914927</v>
      </c>
      <c r="BB82" s="147">
        <f t="shared" si="136"/>
        <v>130.79822731510328</v>
      </c>
      <c r="BC82" s="5"/>
      <c r="BD82" s="153">
        <f t="shared" si="163"/>
        <v>1.2674709953478431</v>
      </c>
      <c r="BE82" s="153">
        <f t="shared" si="137"/>
        <v>0.76287808408636815</v>
      </c>
      <c r="BF82" s="153">
        <f t="shared" si="138"/>
        <v>0.15277506206801514</v>
      </c>
      <c r="BG82" s="153"/>
      <c r="BH82" s="463">
        <f t="shared" si="139"/>
        <v>0.17671309964528573</v>
      </c>
      <c r="BI82" s="463">
        <f t="shared" si="140"/>
        <v>4.723666666666667E-2</v>
      </c>
      <c r="BJ82" s="463">
        <f t="shared" si="141"/>
        <v>7.3290168459271511E-3</v>
      </c>
      <c r="BK82" s="463">
        <f t="shared" si="142"/>
        <v>1.1607104696018267E-2</v>
      </c>
      <c r="BL82">
        <f t="shared" si="143"/>
        <v>3.2190000000000001E-3</v>
      </c>
      <c r="BM82">
        <f t="shared" si="144"/>
        <v>8.941400552031125E-6</v>
      </c>
      <c r="BN82">
        <f t="shared" si="145"/>
        <v>0.27906873383555925</v>
      </c>
      <c r="BO82" s="147">
        <f t="shared" si="164"/>
        <v>279.06873383555927</v>
      </c>
      <c r="BP82" s="153">
        <f t="shared" si="146"/>
        <v>0.2359969979961952</v>
      </c>
      <c r="BQ82" s="153">
        <f t="shared" si="147"/>
        <v>3.2980385553334574E-2</v>
      </c>
      <c r="BR82" s="463"/>
      <c r="BT82" s="147">
        <f t="shared" si="165"/>
        <v>268.97738354952975</v>
      </c>
      <c r="BU82" s="463">
        <f t="shared" si="148"/>
        <v>0.13655103154408443</v>
      </c>
      <c r="BV82" s="463">
        <f t="shared" si="149"/>
        <v>0.11057676452406467</v>
      </c>
      <c r="BW82" s="463">
        <f t="shared" si="150"/>
        <v>1.1670109794942941E-3</v>
      </c>
      <c r="BX82" s="463">
        <f t="shared" si="151"/>
        <v>0</v>
      </c>
      <c r="BY82" s="463">
        <f t="shared" si="152"/>
        <v>0.28372599927286918</v>
      </c>
      <c r="BZ82" s="463">
        <f t="shared" si="166"/>
        <v>0.2482948070476434</v>
      </c>
      <c r="CA82" s="549">
        <f t="shared" si="153"/>
        <v>0.8650617283950619</v>
      </c>
      <c r="CB82" s="147">
        <f t="shared" si="167"/>
        <v>1148.787727667931</v>
      </c>
      <c r="CC82" s="153">
        <f t="shared" si="168"/>
        <v>1.69683384505302</v>
      </c>
      <c r="CD82" s="5">
        <f t="shared" si="169"/>
        <v>7.0070000000000006</v>
      </c>
      <c r="CE82" s="153">
        <f t="shared" si="170"/>
        <v>0.80504753706696208</v>
      </c>
      <c r="CF82" s="5">
        <f t="shared" si="171"/>
        <v>80.504753706696206</v>
      </c>
      <c r="CG82">
        <f t="shared" si="172"/>
        <v>77</v>
      </c>
      <c r="CI82" s="59">
        <f t="shared" si="154"/>
        <v>-50</v>
      </c>
      <c r="CJ82">
        <f t="shared" si="155"/>
        <v>-50</v>
      </c>
    </row>
    <row r="83" spans="5:88" x14ac:dyDescent="0.25">
      <c r="E83" s="150">
        <v>78</v>
      </c>
      <c r="F83" s="191">
        <f t="shared" si="173"/>
        <v>0.39</v>
      </c>
      <c r="G83" s="191">
        <f t="shared" si="156"/>
        <v>7.8000000000000014E-2</v>
      </c>
      <c r="H83" s="191">
        <f t="shared" si="105"/>
        <v>5.8500000000000005</v>
      </c>
      <c r="I83" s="191">
        <f t="shared" si="174"/>
        <v>1.2480000000000002</v>
      </c>
      <c r="J83" s="472">
        <f t="shared" si="106"/>
        <v>11.1</v>
      </c>
      <c r="K83" s="386">
        <f t="shared" si="107"/>
        <v>7.66</v>
      </c>
      <c r="L83" s="386">
        <f t="shared" si="108"/>
        <v>18.759999999999998</v>
      </c>
      <c r="M83" s="386"/>
      <c r="N83" s="191">
        <f t="shared" si="109"/>
        <v>0.40831556503198302</v>
      </c>
      <c r="O83" s="152">
        <f t="shared" si="157"/>
        <v>6.8918395170927162</v>
      </c>
      <c r="P83" s="152">
        <f t="shared" si="110"/>
        <v>1.7839143710021326</v>
      </c>
      <c r="Q83" s="191">
        <f t="shared" si="111"/>
        <v>0.45945596780618109</v>
      </c>
      <c r="R83" s="191">
        <f t="shared" si="112"/>
        <v>0.43073996981829477</v>
      </c>
      <c r="S83" s="386">
        <f t="shared" si="113"/>
        <v>15</v>
      </c>
      <c r="T83" s="191">
        <f t="shared" si="114"/>
        <v>3.4802029183230223</v>
      </c>
      <c r="U83" s="191">
        <f t="shared" si="115"/>
        <v>2.8217861499916399</v>
      </c>
      <c r="V83" s="191">
        <f t="shared" si="116"/>
        <v>4.0890112617372321</v>
      </c>
      <c r="W83" s="175">
        <f t="shared" si="117"/>
        <v>350</v>
      </c>
      <c r="X83" s="386">
        <f t="shared" si="158"/>
        <v>144.70110182984371</v>
      </c>
      <c r="Z83" s="191">
        <f t="shared" si="118"/>
        <v>1.4388262767793685</v>
      </c>
      <c r="AA83" s="153">
        <f t="shared" si="119"/>
        <v>1.6905269570514774</v>
      </c>
      <c r="AB83" s="153">
        <f t="shared" si="120"/>
        <v>0.21283277814833412</v>
      </c>
      <c r="AC83" s="153"/>
      <c r="AD83" s="153">
        <f t="shared" si="121"/>
        <v>0.96344647519582249</v>
      </c>
      <c r="AE83" s="317">
        <f t="shared" si="122"/>
        <v>1974.6182827681939</v>
      </c>
      <c r="AF83" s="463">
        <f t="shared" si="123"/>
        <v>6.9127284595300251E-2</v>
      </c>
      <c r="AH83" s="153">
        <f t="shared" si="124"/>
        <v>2.122891110412088</v>
      </c>
      <c r="AI83" s="153">
        <f t="shared" si="125"/>
        <v>3.4802029183230223</v>
      </c>
      <c r="AJ83" s="153">
        <f t="shared" si="126"/>
        <v>3.1705206802392762</v>
      </c>
      <c r="AL83" s="317">
        <f t="shared" si="127"/>
        <v>390</v>
      </c>
      <c r="AM83" s="147">
        <f t="shared" si="128"/>
        <v>144.70110182984371</v>
      </c>
      <c r="AO83">
        <f t="shared" si="159"/>
        <v>390</v>
      </c>
      <c r="AP83">
        <f t="shared" si="129"/>
        <v>144.70110182984371</v>
      </c>
      <c r="AR83" s="5">
        <f t="shared" si="160"/>
        <v>6.9107974117288729</v>
      </c>
      <c r="AS83" s="5">
        <f t="shared" si="130"/>
        <v>2.8217861499916399</v>
      </c>
      <c r="AT83" s="5">
        <f t="shared" si="161"/>
        <v>4.0890112617372329</v>
      </c>
      <c r="AU83" s="153">
        <f t="shared" si="162"/>
        <v>0.40831556503198291</v>
      </c>
      <c r="AW83" s="5">
        <f t="shared" si="131"/>
        <v>11.33051538024511</v>
      </c>
      <c r="AX83" s="5">
        <f t="shared" si="132"/>
        <v>11.510228336011689</v>
      </c>
      <c r="AY83" s="5">
        <f t="shared" si="133"/>
        <v>0.45203804398448061</v>
      </c>
      <c r="AZ83" s="5">
        <f t="shared" si="134"/>
        <v>2.1561450615284219</v>
      </c>
      <c r="BA83" s="5">
        <f t="shared" si="135"/>
        <v>5.2347486109191861</v>
      </c>
      <c r="BB83" s="147">
        <f t="shared" si="136"/>
        <v>134.18996239790192</v>
      </c>
      <c r="BC83" s="5"/>
      <c r="BD83" s="153">
        <f t="shared" si="163"/>
        <v>1.2839316576250879</v>
      </c>
      <c r="BE83" s="153">
        <f t="shared" si="137"/>
        <v>0.77278559167190541</v>
      </c>
      <c r="BF83" s="153">
        <f t="shared" si="138"/>
        <v>0.15475915378318419</v>
      </c>
      <c r="BG83" s="153"/>
      <c r="BH83" s="463">
        <f t="shared" si="139"/>
        <v>0.18133285515970965</v>
      </c>
      <c r="BI83" s="463">
        <f t="shared" si="140"/>
        <v>4.7236666666666649E-2</v>
      </c>
      <c r="BJ83" s="463">
        <f t="shared" si="141"/>
        <v>7.2350550914921851E-3</v>
      </c>
      <c r="BK83" s="463">
        <f t="shared" si="142"/>
        <v>1.1458295661453927E-2</v>
      </c>
      <c r="BL83">
        <f t="shared" si="143"/>
        <v>3.2190000000000001E-3</v>
      </c>
      <c r="BM83">
        <f t="shared" si="144"/>
        <v>8.8267672116204666E-6</v>
      </c>
      <c r="BN83">
        <f t="shared" si="145"/>
        <v>0.28448845546054835</v>
      </c>
      <c r="BO83" s="147">
        <f t="shared" si="164"/>
        <v>284.48845546054832</v>
      </c>
      <c r="BP83" s="153">
        <f t="shared" si="146"/>
        <v>0.2402317888023025</v>
      </c>
      <c r="BQ83" s="153">
        <f t="shared" si="147"/>
        <v>3.3455620459856214E-2</v>
      </c>
      <c r="BR83" s="463"/>
      <c r="BT83" s="147">
        <f t="shared" si="165"/>
        <v>273.68740926215872</v>
      </c>
      <c r="BU83" s="463">
        <f t="shared" si="148"/>
        <v>0.14012084262341201</v>
      </c>
      <c r="BV83" s="463">
        <f t="shared" si="149"/>
        <v>0.11346753843218241</v>
      </c>
      <c r="BW83" s="463">
        <f t="shared" si="150"/>
        <v>1.1975197839843629E-3</v>
      </c>
      <c r="BX83" s="463">
        <f t="shared" si="151"/>
        <v>0</v>
      </c>
      <c r="BY83" s="463">
        <f t="shared" si="152"/>
        <v>0.29129769254084914</v>
      </c>
      <c r="BZ83" s="463">
        <f t="shared" si="166"/>
        <v>0.2547859008395788</v>
      </c>
      <c r="CA83" s="549">
        <f t="shared" si="153"/>
        <v>0.87629629629629624</v>
      </c>
      <c r="CB83" s="147">
        <f t="shared" si="167"/>
        <v>1167.5939888371454</v>
      </c>
      <c r="CC83" s="153">
        <f t="shared" si="168"/>
        <v>1.7257698535598525</v>
      </c>
      <c r="CD83" s="5">
        <f t="shared" si="169"/>
        <v>7.0980000000000008</v>
      </c>
      <c r="CE83" s="153">
        <f t="shared" si="170"/>
        <v>0.80441807955092925</v>
      </c>
      <c r="CF83" s="5">
        <f t="shared" si="171"/>
        <v>80.441807955092926</v>
      </c>
      <c r="CG83">
        <f t="shared" si="172"/>
        <v>78</v>
      </c>
      <c r="CI83" s="59">
        <f t="shared" si="154"/>
        <v>-50</v>
      </c>
      <c r="CJ83">
        <f t="shared" si="155"/>
        <v>-50</v>
      </c>
    </row>
    <row r="84" spans="5:88" x14ac:dyDescent="0.25">
      <c r="E84" s="150">
        <v>79</v>
      </c>
      <c r="F84" s="191">
        <f t="shared" si="173"/>
        <v>0.39500000000000002</v>
      </c>
      <c r="G84" s="191">
        <f t="shared" si="156"/>
        <v>7.9000000000000015E-2</v>
      </c>
      <c r="H84" s="191">
        <f t="shared" si="105"/>
        <v>5.9250000000000007</v>
      </c>
      <c r="I84" s="191">
        <f t="shared" si="174"/>
        <v>1.2640000000000002</v>
      </c>
      <c r="J84" s="472">
        <f t="shared" si="106"/>
        <v>11.1</v>
      </c>
      <c r="K84" s="386">
        <f t="shared" si="107"/>
        <v>7.66</v>
      </c>
      <c r="L84" s="386">
        <f t="shared" si="108"/>
        <v>18.759999999999998</v>
      </c>
      <c r="M84" s="386"/>
      <c r="N84" s="191">
        <f t="shared" si="109"/>
        <v>0.40831556503198302</v>
      </c>
      <c r="O84" s="152">
        <f t="shared" si="157"/>
        <v>6.8918395170927162</v>
      </c>
      <c r="P84" s="152">
        <f t="shared" si="110"/>
        <v>1.7839143710021326</v>
      </c>
      <c r="Q84" s="191">
        <f t="shared" si="111"/>
        <v>0.45945596780618109</v>
      </c>
      <c r="R84" s="191">
        <f t="shared" si="112"/>
        <v>0.43073996981829477</v>
      </c>
      <c r="S84" s="386">
        <f t="shared" si="113"/>
        <v>15</v>
      </c>
      <c r="T84" s="191">
        <f t="shared" si="114"/>
        <v>3.5248209044553689</v>
      </c>
      <c r="U84" s="191">
        <f t="shared" si="115"/>
        <v>2.8579628955043535</v>
      </c>
      <c r="V84" s="191">
        <f t="shared" si="116"/>
        <v>4.1414344830415573</v>
      </c>
      <c r="W84" s="175">
        <f t="shared" si="117"/>
        <v>350</v>
      </c>
      <c r="X84" s="386">
        <f t="shared" si="158"/>
        <v>142.86944231301021</v>
      </c>
      <c r="Z84" s="191">
        <f t="shared" si="118"/>
        <v>1.4388262767793685</v>
      </c>
      <c r="AA84" s="153">
        <f t="shared" si="119"/>
        <v>1.6905269570514774</v>
      </c>
      <c r="AB84" s="153">
        <f t="shared" si="120"/>
        <v>0.21283277814833412</v>
      </c>
      <c r="AC84" s="153"/>
      <c r="AD84" s="153">
        <f t="shared" si="121"/>
        <v>0.96344647519582249</v>
      </c>
      <c r="AE84" s="317">
        <f t="shared" si="122"/>
        <v>1999.9339017780426</v>
      </c>
      <c r="AF84" s="463">
        <f t="shared" si="123"/>
        <v>6.9127284595300251E-2</v>
      </c>
      <c r="AH84" s="153">
        <f t="shared" si="124"/>
        <v>2.1364560478616088</v>
      </c>
      <c r="AI84" s="153">
        <f t="shared" si="125"/>
        <v>3.5248209044553689</v>
      </c>
      <c r="AJ84" s="153">
        <f t="shared" si="126"/>
        <v>3.2035710403373105</v>
      </c>
      <c r="AL84" s="317">
        <f t="shared" si="127"/>
        <v>395</v>
      </c>
      <c r="AM84" s="147">
        <f t="shared" si="128"/>
        <v>142.86944231301021</v>
      </c>
      <c r="AO84">
        <f t="shared" si="159"/>
        <v>395</v>
      </c>
      <c r="AP84">
        <f t="shared" si="129"/>
        <v>142.86944231301021</v>
      </c>
      <c r="AR84" s="5">
        <f t="shared" si="160"/>
        <v>6.999397378545912</v>
      </c>
      <c r="AS84" s="5">
        <f t="shared" si="130"/>
        <v>2.8579628955043535</v>
      </c>
      <c r="AT84" s="5">
        <f t="shared" si="161"/>
        <v>4.141434483041559</v>
      </c>
      <c r="AU84" s="153">
        <f t="shared" si="162"/>
        <v>0.4083155650319828</v>
      </c>
      <c r="AW84" s="5">
        <f t="shared" si="131"/>
        <v>11.33051538024511</v>
      </c>
      <c r="AX84" s="5">
        <f t="shared" si="132"/>
        <v>11.792061973216462</v>
      </c>
      <c r="AY84" s="5">
        <f t="shared" si="133"/>
        <v>0.45203804398448061</v>
      </c>
      <c r="AZ84" s="5">
        <f t="shared" si="134"/>
        <v>2.2097595872779228</v>
      </c>
      <c r="BA84" s="5">
        <f t="shared" si="135"/>
        <v>5.3698333466053025</v>
      </c>
      <c r="BB84" s="147">
        <f t="shared" si="136"/>
        <v>137.62510919367446</v>
      </c>
      <c r="BC84" s="5"/>
      <c r="BD84" s="153">
        <f t="shared" si="163"/>
        <v>1.3003923199023324</v>
      </c>
      <c r="BE84" s="153">
        <f t="shared" si="137"/>
        <v>0.7826930992574429</v>
      </c>
      <c r="BF84" s="153">
        <f t="shared" si="138"/>
        <v>0.15674324549835328</v>
      </c>
      <c r="BG84" s="153"/>
      <c r="BH84" s="463">
        <f t="shared" si="139"/>
        <v>0.18601222042270668</v>
      </c>
      <c r="BI84" s="463">
        <f t="shared" si="140"/>
        <v>4.7236666666666649E-2</v>
      </c>
      <c r="BJ84" s="463">
        <f t="shared" si="141"/>
        <v>7.1434721156505105E-3</v>
      </c>
      <c r="BK84" s="463">
        <f t="shared" si="142"/>
        <v>1.1313253944220331E-2</v>
      </c>
      <c r="BL84">
        <f t="shared" si="143"/>
        <v>3.2190000000000001E-3</v>
      </c>
      <c r="BM84">
        <f t="shared" si="144"/>
        <v>8.7150359810936238E-6</v>
      </c>
      <c r="BN84">
        <f t="shared" si="145"/>
        <v>0.28999747514486107</v>
      </c>
      <c r="BO84" s="147">
        <f t="shared" si="164"/>
        <v>289.99747514486108</v>
      </c>
      <c r="BP84" s="153">
        <f t="shared" si="146"/>
        <v>0.24449657690913384</v>
      </c>
      <c r="BQ84" s="153">
        <f t="shared" si="147"/>
        <v>3.3932058397429764E-2</v>
      </c>
      <c r="BR84" s="463"/>
      <c r="BT84" s="147">
        <f t="shared" si="165"/>
        <v>278.42863530656359</v>
      </c>
      <c r="BU84" s="463">
        <f t="shared" si="148"/>
        <v>0.14373671578118244</v>
      </c>
      <c r="BV84" s="463">
        <f t="shared" si="149"/>
        <v>0.11639561264879206</v>
      </c>
      <c r="BW84" s="463">
        <f t="shared" si="150"/>
        <v>1.2284222504678523E-3</v>
      </c>
      <c r="BX84" s="463">
        <f t="shared" si="151"/>
        <v>0</v>
      </c>
      <c r="BY84" s="463">
        <f t="shared" si="152"/>
        <v>0.29897527290296005</v>
      </c>
      <c r="BZ84" s="463">
        <f t="shared" si="166"/>
        <v>0.26136075068044234</v>
      </c>
      <c r="CA84" s="549">
        <f t="shared" si="153"/>
        <v>0.88753086419753058</v>
      </c>
      <c r="CB84" s="147">
        <f t="shared" si="167"/>
        <v>1186.5061371004906</v>
      </c>
      <c r="CC84" s="153">
        <f t="shared" si="168"/>
        <v>1.7549322475519153</v>
      </c>
      <c r="CD84" s="5">
        <f t="shared" si="169"/>
        <v>7.1890000000000009</v>
      </c>
      <c r="CE84" s="153">
        <f t="shared" si="170"/>
        <v>0.80378515858812927</v>
      </c>
      <c r="CF84" s="5">
        <f t="shared" si="171"/>
        <v>80.378515858812932</v>
      </c>
      <c r="CG84">
        <f t="shared" si="172"/>
        <v>79</v>
      </c>
      <c r="CI84" s="59">
        <f t="shared" si="154"/>
        <v>-50</v>
      </c>
      <c r="CJ84">
        <f t="shared" si="155"/>
        <v>-50</v>
      </c>
    </row>
    <row r="85" spans="5:88" x14ac:dyDescent="0.25">
      <c r="E85" s="150">
        <v>80</v>
      </c>
      <c r="F85" s="191">
        <f t="shared" si="173"/>
        <v>0.4</v>
      </c>
      <c r="G85" s="191">
        <f t="shared" si="156"/>
        <v>8.0000000000000016E-2</v>
      </c>
      <c r="H85" s="191">
        <f t="shared" si="105"/>
        <v>6</v>
      </c>
      <c r="I85" s="191">
        <f t="shared" si="174"/>
        <v>1.2800000000000002</v>
      </c>
      <c r="J85" s="472">
        <f t="shared" si="106"/>
        <v>11.1</v>
      </c>
      <c r="K85" s="386">
        <f t="shared" si="107"/>
        <v>7.66</v>
      </c>
      <c r="L85" s="386">
        <f t="shared" si="108"/>
        <v>18.759999999999998</v>
      </c>
      <c r="M85" s="386"/>
      <c r="N85" s="191">
        <f t="shared" si="109"/>
        <v>0.40831556503198302</v>
      </c>
      <c r="O85" s="152">
        <f t="shared" si="157"/>
        <v>6.8918395170927162</v>
      </c>
      <c r="P85" s="152">
        <f t="shared" si="110"/>
        <v>1.7839143710021326</v>
      </c>
      <c r="Q85" s="191">
        <f t="shared" si="111"/>
        <v>0.45945596780618109</v>
      </c>
      <c r="R85" s="191">
        <f t="shared" si="112"/>
        <v>0.43073996981829477</v>
      </c>
      <c r="S85" s="386">
        <f t="shared" si="113"/>
        <v>15</v>
      </c>
      <c r="T85" s="191">
        <f t="shared" si="114"/>
        <v>3.5694388905877146</v>
      </c>
      <c r="U85" s="191">
        <f t="shared" si="115"/>
        <v>2.8941396410170661</v>
      </c>
      <c r="V85" s="191">
        <f t="shared" si="116"/>
        <v>4.1938577043458789</v>
      </c>
      <c r="W85" s="175">
        <f t="shared" si="117"/>
        <v>350</v>
      </c>
      <c r="X85" s="386">
        <f t="shared" si="158"/>
        <v>141.08357428409766</v>
      </c>
      <c r="Z85" s="191">
        <f t="shared" si="118"/>
        <v>1.4388262767793685</v>
      </c>
      <c r="AA85" s="153">
        <f t="shared" si="119"/>
        <v>1.6905269570514774</v>
      </c>
      <c r="AB85" s="153">
        <f t="shared" si="120"/>
        <v>0.21283277814833412</v>
      </c>
      <c r="AC85" s="153"/>
      <c r="AD85" s="153">
        <f t="shared" si="121"/>
        <v>0.96344647519582249</v>
      </c>
      <c r="AE85" s="317">
        <f t="shared" si="122"/>
        <v>2025.2495207878912</v>
      </c>
      <c r="AF85" s="463">
        <f t="shared" si="123"/>
        <v>6.9127284595300251E-2</v>
      </c>
      <c r="AH85" s="153">
        <f t="shared" si="124"/>
        <v>2.1499353995462802</v>
      </c>
      <c r="AI85" s="153">
        <f t="shared" si="125"/>
        <v>3.5694388905877146</v>
      </c>
      <c r="AJ85" s="153">
        <f t="shared" si="126"/>
        <v>3.236621400435344</v>
      </c>
      <c r="AL85" s="317">
        <f t="shared" si="127"/>
        <v>400</v>
      </c>
      <c r="AM85" s="147">
        <f t="shared" si="128"/>
        <v>141.08357428409766</v>
      </c>
      <c r="AO85">
        <f t="shared" si="159"/>
        <v>400</v>
      </c>
      <c r="AP85">
        <f t="shared" si="129"/>
        <v>141.08357428409766</v>
      </c>
      <c r="AR85" s="5">
        <f t="shared" si="160"/>
        <v>7.0879973453629441</v>
      </c>
      <c r="AS85" s="5">
        <f t="shared" si="130"/>
        <v>2.8941396410170661</v>
      </c>
      <c r="AT85" s="5">
        <f t="shared" si="161"/>
        <v>4.193857704345878</v>
      </c>
      <c r="AU85" s="153">
        <f t="shared" si="162"/>
        <v>0.40831556503198302</v>
      </c>
      <c r="AW85" s="5">
        <f t="shared" si="131"/>
        <v>11.33051538024511</v>
      </c>
      <c r="AX85" s="5">
        <f t="shared" si="132"/>
        <v>12.077294765035308</v>
      </c>
      <c r="AY85" s="5">
        <f t="shared" si="133"/>
        <v>0.45203804398448061</v>
      </c>
      <c r="AZ85" s="5">
        <f t="shared" si="134"/>
        <v>2.2640316229095827</v>
      </c>
      <c r="BA85" s="5">
        <f t="shared" si="135"/>
        <v>5.5066389069498305</v>
      </c>
      <c r="BB85" s="147">
        <f t="shared" si="136"/>
        <v>141.10366770242058</v>
      </c>
      <c r="BC85" s="5"/>
      <c r="BD85" s="153">
        <f t="shared" si="163"/>
        <v>1.3168529821795771</v>
      </c>
      <c r="BE85" s="153">
        <f t="shared" si="137"/>
        <v>0.79260060684297973</v>
      </c>
      <c r="BF85" s="153">
        <f t="shared" si="138"/>
        <v>0.15872733721352222</v>
      </c>
      <c r="BG85" s="153"/>
      <c r="BH85" s="463">
        <f t="shared" si="139"/>
        <v>0.19075119543427704</v>
      </c>
      <c r="BI85" s="463">
        <f t="shared" si="140"/>
        <v>4.7236666666666663E-2</v>
      </c>
      <c r="BJ85" s="463">
        <f t="shared" si="141"/>
        <v>7.0541787142048831E-3</v>
      </c>
      <c r="BK85" s="463">
        <f t="shared" si="142"/>
        <v>1.1171838269917583E-2</v>
      </c>
      <c r="BL85">
        <f t="shared" si="143"/>
        <v>3.2190000000000001E-3</v>
      </c>
      <c r="BM85">
        <f t="shared" si="144"/>
        <v>8.6060980313299581E-6</v>
      </c>
      <c r="BN85">
        <f t="shared" si="145"/>
        <v>0.29559598200589926</v>
      </c>
      <c r="BO85" s="147">
        <f t="shared" si="164"/>
        <v>295.59598200589926</v>
      </c>
      <c r="BP85" s="153">
        <f t="shared" si="146"/>
        <v>0.248791362316689</v>
      </c>
      <c r="BQ85" s="153">
        <f t="shared" si="147"/>
        <v>3.4409699366055188E-2</v>
      </c>
      <c r="BR85" s="463"/>
      <c r="BT85" s="147">
        <f t="shared" si="165"/>
        <v>283.20106168274418</v>
      </c>
      <c r="BU85" s="463">
        <f t="shared" si="148"/>
        <v>0.14739865101739591</v>
      </c>
      <c r="BV85" s="463">
        <f t="shared" si="149"/>
        <v>0.11936098717389335</v>
      </c>
      <c r="BW85" s="463">
        <f t="shared" si="150"/>
        <v>1.2597183789447601E-3</v>
      </c>
      <c r="BX85" s="463">
        <f t="shared" si="151"/>
        <v>0</v>
      </c>
      <c r="BY85" s="463">
        <f t="shared" si="152"/>
        <v>0.30675906881840559</v>
      </c>
      <c r="BZ85" s="463">
        <f t="shared" si="166"/>
        <v>0.26801935657023401</v>
      </c>
      <c r="CA85" s="549">
        <f t="shared" si="153"/>
        <v>0.89876543209876536</v>
      </c>
      <c r="CB85" s="147">
        <f t="shared" si="167"/>
        <v>1205.5245009171708</v>
      </c>
      <c r="CC85" s="153">
        <f t="shared" si="168"/>
        <v>1.7843215446058145</v>
      </c>
      <c r="CD85" s="5">
        <f t="shared" si="169"/>
        <v>7.28</v>
      </c>
      <c r="CE85" s="153">
        <f t="shared" si="170"/>
        <v>0.80314891348181872</v>
      </c>
      <c r="CF85" s="5">
        <f t="shared" si="171"/>
        <v>80.314891348181874</v>
      </c>
      <c r="CG85">
        <f t="shared" si="172"/>
        <v>80</v>
      </c>
      <c r="CI85" s="59">
        <f t="shared" si="154"/>
        <v>-50</v>
      </c>
      <c r="CJ85">
        <f t="shared" si="155"/>
        <v>-50</v>
      </c>
    </row>
    <row r="86" spans="5:88" x14ac:dyDescent="0.25">
      <c r="E86" s="150">
        <v>81</v>
      </c>
      <c r="F86" s="191">
        <f t="shared" si="173"/>
        <v>0.40500000000000003</v>
      </c>
      <c r="G86" s="191">
        <f t="shared" si="156"/>
        <v>8.1000000000000016E-2</v>
      </c>
      <c r="H86" s="191">
        <f t="shared" si="105"/>
        <v>6.0750000000000002</v>
      </c>
      <c r="I86" s="191">
        <f t="shared" si="174"/>
        <v>1.2960000000000003</v>
      </c>
      <c r="J86" s="472">
        <f t="shared" si="106"/>
        <v>11.1</v>
      </c>
      <c r="K86" s="386">
        <f t="shared" si="107"/>
        <v>7.66</v>
      </c>
      <c r="L86" s="386">
        <f t="shared" si="108"/>
        <v>18.759999999999998</v>
      </c>
      <c r="M86" s="386"/>
      <c r="N86" s="191">
        <f t="shared" si="109"/>
        <v>0.40831556503198302</v>
      </c>
      <c r="O86" s="152">
        <f t="shared" si="157"/>
        <v>6.8918395170927162</v>
      </c>
      <c r="P86" s="152">
        <f t="shared" si="110"/>
        <v>1.7839143710021326</v>
      </c>
      <c r="Q86" s="191">
        <f t="shared" si="111"/>
        <v>0.45945596780618109</v>
      </c>
      <c r="R86" s="191">
        <f t="shared" si="112"/>
        <v>0.43073996981829477</v>
      </c>
      <c r="S86" s="386">
        <f t="shared" si="113"/>
        <v>15</v>
      </c>
      <c r="T86" s="191">
        <f t="shared" si="114"/>
        <v>3.6140568767200612</v>
      </c>
      <c r="U86" s="191">
        <f t="shared" si="115"/>
        <v>2.9303163865297792</v>
      </c>
      <c r="V86" s="191">
        <f t="shared" si="116"/>
        <v>4.2462809256502023</v>
      </c>
      <c r="W86" s="175">
        <f t="shared" si="117"/>
        <v>350</v>
      </c>
      <c r="X86" s="386">
        <f t="shared" si="158"/>
        <v>139.34180176207175</v>
      </c>
      <c r="Z86" s="191">
        <f t="shared" si="118"/>
        <v>1.4388262767793685</v>
      </c>
      <c r="AA86" s="153">
        <f t="shared" si="119"/>
        <v>1.6905269570514774</v>
      </c>
      <c r="AB86" s="153">
        <f t="shared" si="120"/>
        <v>0.21283277814833412</v>
      </c>
      <c r="AC86" s="153"/>
      <c r="AD86" s="153">
        <f t="shared" si="121"/>
        <v>0.96344647519582249</v>
      </c>
      <c r="AE86" s="317">
        <f t="shared" si="122"/>
        <v>2050.5651397977399</v>
      </c>
      <c r="AF86" s="463">
        <f t="shared" si="123"/>
        <v>6.9127284595300251E-2</v>
      </c>
      <c r="AH86" s="153">
        <f t="shared" si="124"/>
        <v>2.1633307652783937</v>
      </c>
      <c r="AI86" s="153">
        <f t="shared" si="125"/>
        <v>3.6140568767200612</v>
      </c>
      <c r="AJ86" s="153">
        <f t="shared" si="126"/>
        <v>3.2696717605333783</v>
      </c>
      <c r="AL86" s="317">
        <f t="shared" si="127"/>
        <v>405</v>
      </c>
      <c r="AM86" s="147">
        <f t="shared" si="128"/>
        <v>139.34180176207175</v>
      </c>
      <c r="AO86">
        <f t="shared" si="159"/>
        <v>405</v>
      </c>
      <c r="AP86">
        <f t="shared" si="129"/>
        <v>139.34180176207175</v>
      </c>
      <c r="AR86" s="5">
        <f t="shared" si="160"/>
        <v>7.1765973121799824</v>
      </c>
      <c r="AS86" s="5">
        <f t="shared" si="130"/>
        <v>2.9303163865297792</v>
      </c>
      <c r="AT86" s="5">
        <f t="shared" si="161"/>
        <v>4.2462809256502032</v>
      </c>
      <c r="AU86" s="153">
        <f t="shared" si="162"/>
        <v>0.40831556503198291</v>
      </c>
      <c r="AW86" s="5">
        <f t="shared" si="131"/>
        <v>11.33051538024511</v>
      </c>
      <c r="AX86" s="5">
        <f t="shared" si="132"/>
        <v>12.36592671146823</v>
      </c>
      <c r="AY86" s="5">
        <f t="shared" si="133"/>
        <v>0.45203804398448061</v>
      </c>
      <c r="AZ86" s="5">
        <f t="shared" si="134"/>
        <v>2.3189611684234022</v>
      </c>
      <c r="BA86" s="5">
        <f t="shared" si="135"/>
        <v>5.6451652919527904</v>
      </c>
      <c r="BB86" s="147">
        <f t="shared" si="136"/>
        <v>144.62563792414073</v>
      </c>
      <c r="BC86" s="5"/>
      <c r="BD86" s="153">
        <f t="shared" si="163"/>
        <v>1.3333136444568219</v>
      </c>
      <c r="BE86" s="153">
        <f t="shared" si="137"/>
        <v>0.80250811442851699</v>
      </c>
      <c r="BF86" s="153">
        <f t="shared" si="138"/>
        <v>0.16071142892869128</v>
      </c>
      <c r="BG86" s="153"/>
      <c r="BH86" s="463">
        <f t="shared" si="139"/>
        <v>0.19554978019442057</v>
      </c>
      <c r="BI86" s="463">
        <f t="shared" si="140"/>
        <v>4.7236666666666663E-2</v>
      </c>
      <c r="BJ86" s="463">
        <f t="shared" si="141"/>
        <v>6.9670900881035874E-3</v>
      </c>
      <c r="BK86" s="463">
        <f t="shared" si="142"/>
        <v>1.1033914340659342E-2</v>
      </c>
      <c r="BL86">
        <f t="shared" si="143"/>
        <v>3.2190000000000001E-3</v>
      </c>
      <c r="BM86">
        <f t="shared" si="144"/>
        <v>8.4998499074863767E-6</v>
      </c>
      <c r="BN86">
        <f t="shared" si="145"/>
        <v>0.30128418378226235</v>
      </c>
      <c r="BO86" s="147">
        <f t="shared" si="164"/>
        <v>301.28418378226235</v>
      </c>
      <c r="BP86" s="153">
        <f t="shared" si="146"/>
        <v>0.25311614502496821</v>
      </c>
      <c r="BQ86" s="153">
        <f t="shared" si="147"/>
        <v>3.4888543365732522E-2</v>
      </c>
      <c r="BR86" s="463"/>
      <c r="BT86" s="147">
        <f t="shared" si="165"/>
        <v>288.00468839070072</v>
      </c>
      <c r="BU86" s="463">
        <f t="shared" si="148"/>
        <v>0.15110664833205228</v>
      </c>
      <c r="BV86" s="463">
        <f t="shared" si="149"/>
        <v>0.12236366200748659</v>
      </c>
      <c r="BW86" s="463">
        <f t="shared" si="150"/>
        <v>1.2914081694150896E-3</v>
      </c>
      <c r="BX86" s="463">
        <f t="shared" si="151"/>
        <v>0</v>
      </c>
      <c r="BY86" s="463">
        <f t="shared" si="152"/>
        <v>0.31464941382362971</v>
      </c>
      <c r="BZ86" s="463">
        <f t="shared" si="166"/>
        <v>0.27476171850895398</v>
      </c>
      <c r="CA86" s="549">
        <f t="shared" si="153"/>
        <v>0.90999999999999992</v>
      </c>
      <c r="CB86" s="147">
        <f t="shared" si="167"/>
        <v>1224.6494138236296</v>
      </c>
      <c r="CC86" s="153">
        <f t="shared" si="168"/>
        <v>1.8139382859965927</v>
      </c>
      <c r="CD86" s="5">
        <f t="shared" si="169"/>
        <v>7.3710000000000004</v>
      </c>
      <c r="CE86" s="153">
        <f t="shared" si="170"/>
        <v>0.80250947480375212</v>
      </c>
      <c r="CF86" s="5">
        <f t="shared" si="171"/>
        <v>80.250947480375217</v>
      </c>
      <c r="CG86">
        <f t="shared" si="172"/>
        <v>81</v>
      </c>
      <c r="CI86" s="59">
        <f t="shared" si="154"/>
        <v>-50</v>
      </c>
      <c r="CJ86">
        <f t="shared" si="155"/>
        <v>-50</v>
      </c>
    </row>
    <row r="87" spans="5:88" x14ac:dyDescent="0.25">
      <c r="E87" s="150">
        <v>82</v>
      </c>
      <c r="F87" s="191">
        <f t="shared" si="173"/>
        <v>0.41</v>
      </c>
      <c r="G87" s="191">
        <f t="shared" si="156"/>
        <v>8.2000000000000003E-2</v>
      </c>
      <c r="H87" s="191">
        <f t="shared" si="105"/>
        <v>6.1499999999999995</v>
      </c>
      <c r="I87" s="191">
        <f t="shared" si="174"/>
        <v>1.3120000000000001</v>
      </c>
      <c r="J87" s="472">
        <f t="shared" si="106"/>
        <v>11.1</v>
      </c>
      <c r="K87" s="386">
        <f t="shared" si="107"/>
        <v>7.66</v>
      </c>
      <c r="L87" s="386">
        <f t="shared" si="108"/>
        <v>18.759999999999998</v>
      </c>
      <c r="M87" s="386"/>
      <c r="N87" s="191">
        <f t="shared" si="109"/>
        <v>0.40831556503198302</v>
      </c>
      <c r="O87" s="152">
        <f t="shared" si="157"/>
        <v>6.8918395170927162</v>
      </c>
      <c r="P87" s="152">
        <f t="shared" si="110"/>
        <v>1.7839143710021326</v>
      </c>
      <c r="Q87" s="191">
        <f t="shared" si="111"/>
        <v>0.45945596780618109</v>
      </c>
      <c r="R87" s="191">
        <f t="shared" si="112"/>
        <v>0.43073996981829477</v>
      </c>
      <c r="S87" s="386">
        <f t="shared" si="113"/>
        <v>15</v>
      </c>
      <c r="T87" s="191">
        <f t="shared" si="114"/>
        <v>3.6586748628524073</v>
      </c>
      <c r="U87" s="191">
        <f t="shared" si="115"/>
        <v>2.9664931320424928</v>
      </c>
      <c r="V87" s="191">
        <f t="shared" si="116"/>
        <v>4.2987041469545249</v>
      </c>
      <c r="W87" s="175">
        <f t="shared" si="117"/>
        <v>350</v>
      </c>
      <c r="X87" s="386">
        <f t="shared" si="158"/>
        <v>137.64251149668064</v>
      </c>
      <c r="Z87" s="191">
        <f t="shared" si="118"/>
        <v>1.4388262767793685</v>
      </c>
      <c r="AA87" s="153">
        <f t="shared" si="119"/>
        <v>1.6905269570514774</v>
      </c>
      <c r="AB87" s="153">
        <f t="shared" si="120"/>
        <v>0.21283277814833412</v>
      </c>
      <c r="AC87" s="153"/>
      <c r="AD87" s="153">
        <f t="shared" si="121"/>
        <v>0.96344647519582249</v>
      </c>
      <c r="AE87" s="317">
        <f t="shared" si="122"/>
        <v>2075.8807588075883</v>
      </c>
      <c r="AF87" s="463">
        <f t="shared" si="123"/>
        <v>6.9127284595300251E-2</v>
      </c>
      <c r="AH87" s="153">
        <f t="shared" si="124"/>
        <v>2.1766436956419342</v>
      </c>
      <c r="AI87" s="153">
        <f t="shared" si="125"/>
        <v>3.6586748628524073</v>
      </c>
      <c r="AJ87" s="153">
        <f t="shared" si="126"/>
        <v>3.3027221206314126</v>
      </c>
      <c r="AL87" s="317">
        <f t="shared" si="127"/>
        <v>410</v>
      </c>
      <c r="AM87" s="147">
        <f t="shared" si="128"/>
        <v>137.64251149668064</v>
      </c>
      <c r="AO87">
        <f t="shared" si="159"/>
        <v>410</v>
      </c>
      <c r="AP87">
        <f t="shared" si="129"/>
        <v>137.64251149668064</v>
      </c>
      <c r="AR87" s="5">
        <f t="shared" si="160"/>
        <v>7.2651972789970181</v>
      </c>
      <c r="AS87" s="5">
        <f t="shared" si="130"/>
        <v>2.9664931320424928</v>
      </c>
      <c r="AT87" s="5">
        <f t="shared" si="161"/>
        <v>4.2987041469545257</v>
      </c>
      <c r="AU87" s="153">
        <f t="shared" si="162"/>
        <v>0.40831556503198296</v>
      </c>
      <c r="AW87" s="5">
        <f t="shared" si="131"/>
        <v>11.33051538024511</v>
      </c>
      <c r="AX87" s="5">
        <f t="shared" si="132"/>
        <v>12.657957812515216</v>
      </c>
      <c r="AY87" s="5">
        <f t="shared" si="133"/>
        <v>0.45203804398448061</v>
      </c>
      <c r="AZ87" s="5">
        <f t="shared" si="134"/>
        <v>2.3745482238193802</v>
      </c>
      <c r="BA87" s="5">
        <f t="shared" si="135"/>
        <v>5.7854125016141662</v>
      </c>
      <c r="BB87" s="147">
        <f t="shared" si="136"/>
        <v>148.19101985883461</v>
      </c>
      <c r="BC87" s="5"/>
      <c r="BD87" s="153">
        <f t="shared" si="163"/>
        <v>1.3497743067340664</v>
      </c>
      <c r="BE87" s="153">
        <f t="shared" si="137"/>
        <v>0.81241562201405426</v>
      </c>
      <c r="BF87" s="153">
        <f t="shared" si="138"/>
        <v>0.16269552064386028</v>
      </c>
      <c r="BG87" s="153"/>
      <c r="BH87" s="463">
        <f t="shared" si="139"/>
        <v>0.20040797470313726</v>
      </c>
      <c r="BI87" s="463">
        <f t="shared" si="140"/>
        <v>4.7236666666666663E-2</v>
      </c>
      <c r="BJ87" s="463">
        <f t="shared" si="141"/>
        <v>6.8821255748340313E-3</v>
      </c>
      <c r="BK87" s="463">
        <f t="shared" si="142"/>
        <v>1.0899354409675691E-2</v>
      </c>
      <c r="BL87">
        <f t="shared" si="143"/>
        <v>3.2190000000000001E-3</v>
      </c>
      <c r="BM87">
        <f t="shared" si="144"/>
        <v>8.396193201297519E-6</v>
      </c>
      <c r="BN87">
        <f t="shared" si="145"/>
        <v>0.30706230622101394</v>
      </c>
      <c r="BO87" s="147">
        <f t="shared" si="164"/>
        <v>307.06230622101396</v>
      </c>
      <c r="BP87" s="153">
        <f t="shared" si="146"/>
        <v>0.25747092503397134</v>
      </c>
      <c r="BQ87" s="153">
        <f t="shared" si="147"/>
        <v>3.5368590396461737E-2</v>
      </c>
      <c r="BR87" s="463"/>
      <c r="BT87" s="147">
        <f t="shared" si="165"/>
        <v>292.8395154304331</v>
      </c>
      <c r="BU87" s="463">
        <f t="shared" si="148"/>
        <v>0.15486070772515154</v>
      </c>
      <c r="BV87" s="463">
        <f t="shared" si="149"/>
        <v>0.1254036371495717</v>
      </c>
      <c r="BW87" s="463">
        <f t="shared" si="150"/>
        <v>1.3234916218788383E-3</v>
      </c>
      <c r="BX87" s="463">
        <f t="shared" si="151"/>
        <v>0</v>
      </c>
      <c r="BY87" s="463">
        <f t="shared" si="152"/>
        <v>0.32264664656901459</v>
      </c>
      <c r="BZ87" s="463">
        <f t="shared" si="166"/>
        <v>0.28158783649660207</v>
      </c>
      <c r="CA87" s="549">
        <f t="shared" si="153"/>
        <v>0.92123456790123437</v>
      </c>
      <c r="CB87" s="147">
        <f t="shared" si="167"/>
        <v>1243.881214470249</v>
      </c>
      <c r="CC87" s="153">
        <f t="shared" si="168"/>
        <v>1.843783036121696</v>
      </c>
      <c r="CD87" s="5">
        <f t="shared" si="169"/>
        <v>7.4619999999999997</v>
      </c>
      <c r="CE87" s="153">
        <f t="shared" si="170"/>
        <v>0.80186696498674048</v>
      </c>
      <c r="CF87" s="5">
        <f t="shared" si="171"/>
        <v>80.186696498674053</v>
      </c>
      <c r="CG87">
        <f t="shared" si="172"/>
        <v>82</v>
      </c>
      <c r="CI87" s="59">
        <f t="shared" si="154"/>
        <v>-50</v>
      </c>
      <c r="CJ87">
        <f t="shared" si="155"/>
        <v>-50</v>
      </c>
    </row>
    <row r="88" spans="5:88" x14ac:dyDescent="0.25">
      <c r="E88" s="150">
        <v>83</v>
      </c>
      <c r="F88" s="191">
        <f t="shared" si="173"/>
        <v>0.41499999999999998</v>
      </c>
      <c r="G88" s="191">
        <f t="shared" si="156"/>
        <v>8.3000000000000004E-2</v>
      </c>
      <c r="H88" s="191">
        <f t="shared" si="105"/>
        <v>6.2249999999999996</v>
      </c>
      <c r="I88" s="191">
        <f t="shared" si="174"/>
        <v>1.3280000000000001</v>
      </c>
      <c r="J88" s="472">
        <f t="shared" si="106"/>
        <v>11.1</v>
      </c>
      <c r="K88" s="386">
        <f t="shared" si="107"/>
        <v>7.66</v>
      </c>
      <c r="L88" s="386">
        <f t="shared" si="108"/>
        <v>18.759999999999998</v>
      </c>
      <c r="M88" s="386"/>
      <c r="N88" s="191">
        <f t="shared" si="109"/>
        <v>0.40831556503198302</v>
      </c>
      <c r="O88" s="152">
        <f t="shared" si="157"/>
        <v>6.8918395170927162</v>
      </c>
      <c r="P88" s="152">
        <f t="shared" si="110"/>
        <v>1.7839143710021326</v>
      </c>
      <c r="Q88" s="191">
        <f t="shared" si="111"/>
        <v>0.45945596780618109</v>
      </c>
      <c r="R88" s="191">
        <f t="shared" si="112"/>
        <v>0.43073996981829477</v>
      </c>
      <c r="S88" s="386">
        <f t="shared" si="113"/>
        <v>15</v>
      </c>
      <c r="T88" s="191">
        <f t="shared" si="114"/>
        <v>3.7032928489847539</v>
      </c>
      <c r="U88" s="191">
        <f t="shared" si="115"/>
        <v>3.0026698775552059</v>
      </c>
      <c r="V88" s="191">
        <f t="shared" si="116"/>
        <v>4.3511273682588492</v>
      </c>
      <c r="W88" s="175">
        <f t="shared" si="117"/>
        <v>350</v>
      </c>
      <c r="X88" s="386">
        <f t="shared" si="158"/>
        <v>135.98416798467244</v>
      </c>
      <c r="Z88" s="191">
        <f t="shared" si="118"/>
        <v>1.4388262767793685</v>
      </c>
      <c r="AA88" s="153">
        <f t="shared" si="119"/>
        <v>1.6905269570514774</v>
      </c>
      <c r="AB88" s="153">
        <f t="shared" si="120"/>
        <v>0.21283277814833412</v>
      </c>
      <c r="AC88" s="153"/>
      <c r="AD88" s="153">
        <f t="shared" si="121"/>
        <v>0.96344647519582249</v>
      </c>
      <c r="AE88" s="317">
        <f t="shared" si="122"/>
        <v>2101.1963778174372</v>
      </c>
      <c r="AF88" s="463">
        <f t="shared" si="123"/>
        <v>6.9127284595300251E-2</v>
      </c>
      <c r="AH88" s="153">
        <f t="shared" si="124"/>
        <v>2.1898756940875788</v>
      </c>
      <c r="AI88" s="153">
        <f t="shared" si="125"/>
        <v>3.7032928489847539</v>
      </c>
      <c r="AJ88" s="153">
        <f t="shared" si="126"/>
        <v>3.3357724807294478</v>
      </c>
      <c r="AL88" s="317">
        <f t="shared" si="127"/>
        <v>415</v>
      </c>
      <c r="AM88" s="147">
        <f t="shared" si="128"/>
        <v>135.98416798467244</v>
      </c>
      <c r="AO88">
        <f t="shared" si="159"/>
        <v>415</v>
      </c>
      <c r="AP88">
        <f t="shared" si="129"/>
        <v>135.98416798467244</v>
      </c>
      <c r="AR88" s="5">
        <f t="shared" si="160"/>
        <v>7.3537972458140555</v>
      </c>
      <c r="AS88" s="5">
        <f t="shared" si="130"/>
        <v>3.0026698775552059</v>
      </c>
      <c r="AT88" s="5">
        <f t="shared" si="161"/>
        <v>4.3511273682588492</v>
      </c>
      <c r="AU88" s="153">
        <f t="shared" si="162"/>
        <v>0.40831556503198291</v>
      </c>
      <c r="AW88" s="5">
        <f t="shared" si="131"/>
        <v>11.33051538024511</v>
      </c>
      <c r="AX88" s="5">
        <f t="shared" si="132"/>
        <v>12.953388068176285</v>
      </c>
      <c r="AY88" s="5">
        <f t="shared" si="133"/>
        <v>0.45203804398448061</v>
      </c>
      <c r="AZ88" s="5">
        <f t="shared" si="134"/>
        <v>2.4307927890975174</v>
      </c>
      <c r="BA88" s="5">
        <f t="shared" si="135"/>
        <v>5.927380535933966</v>
      </c>
      <c r="BB88" s="147">
        <f t="shared" si="136"/>
        <v>151.79981350650235</v>
      </c>
      <c r="BC88" s="5"/>
      <c r="BD88" s="153">
        <f t="shared" si="163"/>
        <v>1.3662349690113111</v>
      </c>
      <c r="BE88" s="153">
        <f t="shared" si="137"/>
        <v>0.82232312959959153</v>
      </c>
      <c r="BF88" s="153">
        <f t="shared" si="138"/>
        <v>0.16467961235902931</v>
      </c>
      <c r="BG88" s="153"/>
      <c r="BH88" s="463">
        <f t="shared" si="139"/>
        <v>0.20532577896042722</v>
      </c>
      <c r="BI88" s="463">
        <f t="shared" si="140"/>
        <v>4.7236666666666663E-2</v>
      </c>
      <c r="BJ88" s="463">
        <f t="shared" si="141"/>
        <v>6.7992083992336212E-3</v>
      </c>
      <c r="BK88" s="463">
        <f t="shared" si="142"/>
        <v>1.076803688666755E-2</v>
      </c>
      <c r="BL88">
        <f t="shared" si="143"/>
        <v>3.2190000000000001E-3</v>
      </c>
      <c r="BM88">
        <f t="shared" si="144"/>
        <v>8.2950342470650187E-6</v>
      </c>
      <c r="BN88">
        <f t="shared" si="145"/>
        <v>0.31293059251684302</v>
      </c>
      <c r="BO88" s="147">
        <f t="shared" si="164"/>
        <v>312.93059251684303</v>
      </c>
      <c r="BP88" s="153">
        <f t="shared" si="146"/>
        <v>0.26185570234369854</v>
      </c>
      <c r="BQ88" s="153">
        <f t="shared" si="147"/>
        <v>3.584984045824284E-2</v>
      </c>
      <c r="BR88" s="463"/>
      <c r="BT88" s="147">
        <f t="shared" si="165"/>
        <v>297.70554280194142</v>
      </c>
      <c r="BU88" s="463">
        <f t="shared" si="148"/>
        <v>0.15866082919669378</v>
      </c>
      <c r="BV88" s="463">
        <f t="shared" si="149"/>
        <v>0.12848091260014866</v>
      </c>
      <c r="BW88" s="463">
        <f t="shared" si="150"/>
        <v>1.3559687363360079E-3</v>
      </c>
      <c r="BX88" s="463">
        <f t="shared" si="151"/>
        <v>0</v>
      </c>
      <c r="BY88" s="463">
        <f t="shared" si="152"/>
        <v>0.33075111085622605</v>
      </c>
      <c r="BZ88" s="463">
        <f t="shared" si="166"/>
        <v>0.28849771053317846</v>
      </c>
      <c r="CA88" s="549">
        <f t="shared" si="153"/>
        <v>0.93246913580246915</v>
      </c>
      <c r="CB88" s="147">
        <f t="shared" si="167"/>
        <v>1263.2202466586953</v>
      </c>
      <c r="CC88" s="153">
        <f t="shared" si="168"/>
        <v>1.8738563819774794</v>
      </c>
      <c r="CD88" s="5">
        <f t="shared" si="169"/>
        <v>7.5529999999999999</v>
      </c>
      <c r="CE88" s="153">
        <f t="shared" si="170"/>
        <v>0.80122149886997651</v>
      </c>
      <c r="CF88" s="5">
        <f t="shared" si="171"/>
        <v>80.122149886997647</v>
      </c>
      <c r="CG88">
        <f t="shared" si="172"/>
        <v>83</v>
      </c>
      <c r="CI88" s="59">
        <f t="shared" si="154"/>
        <v>-50</v>
      </c>
      <c r="CJ88">
        <f t="shared" si="155"/>
        <v>-50</v>
      </c>
    </row>
    <row r="89" spans="5:88" x14ac:dyDescent="0.25">
      <c r="E89" s="150">
        <v>84</v>
      </c>
      <c r="F89" s="191">
        <f t="shared" si="173"/>
        <v>0.42</v>
      </c>
      <c r="G89" s="191">
        <f t="shared" si="156"/>
        <v>8.4000000000000005E-2</v>
      </c>
      <c r="H89" s="191">
        <f t="shared" si="105"/>
        <v>6.3</v>
      </c>
      <c r="I89" s="191">
        <f t="shared" si="174"/>
        <v>1.3440000000000001</v>
      </c>
      <c r="J89" s="472">
        <f t="shared" si="106"/>
        <v>11.1</v>
      </c>
      <c r="K89" s="386">
        <f t="shared" si="107"/>
        <v>7.66</v>
      </c>
      <c r="L89" s="386">
        <f t="shared" si="108"/>
        <v>18.759999999999998</v>
      </c>
      <c r="M89" s="386"/>
      <c r="N89" s="191">
        <f t="shared" si="109"/>
        <v>0.40831556503198302</v>
      </c>
      <c r="O89" s="152">
        <f t="shared" si="157"/>
        <v>6.8918395170927162</v>
      </c>
      <c r="P89" s="152">
        <f t="shared" si="110"/>
        <v>1.7839143710021326</v>
      </c>
      <c r="Q89" s="191">
        <f t="shared" si="111"/>
        <v>0.45945596780618109</v>
      </c>
      <c r="R89" s="191">
        <f t="shared" si="112"/>
        <v>0.43073996981829477</v>
      </c>
      <c r="S89" s="386">
        <f t="shared" si="113"/>
        <v>15</v>
      </c>
      <c r="T89" s="191">
        <f t="shared" si="114"/>
        <v>3.7479108351171004</v>
      </c>
      <c r="U89" s="191">
        <f t="shared" si="115"/>
        <v>3.0388466230679194</v>
      </c>
      <c r="V89" s="191">
        <f t="shared" si="116"/>
        <v>4.4035505895631735</v>
      </c>
      <c r="W89" s="175">
        <f t="shared" si="117"/>
        <v>350</v>
      </c>
      <c r="X89" s="386">
        <f t="shared" si="158"/>
        <v>134.36530884199775</v>
      </c>
      <c r="Z89" s="191">
        <f t="shared" si="118"/>
        <v>1.4388262767793685</v>
      </c>
      <c r="AA89" s="153">
        <f t="shared" si="119"/>
        <v>1.6905269570514774</v>
      </c>
      <c r="AB89" s="153">
        <f t="shared" si="120"/>
        <v>0.21283277814833412</v>
      </c>
      <c r="AC89" s="153"/>
      <c r="AD89" s="153">
        <f t="shared" si="121"/>
        <v>0.96344647519582249</v>
      </c>
      <c r="AE89" s="317">
        <f t="shared" si="122"/>
        <v>2126.5119968272857</v>
      </c>
      <c r="AF89" s="463">
        <f t="shared" si="123"/>
        <v>6.9127284595300251E-2</v>
      </c>
      <c r="AH89" s="153">
        <f t="shared" si="124"/>
        <v>2.203028218914441</v>
      </c>
      <c r="AI89" s="153">
        <f t="shared" si="125"/>
        <v>3.7479108351171004</v>
      </c>
      <c r="AJ89" s="153">
        <f t="shared" si="126"/>
        <v>3.3688228408274821</v>
      </c>
      <c r="AL89" s="317">
        <f t="shared" si="127"/>
        <v>420</v>
      </c>
      <c r="AM89" s="147">
        <f t="shared" si="128"/>
        <v>134.36530884199775</v>
      </c>
      <c r="AO89">
        <f t="shared" si="159"/>
        <v>420</v>
      </c>
      <c r="AP89">
        <f t="shared" si="129"/>
        <v>134.36530884199775</v>
      </c>
      <c r="AR89" s="5">
        <f t="shared" si="160"/>
        <v>7.4423972126310929</v>
      </c>
      <c r="AS89" s="5">
        <f t="shared" si="130"/>
        <v>3.0388466230679194</v>
      </c>
      <c r="AT89" s="5">
        <f t="shared" si="161"/>
        <v>4.4035505895631735</v>
      </c>
      <c r="AU89" s="153">
        <f t="shared" si="162"/>
        <v>0.40831556503198291</v>
      </c>
      <c r="AW89" s="5">
        <f t="shared" si="131"/>
        <v>11.33051538024511</v>
      </c>
      <c r="AX89" s="5">
        <f t="shared" si="132"/>
        <v>13.252217478451424</v>
      </c>
      <c r="AY89" s="5">
        <f t="shared" si="133"/>
        <v>0.45203804398448061</v>
      </c>
      <c r="AZ89" s="5">
        <f t="shared" si="134"/>
        <v>2.4876948642578145</v>
      </c>
      <c r="BA89" s="5">
        <f t="shared" si="135"/>
        <v>6.0710693949121923</v>
      </c>
      <c r="BB89" s="147">
        <f t="shared" si="136"/>
        <v>155.45201886714398</v>
      </c>
      <c r="BC89" s="5"/>
      <c r="BD89" s="153">
        <f t="shared" si="163"/>
        <v>1.3826956312885559</v>
      </c>
      <c r="BE89" s="153">
        <f t="shared" si="137"/>
        <v>0.8322306371851288</v>
      </c>
      <c r="BF89" s="153">
        <f t="shared" si="138"/>
        <v>0.16666370407419834</v>
      </c>
      <c r="BG89" s="153"/>
      <c r="BH89" s="463">
        <f t="shared" si="139"/>
        <v>0.21030319296629038</v>
      </c>
      <c r="BI89" s="463">
        <f t="shared" si="140"/>
        <v>4.7236666666666663E-2</v>
      </c>
      <c r="BJ89" s="463">
        <f t="shared" si="141"/>
        <v>6.7182654420998864E-3</v>
      </c>
      <c r="BK89" s="463">
        <f t="shared" si="142"/>
        <v>1.0639845971350077E-2</v>
      </c>
      <c r="BL89">
        <f t="shared" si="143"/>
        <v>3.2190000000000001E-3</v>
      </c>
      <c r="BM89">
        <f t="shared" si="144"/>
        <v>8.1962838393618628E-6</v>
      </c>
      <c r="BN89">
        <f t="shared" si="145"/>
        <v>0.31888930279896704</v>
      </c>
      <c r="BO89" s="147">
        <f t="shared" si="164"/>
        <v>318.88930279896704</v>
      </c>
      <c r="BP89" s="153">
        <f t="shared" si="146"/>
        <v>0.26627047695414963</v>
      </c>
      <c r="BQ89" s="153">
        <f t="shared" si="147"/>
        <v>3.6332293551075846E-2</v>
      </c>
      <c r="BR89" s="463"/>
      <c r="BT89" s="147">
        <f t="shared" si="165"/>
        <v>302.60277050522552</v>
      </c>
      <c r="BU89" s="463">
        <f t="shared" si="148"/>
        <v>0.16250701274667895</v>
      </c>
      <c r="BV89" s="463">
        <f t="shared" si="149"/>
        <v>0.13159548835921744</v>
      </c>
      <c r="BW89" s="463">
        <f t="shared" si="150"/>
        <v>1.3888395127865979E-3</v>
      </c>
      <c r="BX89" s="463">
        <f t="shared" si="151"/>
        <v>0</v>
      </c>
      <c r="BY89" s="463">
        <f t="shared" si="152"/>
        <v>0.33896315567621332</v>
      </c>
      <c r="BZ89" s="463">
        <f t="shared" si="166"/>
        <v>0.29549134061868304</v>
      </c>
      <c r="CA89" s="549">
        <f t="shared" si="153"/>
        <v>0.94370370370370349</v>
      </c>
      <c r="CB89" s="147">
        <f t="shared" si="167"/>
        <v>1282.6668593799168</v>
      </c>
      <c r="CC89" s="153">
        <f t="shared" si="168"/>
        <v>1.9041589326841093</v>
      </c>
      <c r="CD89" s="5">
        <f t="shared" si="169"/>
        <v>7.6440000000000001</v>
      </c>
      <c r="CE89" s="153">
        <f t="shared" si="170"/>
        <v>0.80057318420140433</v>
      </c>
      <c r="CF89" s="5">
        <f t="shared" si="171"/>
        <v>80.057318420140433</v>
      </c>
      <c r="CG89">
        <f t="shared" si="172"/>
        <v>84</v>
      </c>
      <c r="CI89" s="59">
        <f t="shared" si="154"/>
        <v>-50</v>
      </c>
      <c r="CJ89">
        <f t="shared" si="155"/>
        <v>-50</v>
      </c>
    </row>
    <row r="90" spans="5:88" x14ac:dyDescent="0.25">
      <c r="E90" s="150">
        <v>85</v>
      </c>
      <c r="F90" s="191">
        <f t="shared" si="173"/>
        <v>0.42499999999999999</v>
      </c>
      <c r="G90" s="191">
        <f t="shared" si="156"/>
        <v>8.5000000000000006E-2</v>
      </c>
      <c r="H90" s="191">
        <f t="shared" si="105"/>
        <v>6.375</v>
      </c>
      <c r="I90" s="191">
        <f t="shared" si="174"/>
        <v>1.36</v>
      </c>
      <c r="J90" s="472">
        <f t="shared" si="106"/>
        <v>11.1</v>
      </c>
      <c r="K90" s="386">
        <f t="shared" si="107"/>
        <v>7.66</v>
      </c>
      <c r="L90" s="386">
        <f t="shared" si="108"/>
        <v>18.759999999999998</v>
      </c>
      <c r="M90" s="386"/>
      <c r="N90" s="191">
        <f t="shared" si="109"/>
        <v>0.40831556503198302</v>
      </c>
      <c r="O90" s="152">
        <f t="shared" si="157"/>
        <v>6.8918395170927162</v>
      </c>
      <c r="P90" s="152">
        <f t="shared" si="110"/>
        <v>1.7839143710021326</v>
      </c>
      <c r="Q90" s="191">
        <f t="shared" si="111"/>
        <v>0.45945596780618109</v>
      </c>
      <c r="R90" s="191">
        <f t="shared" si="112"/>
        <v>0.43073996981829477</v>
      </c>
      <c r="S90" s="386">
        <f t="shared" si="113"/>
        <v>15</v>
      </c>
      <c r="T90" s="191">
        <f t="shared" si="114"/>
        <v>3.792528821249447</v>
      </c>
      <c r="U90" s="191">
        <f t="shared" si="115"/>
        <v>3.0750233685806334</v>
      </c>
      <c r="V90" s="191">
        <f t="shared" si="116"/>
        <v>4.4559738108674969</v>
      </c>
      <c r="W90" s="175">
        <f t="shared" si="117"/>
        <v>350</v>
      </c>
      <c r="X90" s="386">
        <f t="shared" si="158"/>
        <v>132.78454050268013</v>
      </c>
      <c r="Z90" s="191">
        <f t="shared" si="118"/>
        <v>1.4388262767793685</v>
      </c>
      <c r="AA90" s="153">
        <f t="shared" si="119"/>
        <v>1.6905269570514774</v>
      </c>
      <c r="AB90" s="153">
        <f t="shared" si="120"/>
        <v>0.21283277814833412</v>
      </c>
      <c r="AC90" s="153"/>
      <c r="AD90" s="153">
        <f t="shared" si="121"/>
        <v>0.96344647519582249</v>
      </c>
      <c r="AE90" s="317">
        <f t="shared" si="122"/>
        <v>2151.8276158371341</v>
      </c>
      <c r="AF90" s="463">
        <f t="shared" si="123"/>
        <v>6.9127284595300251E-2</v>
      </c>
      <c r="AH90" s="153">
        <f t="shared" si="124"/>
        <v>2.2161026851459549</v>
      </c>
      <c r="AI90" s="153">
        <f t="shared" si="125"/>
        <v>3.792528821249447</v>
      </c>
      <c r="AJ90" s="153">
        <f t="shared" si="126"/>
        <v>3.4018732009255164</v>
      </c>
      <c r="AL90" s="317">
        <f t="shared" si="127"/>
        <v>425</v>
      </c>
      <c r="AM90" s="147">
        <f t="shared" si="128"/>
        <v>132.78454050268013</v>
      </c>
      <c r="AO90">
        <f t="shared" si="159"/>
        <v>425</v>
      </c>
      <c r="AP90">
        <f t="shared" si="129"/>
        <v>132.78454050268013</v>
      </c>
      <c r="AR90" s="5">
        <f t="shared" si="160"/>
        <v>7.5309971794481294</v>
      </c>
      <c r="AS90" s="5">
        <f t="shared" si="130"/>
        <v>3.0750233685806334</v>
      </c>
      <c r="AT90" s="5">
        <f t="shared" si="161"/>
        <v>4.455973810867496</v>
      </c>
      <c r="AU90" s="153">
        <f t="shared" si="162"/>
        <v>0.40831556503198302</v>
      </c>
      <c r="AW90" s="5">
        <f t="shared" si="131"/>
        <v>11.33051538024511</v>
      </c>
      <c r="AX90" s="5">
        <f t="shared" si="132"/>
        <v>13.554446043340638</v>
      </c>
      <c r="AY90" s="5">
        <f t="shared" si="133"/>
        <v>0.45203804398448061</v>
      </c>
      <c r="AZ90" s="5">
        <f t="shared" si="134"/>
        <v>2.5452544493002707</v>
      </c>
      <c r="BA90" s="5">
        <f t="shared" si="135"/>
        <v>6.2164790785488337</v>
      </c>
      <c r="BB90" s="147">
        <f t="shared" si="136"/>
        <v>159.1476359407593</v>
      </c>
      <c r="BC90" s="5"/>
      <c r="BD90" s="153">
        <f t="shared" si="163"/>
        <v>1.3991562935658008</v>
      </c>
      <c r="BE90" s="153">
        <f t="shared" si="137"/>
        <v>0.84213814477066606</v>
      </c>
      <c r="BF90" s="153">
        <f t="shared" si="138"/>
        <v>0.16864779578936737</v>
      </c>
      <c r="BG90" s="153"/>
      <c r="BH90" s="463">
        <f t="shared" si="139"/>
        <v>0.21534021672072687</v>
      </c>
      <c r="BI90" s="463">
        <f t="shared" si="140"/>
        <v>4.7236666666666649E-2</v>
      </c>
      <c r="BJ90" s="463">
        <f t="shared" si="141"/>
        <v>6.6392270251340061E-3</v>
      </c>
      <c r="BK90" s="463">
        <f t="shared" si="142"/>
        <v>1.0514671312863606E-2</v>
      </c>
      <c r="BL90">
        <f t="shared" si="143"/>
        <v>3.2190000000000001E-3</v>
      </c>
      <c r="BM90">
        <f t="shared" si="144"/>
        <v>8.0998569706634891E-6</v>
      </c>
      <c r="BN90">
        <f t="shared" si="145"/>
        <v>0.3249387136620222</v>
      </c>
      <c r="BO90" s="147">
        <f t="shared" si="164"/>
        <v>324.93871366202222</v>
      </c>
      <c r="BP90" s="153">
        <f t="shared" si="146"/>
        <v>0.27071524886532466</v>
      </c>
      <c r="BQ90" s="153">
        <f t="shared" si="147"/>
        <v>3.6815949674960741E-2</v>
      </c>
      <c r="BR90" s="463"/>
      <c r="BT90" s="147">
        <f t="shared" si="165"/>
        <v>307.53119854028546</v>
      </c>
      <c r="BU90" s="463">
        <f t="shared" si="148"/>
        <v>0.16639925837510713</v>
      </c>
      <c r="BV90" s="463">
        <f t="shared" si="149"/>
        <v>0.13474736442677807</v>
      </c>
      <c r="BW90" s="463">
        <f t="shared" si="150"/>
        <v>1.422103951230608E-3</v>
      </c>
      <c r="BX90" s="463">
        <f t="shared" si="151"/>
        <v>0</v>
      </c>
      <c r="BY90" s="463">
        <f t="shared" si="152"/>
        <v>0.34728313524787208</v>
      </c>
      <c r="BZ90" s="463">
        <f t="shared" si="166"/>
        <v>0.3025687267531158</v>
      </c>
      <c r="CA90" s="549">
        <f t="shared" si="153"/>
        <v>0.95493827160493805</v>
      </c>
      <c r="CB90" s="147">
        <f t="shared" si="167"/>
        <v>1302.2214068528101</v>
      </c>
      <c r="CC90" s="153">
        <f t="shared" si="168"/>
        <v>1.9346913190551178</v>
      </c>
      <c r="CD90" s="5">
        <f t="shared" si="169"/>
        <v>7.7350000000000003</v>
      </c>
      <c r="CE90" s="153">
        <f t="shared" si="170"/>
        <v>0.79992212210098057</v>
      </c>
      <c r="CF90" s="5">
        <f t="shared" si="171"/>
        <v>79.99221221009806</v>
      </c>
      <c r="CG90">
        <f t="shared" si="172"/>
        <v>85</v>
      </c>
      <c r="CI90" s="59">
        <f t="shared" si="154"/>
        <v>-50</v>
      </c>
      <c r="CJ90">
        <f t="shared" si="155"/>
        <v>-50</v>
      </c>
    </row>
    <row r="91" spans="5:88" x14ac:dyDescent="0.25">
      <c r="E91" s="150">
        <v>86</v>
      </c>
      <c r="F91" s="191">
        <f t="shared" si="173"/>
        <v>0.43</v>
      </c>
      <c r="G91" s="191">
        <f t="shared" si="156"/>
        <v>8.6000000000000007E-2</v>
      </c>
      <c r="H91" s="191">
        <f t="shared" si="105"/>
        <v>6.45</v>
      </c>
      <c r="I91" s="191">
        <f t="shared" si="174"/>
        <v>1.3760000000000001</v>
      </c>
      <c r="J91" s="472">
        <f t="shared" si="106"/>
        <v>11.1</v>
      </c>
      <c r="K91" s="386">
        <f t="shared" si="107"/>
        <v>7.66</v>
      </c>
      <c r="L91" s="386">
        <f t="shared" si="108"/>
        <v>18.759999999999998</v>
      </c>
      <c r="M91" s="386"/>
      <c r="N91" s="191">
        <f t="shared" si="109"/>
        <v>0.40831556503198302</v>
      </c>
      <c r="O91" s="152">
        <f t="shared" si="157"/>
        <v>6.8918395170927162</v>
      </c>
      <c r="P91" s="152">
        <f t="shared" si="110"/>
        <v>1.7839143710021326</v>
      </c>
      <c r="Q91" s="191">
        <f t="shared" si="111"/>
        <v>0.45945596780618109</v>
      </c>
      <c r="R91" s="191">
        <f t="shared" si="112"/>
        <v>0.43073996981829477</v>
      </c>
      <c r="S91" s="386">
        <f t="shared" si="113"/>
        <v>15</v>
      </c>
      <c r="T91" s="191">
        <f t="shared" si="114"/>
        <v>3.8371468073817936</v>
      </c>
      <c r="U91" s="191">
        <f t="shared" si="115"/>
        <v>3.1112001140933461</v>
      </c>
      <c r="V91" s="191">
        <f t="shared" si="116"/>
        <v>4.5083970321718203</v>
      </c>
      <c r="W91" s="175">
        <f t="shared" si="117"/>
        <v>350</v>
      </c>
      <c r="X91" s="386">
        <f t="shared" si="158"/>
        <v>131.24053421776523</v>
      </c>
      <c r="Z91" s="191">
        <f t="shared" si="118"/>
        <v>1.4388262767793685</v>
      </c>
      <c r="AA91" s="153">
        <f t="shared" si="119"/>
        <v>1.6905269570514774</v>
      </c>
      <c r="AB91" s="153">
        <f t="shared" si="120"/>
        <v>0.21283277814833412</v>
      </c>
      <c r="AC91" s="153"/>
      <c r="AD91" s="153">
        <f t="shared" si="121"/>
        <v>0.96344647519582249</v>
      </c>
      <c r="AE91" s="317">
        <f t="shared" si="122"/>
        <v>2177.1432348469825</v>
      </c>
      <c r="AF91" s="463">
        <f t="shared" si="123"/>
        <v>6.9127284595300251E-2</v>
      </c>
      <c r="AH91" s="153">
        <f t="shared" si="124"/>
        <v>2.2291004663067318</v>
      </c>
      <c r="AI91" s="153">
        <f t="shared" si="125"/>
        <v>3.8371468073817936</v>
      </c>
      <c r="AJ91" s="153">
        <f t="shared" si="126"/>
        <v>3.4349235610235507</v>
      </c>
      <c r="AL91" s="317">
        <f t="shared" si="127"/>
        <v>430</v>
      </c>
      <c r="AM91" s="147">
        <f t="shared" si="128"/>
        <v>131.24053421776523</v>
      </c>
      <c r="AO91">
        <f t="shared" si="159"/>
        <v>430</v>
      </c>
      <c r="AP91">
        <f t="shared" si="129"/>
        <v>131.24053421776523</v>
      </c>
      <c r="AR91" s="5">
        <f t="shared" si="160"/>
        <v>7.6195971462651668</v>
      </c>
      <c r="AS91" s="5">
        <f t="shared" si="130"/>
        <v>3.1112001140933461</v>
      </c>
      <c r="AT91" s="5">
        <f t="shared" si="161"/>
        <v>4.5083970321718212</v>
      </c>
      <c r="AU91" s="153">
        <f t="shared" si="162"/>
        <v>0.40831556503198291</v>
      </c>
      <c r="AW91" s="5">
        <f t="shared" si="131"/>
        <v>11.33051538024511</v>
      </c>
      <c r="AX91" s="5">
        <f t="shared" si="132"/>
        <v>13.860073762843925</v>
      </c>
      <c r="AY91" s="5">
        <f t="shared" si="133"/>
        <v>0.45203804398448061</v>
      </c>
      <c r="AZ91" s="5">
        <f t="shared" si="134"/>
        <v>2.6034715442248864</v>
      </c>
      <c r="BA91" s="5">
        <f t="shared" si="135"/>
        <v>6.3636095868439018</v>
      </c>
      <c r="BB91" s="147">
        <f t="shared" si="136"/>
        <v>162.88666472734857</v>
      </c>
      <c r="BC91" s="5"/>
      <c r="BD91" s="153">
        <f t="shared" si="163"/>
        <v>1.4156169558430454</v>
      </c>
      <c r="BE91" s="153">
        <f t="shared" si="137"/>
        <v>0.85204565235620333</v>
      </c>
      <c r="BF91" s="153">
        <f t="shared" si="138"/>
        <v>0.17063188750453642</v>
      </c>
      <c r="BG91" s="153"/>
      <c r="BH91" s="463">
        <f t="shared" si="139"/>
        <v>0.22043685022373641</v>
      </c>
      <c r="BI91" s="463">
        <f t="shared" si="140"/>
        <v>4.7236666666666649E-2</v>
      </c>
      <c r="BJ91" s="463">
        <f t="shared" si="141"/>
        <v>6.5620267108882609E-3</v>
      </c>
      <c r="BK91" s="463">
        <f t="shared" si="142"/>
        <v>1.0392407692946587E-2</v>
      </c>
      <c r="BL91">
        <f t="shared" si="143"/>
        <v>3.2190000000000001E-3</v>
      </c>
      <c r="BM91">
        <f t="shared" si="144"/>
        <v>8.005672587283679E-6</v>
      </c>
      <c r="BN91">
        <f t="shared" si="145"/>
        <v>0.33107911773753457</v>
      </c>
      <c r="BO91" s="147">
        <f t="shared" si="164"/>
        <v>331.07911773753455</v>
      </c>
      <c r="BP91" s="153">
        <f t="shared" si="146"/>
        <v>0.27519001807722371</v>
      </c>
      <c r="BQ91" s="153">
        <f t="shared" si="147"/>
        <v>3.730080882989753E-2</v>
      </c>
      <c r="BR91" s="463"/>
      <c r="BT91" s="147">
        <f t="shared" si="165"/>
        <v>312.49082690712129</v>
      </c>
      <c r="BU91" s="463">
        <f t="shared" si="148"/>
        <v>0.17033756608197814</v>
      </c>
      <c r="BV91" s="463">
        <f t="shared" si="149"/>
        <v>0.13793654080283055</v>
      </c>
      <c r="BW91" s="463">
        <f t="shared" si="150"/>
        <v>1.4557620516680388E-3</v>
      </c>
      <c r="BX91" s="463">
        <f t="shared" si="151"/>
        <v>0</v>
      </c>
      <c r="BY91" s="463">
        <f t="shared" si="152"/>
        <v>0.35571140905737814</v>
      </c>
      <c r="BZ91" s="463">
        <f t="shared" si="166"/>
        <v>0.30972986893647675</v>
      </c>
      <c r="CA91" s="549">
        <f t="shared" si="153"/>
        <v>0.96617283950617261</v>
      </c>
      <c r="CB91" s="147">
        <f t="shared" si="167"/>
        <v>1321.8842485635507</v>
      </c>
      <c r="CC91" s="153">
        <f t="shared" si="168"/>
        <v>1.9654541932082066</v>
      </c>
      <c r="CD91" s="5">
        <f t="shared" si="169"/>
        <v>7.8260000000000005</v>
      </c>
      <c r="CE91" s="153">
        <f t="shared" si="170"/>
        <v>0.79926840748828365</v>
      </c>
      <c r="CF91" s="5">
        <f t="shared" si="171"/>
        <v>79.926840748828369</v>
      </c>
      <c r="CG91">
        <f t="shared" si="172"/>
        <v>86</v>
      </c>
      <c r="CI91" s="59">
        <f t="shared" si="154"/>
        <v>-50</v>
      </c>
      <c r="CJ91">
        <f t="shared" si="155"/>
        <v>-50</v>
      </c>
    </row>
    <row r="92" spans="5:88" x14ac:dyDescent="0.25">
      <c r="E92" s="150">
        <v>87</v>
      </c>
      <c r="F92" s="191">
        <f t="shared" si="173"/>
        <v>0.435</v>
      </c>
      <c r="G92" s="191">
        <f t="shared" si="156"/>
        <v>8.7000000000000008E-2</v>
      </c>
      <c r="H92" s="191">
        <f t="shared" si="105"/>
        <v>6.5250000000000004</v>
      </c>
      <c r="I92" s="191">
        <f t="shared" si="174"/>
        <v>1.3920000000000001</v>
      </c>
      <c r="J92" s="472">
        <f t="shared" si="106"/>
        <v>11.1</v>
      </c>
      <c r="K92" s="386">
        <f t="shared" si="107"/>
        <v>7.66</v>
      </c>
      <c r="L92" s="386">
        <f t="shared" si="108"/>
        <v>18.759999999999998</v>
      </c>
      <c r="M92" s="386"/>
      <c r="N92" s="191">
        <f t="shared" si="109"/>
        <v>0.40831556503198302</v>
      </c>
      <c r="O92" s="152">
        <f t="shared" si="157"/>
        <v>6.8918395170927162</v>
      </c>
      <c r="P92" s="152">
        <f t="shared" si="110"/>
        <v>1.7839143710021326</v>
      </c>
      <c r="Q92" s="191">
        <f t="shared" si="111"/>
        <v>0.45945596780618109</v>
      </c>
      <c r="R92" s="191">
        <f t="shared" si="112"/>
        <v>0.43073996981829477</v>
      </c>
      <c r="S92" s="386">
        <f t="shared" si="113"/>
        <v>15</v>
      </c>
      <c r="T92" s="191">
        <f t="shared" si="114"/>
        <v>3.8817647935141402</v>
      </c>
      <c r="U92" s="191">
        <f t="shared" si="115"/>
        <v>3.1473768596060601</v>
      </c>
      <c r="V92" s="191">
        <f t="shared" si="116"/>
        <v>4.5608202534761437</v>
      </c>
      <c r="W92" s="175">
        <f t="shared" si="117"/>
        <v>350</v>
      </c>
      <c r="X92" s="386">
        <f t="shared" si="158"/>
        <v>129.73202233020473</v>
      </c>
      <c r="Z92" s="191">
        <f t="shared" si="118"/>
        <v>1.4388262767793685</v>
      </c>
      <c r="AA92" s="153">
        <f t="shared" si="119"/>
        <v>1.6905269570514774</v>
      </c>
      <c r="AB92" s="153">
        <f t="shared" si="120"/>
        <v>0.21283277814833412</v>
      </c>
      <c r="AC92" s="153"/>
      <c r="AD92" s="153">
        <f t="shared" si="121"/>
        <v>0.96344647519582249</v>
      </c>
      <c r="AE92" s="317">
        <f t="shared" si="122"/>
        <v>2202.458853856831</v>
      </c>
      <c r="AF92" s="463">
        <f t="shared" si="123"/>
        <v>6.9127284595300251E-2</v>
      </c>
      <c r="AH92" s="153">
        <f t="shared" si="124"/>
        <v>2.2420228961066986</v>
      </c>
      <c r="AI92" s="153">
        <f t="shared" si="125"/>
        <v>3.8817647935141402</v>
      </c>
      <c r="AJ92" s="153">
        <f t="shared" si="126"/>
        <v>3.467973921121585</v>
      </c>
      <c r="AL92" s="317">
        <f t="shared" si="127"/>
        <v>435</v>
      </c>
      <c r="AM92" s="147">
        <f t="shared" si="128"/>
        <v>129.73202233020473</v>
      </c>
      <c r="AO92">
        <f t="shared" si="159"/>
        <v>435</v>
      </c>
      <c r="AP92">
        <f t="shared" si="129"/>
        <v>129.73202233020473</v>
      </c>
      <c r="AR92" s="5">
        <f t="shared" si="160"/>
        <v>7.7081971130822033</v>
      </c>
      <c r="AS92" s="5">
        <f t="shared" si="130"/>
        <v>3.1473768596060601</v>
      </c>
      <c r="AT92" s="5">
        <f t="shared" si="161"/>
        <v>4.5608202534761428</v>
      </c>
      <c r="AU92" s="153">
        <f t="shared" si="162"/>
        <v>0.40831556503198302</v>
      </c>
      <c r="AW92" s="5">
        <f t="shared" si="131"/>
        <v>11.33051538024511</v>
      </c>
      <c r="AX92" s="5">
        <f t="shared" si="132"/>
        <v>14.169100636961286</v>
      </c>
      <c r="AY92" s="5">
        <f t="shared" si="133"/>
        <v>0.45203804398448061</v>
      </c>
      <c r="AZ92" s="5">
        <f t="shared" si="134"/>
        <v>2.6623461490316602</v>
      </c>
      <c r="BA92" s="5">
        <f t="shared" si="135"/>
        <v>6.5124609197973866</v>
      </c>
      <c r="BB92" s="147">
        <f t="shared" si="136"/>
        <v>166.6691052269116</v>
      </c>
      <c r="BC92" s="5"/>
      <c r="BD92" s="153">
        <f t="shared" si="163"/>
        <v>1.4320776181202903</v>
      </c>
      <c r="BE92" s="153">
        <f t="shared" si="137"/>
        <v>0.8619531599417406</v>
      </c>
      <c r="BF92" s="153">
        <f t="shared" si="138"/>
        <v>0.17261597921970545</v>
      </c>
      <c r="BG92" s="153"/>
      <c r="BH92" s="463">
        <f t="shared" si="139"/>
        <v>0.22559309347531928</v>
      </c>
      <c r="BI92" s="463">
        <f t="shared" si="140"/>
        <v>4.7236666666666663E-2</v>
      </c>
      <c r="BJ92" s="463">
        <f t="shared" si="141"/>
        <v>6.4866011165102362E-3</v>
      </c>
      <c r="BK92" s="463">
        <f t="shared" si="142"/>
        <v>1.0272954730958695E-2</v>
      </c>
      <c r="BL92">
        <f t="shared" si="143"/>
        <v>3.2190000000000001E-3</v>
      </c>
      <c r="BM92">
        <f t="shared" si="144"/>
        <v>7.9136533621424889E-6</v>
      </c>
      <c r="BN92">
        <f t="shared" si="145"/>
        <v>0.3373108233028862</v>
      </c>
      <c r="BO92" s="147">
        <f t="shared" si="164"/>
        <v>337.31082330288621</v>
      </c>
      <c r="BP92" s="153">
        <f t="shared" si="146"/>
        <v>0.27969478458984676</v>
      </c>
      <c r="BQ92" s="153">
        <f t="shared" si="147"/>
        <v>3.7786871015886209E-2</v>
      </c>
      <c r="BR92" s="463"/>
      <c r="BT92" s="147">
        <f t="shared" si="165"/>
        <v>317.48165560573295</v>
      </c>
      <c r="BU92" s="463">
        <f t="shared" si="148"/>
        <v>0.17432193586729217</v>
      </c>
      <c r="BV92" s="463">
        <f t="shared" si="149"/>
        <v>0.14116301748737486</v>
      </c>
      <c r="BW92" s="463">
        <f t="shared" si="150"/>
        <v>1.4898138140988894E-3</v>
      </c>
      <c r="BX92" s="463">
        <f t="shared" si="151"/>
        <v>0</v>
      </c>
      <c r="BY92" s="463">
        <f t="shared" si="152"/>
        <v>0.36424834189820121</v>
      </c>
      <c r="BZ92" s="463">
        <f t="shared" si="166"/>
        <v>0.31697476716876594</v>
      </c>
      <c r="CA92" s="549">
        <f t="shared" si="153"/>
        <v>0.97740740740740728</v>
      </c>
      <c r="CB92" s="147">
        <f t="shared" si="167"/>
        <v>1341.6557493056084</v>
      </c>
      <c r="CC92" s="153">
        <f t="shared" si="168"/>
        <v>1.9964482282142275</v>
      </c>
      <c r="CD92" s="5">
        <f t="shared" si="169"/>
        <v>7.9170000000000007</v>
      </c>
      <c r="CE92" s="153">
        <f t="shared" si="170"/>
        <v>0.79861212947758942</v>
      </c>
      <c r="CF92" s="5">
        <f t="shared" si="171"/>
        <v>79.861212947758943</v>
      </c>
      <c r="CG92">
        <f t="shared" si="172"/>
        <v>87</v>
      </c>
      <c r="CI92" s="59">
        <f t="shared" si="154"/>
        <v>-50</v>
      </c>
      <c r="CJ92">
        <f t="shared" si="155"/>
        <v>-50</v>
      </c>
    </row>
    <row r="93" spans="5:88" x14ac:dyDescent="0.25">
      <c r="E93" s="150">
        <v>88</v>
      </c>
      <c r="F93" s="191">
        <f t="shared" si="173"/>
        <v>0.44</v>
      </c>
      <c r="G93" s="191">
        <f t="shared" si="156"/>
        <v>8.8000000000000009E-2</v>
      </c>
      <c r="H93" s="191">
        <f t="shared" si="105"/>
        <v>6.6</v>
      </c>
      <c r="I93" s="191">
        <f t="shared" si="174"/>
        <v>1.4080000000000001</v>
      </c>
      <c r="J93" s="472">
        <f t="shared" si="106"/>
        <v>11.1</v>
      </c>
      <c r="K93" s="386">
        <f t="shared" si="107"/>
        <v>7.66</v>
      </c>
      <c r="L93" s="386">
        <f t="shared" si="108"/>
        <v>18.759999999999998</v>
      </c>
      <c r="M93" s="386"/>
      <c r="N93" s="191">
        <f t="shared" si="109"/>
        <v>0.40831556503198302</v>
      </c>
      <c r="O93" s="152">
        <f t="shared" si="157"/>
        <v>6.8918395170927162</v>
      </c>
      <c r="P93" s="152">
        <f t="shared" si="110"/>
        <v>1.7839143710021326</v>
      </c>
      <c r="Q93" s="191">
        <f t="shared" si="111"/>
        <v>0.45945596780618109</v>
      </c>
      <c r="R93" s="191">
        <f t="shared" si="112"/>
        <v>0.43073996981829477</v>
      </c>
      <c r="S93" s="386">
        <f t="shared" si="113"/>
        <v>15</v>
      </c>
      <c r="T93" s="191">
        <f t="shared" si="114"/>
        <v>3.9263827796464859</v>
      </c>
      <c r="U93" s="191">
        <f t="shared" si="115"/>
        <v>3.1835536051187727</v>
      </c>
      <c r="V93" s="191">
        <f t="shared" si="116"/>
        <v>4.6132434747804663</v>
      </c>
      <c r="W93" s="175">
        <f t="shared" si="117"/>
        <v>350</v>
      </c>
      <c r="X93" s="386">
        <f t="shared" si="158"/>
        <v>128.25779480372515</v>
      </c>
      <c r="Z93" s="191">
        <f t="shared" si="118"/>
        <v>1.4388262767793685</v>
      </c>
      <c r="AA93" s="153">
        <f t="shared" si="119"/>
        <v>1.6905269570514774</v>
      </c>
      <c r="AB93" s="153">
        <f t="shared" si="120"/>
        <v>0.21283277814833412</v>
      </c>
      <c r="AC93" s="153"/>
      <c r="AD93" s="153">
        <f t="shared" si="121"/>
        <v>0.96344647519582249</v>
      </c>
      <c r="AE93" s="317">
        <f t="shared" si="122"/>
        <v>2227.7744728666798</v>
      </c>
      <c r="AF93" s="463">
        <f t="shared" si="123"/>
        <v>6.9127284595300251E-2</v>
      </c>
      <c r="AH93" s="153">
        <f t="shared" si="124"/>
        <v>2.2548712700383682</v>
      </c>
      <c r="AI93" s="153">
        <f t="shared" si="125"/>
        <v>3.9263827796464859</v>
      </c>
      <c r="AJ93" s="153">
        <f t="shared" si="126"/>
        <v>3.5010242812196193</v>
      </c>
      <c r="AL93" s="317">
        <f t="shared" si="127"/>
        <v>440</v>
      </c>
      <c r="AM93" s="147">
        <f t="shared" si="128"/>
        <v>128.25779480372515</v>
      </c>
      <c r="AO93">
        <f t="shared" si="159"/>
        <v>440</v>
      </c>
      <c r="AP93">
        <f t="shared" si="129"/>
        <v>128.25779480372515</v>
      </c>
      <c r="AR93" s="5">
        <f t="shared" si="160"/>
        <v>7.796797079899239</v>
      </c>
      <c r="AS93" s="5">
        <f t="shared" si="130"/>
        <v>3.1835536051187727</v>
      </c>
      <c r="AT93" s="5">
        <f t="shared" si="161"/>
        <v>4.6132434747804663</v>
      </c>
      <c r="AU93" s="153">
        <f t="shared" si="162"/>
        <v>0.40831556503198296</v>
      </c>
      <c r="AW93" s="5">
        <f t="shared" si="131"/>
        <v>11.33051538024511</v>
      </c>
      <c r="AX93" s="5">
        <f t="shared" si="132"/>
        <v>14.481526665692719</v>
      </c>
      <c r="AY93" s="5">
        <f t="shared" si="133"/>
        <v>0.45203804398448061</v>
      </c>
      <c r="AZ93" s="5">
        <f t="shared" si="134"/>
        <v>2.7218782637205949</v>
      </c>
      <c r="BA93" s="5">
        <f t="shared" si="135"/>
        <v>6.6630330774092945</v>
      </c>
      <c r="BB93" s="147">
        <f t="shared" si="136"/>
        <v>170.49495743944843</v>
      </c>
      <c r="BC93" s="5"/>
      <c r="BD93" s="153">
        <f t="shared" si="163"/>
        <v>1.4485382803975346</v>
      </c>
      <c r="BE93" s="153">
        <f t="shared" si="137"/>
        <v>0.87186066752727764</v>
      </c>
      <c r="BF93" s="153">
        <f t="shared" si="138"/>
        <v>0.17460007093487445</v>
      </c>
      <c r="BG93" s="153"/>
      <c r="BH93" s="463">
        <f t="shared" si="139"/>
        <v>0.23080894647547512</v>
      </c>
      <c r="BI93" s="463">
        <f t="shared" si="140"/>
        <v>4.7236666666666663E-2</v>
      </c>
      <c r="BJ93" s="463">
        <f t="shared" si="141"/>
        <v>6.4128897401862575E-3</v>
      </c>
      <c r="BK93" s="463">
        <f t="shared" si="142"/>
        <v>1.0156216609015984E-2</v>
      </c>
      <c r="BL93">
        <f t="shared" si="143"/>
        <v>3.2190000000000001E-3</v>
      </c>
      <c r="BM93">
        <f t="shared" si="144"/>
        <v>7.8237254830272342E-6</v>
      </c>
      <c r="BN93">
        <f t="shared" si="145"/>
        <v>0.3436341539249726</v>
      </c>
      <c r="BO93" s="147">
        <f t="shared" si="164"/>
        <v>343.63415392497262</v>
      </c>
      <c r="BP93" s="153">
        <f t="shared" si="146"/>
        <v>0.2842295484031937</v>
      </c>
      <c r="BQ93" s="153">
        <f t="shared" si="147"/>
        <v>3.8274136232926775E-2</v>
      </c>
      <c r="BR93" s="463"/>
      <c r="BT93" s="147">
        <f t="shared" si="165"/>
        <v>322.50368463612045</v>
      </c>
      <c r="BU93" s="463">
        <f t="shared" si="148"/>
        <v>0.17835236773104896</v>
      </c>
      <c r="BV93" s="463">
        <f t="shared" si="149"/>
        <v>0.14442679448041093</v>
      </c>
      <c r="BW93" s="463">
        <f t="shared" si="150"/>
        <v>1.5242592385231596E-3</v>
      </c>
      <c r="BX93" s="463">
        <f t="shared" si="151"/>
        <v>0</v>
      </c>
      <c r="BY93" s="463">
        <f t="shared" si="152"/>
        <v>0.37289430391180567</v>
      </c>
      <c r="BZ93" s="463">
        <f t="shared" si="166"/>
        <v>0.32430342144998303</v>
      </c>
      <c r="CA93" s="549">
        <f t="shared" si="153"/>
        <v>0.98864197530864173</v>
      </c>
      <c r="CB93" s="147">
        <f t="shared" si="167"/>
        <v>1361.5362792204473</v>
      </c>
      <c r="CC93" s="153">
        <f t="shared" si="168"/>
        <v>2.0276741177815403</v>
      </c>
      <c r="CD93" s="5">
        <f t="shared" si="169"/>
        <v>8.0079999999999991</v>
      </c>
      <c r="CE93" s="153">
        <f t="shared" si="170"/>
        <v>0.79795337174322545</v>
      </c>
      <c r="CF93" s="5">
        <f t="shared" si="171"/>
        <v>79.79533717432254</v>
      </c>
      <c r="CG93">
        <f t="shared" si="172"/>
        <v>88</v>
      </c>
      <c r="CI93" s="59">
        <f t="shared" si="154"/>
        <v>-50</v>
      </c>
      <c r="CJ93">
        <f t="shared" si="155"/>
        <v>-50</v>
      </c>
    </row>
    <row r="94" spans="5:88" x14ac:dyDescent="0.25">
      <c r="E94" s="150">
        <v>89</v>
      </c>
      <c r="F94" s="191">
        <f t="shared" si="173"/>
        <v>0.44500000000000001</v>
      </c>
      <c r="G94" s="191">
        <f t="shared" si="156"/>
        <v>8.900000000000001E-2</v>
      </c>
      <c r="H94" s="191">
        <f t="shared" si="105"/>
        <v>6.6749999999999998</v>
      </c>
      <c r="I94" s="191">
        <f t="shared" si="174"/>
        <v>1.4240000000000002</v>
      </c>
      <c r="J94" s="472">
        <f t="shared" si="106"/>
        <v>11.1</v>
      </c>
      <c r="K94" s="386">
        <f t="shared" si="107"/>
        <v>7.66</v>
      </c>
      <c r="L94" s="386">
        <f t="shared" si="108"/>
        <v>18.759999999999998</v>
      </c>
      <c r="M94" s="386"/>
      <c r="N94" s="191">
        <f t="shared" si="109"/>
        <v>0.40831556503198302</v>
      </c>
      <c r="O94" s="152">
        <f t="shared" si="157"/>
        <v>6.8918395170927162</v>
      </c>
      <c r="P94" s="152">
        <f t="shared" si="110"/>
        <v>1.7839143710021326</v>
      </c>
      <c r="Q94" s="191">
        <f t="shared" si="111"/>
        <v>0.45945596780618109</v>
      </c>
      <c r="R94" s="191">
        <f t="shared" si="112"/>
        <v>0.43073996981829477</v>
      </c>
      <c r="S94" s="386">
        <f t="shared" si="113"/>
        <v>15</v>
      </c>
      <c r="T94" s="191">
        <f t="shared" si="114"/>
        <v>3.9710007657788329</v>
      </c>
      <c r="U94" s="191">
        <f t="shared" si="115"/>
        <v>3.2197303506314863</v>
      </c>
      <c r="V94" s="191">
        <f t="shared" si="116"/>
        <v>4.6656666960847906</v>
      </c>
      <c r="W94" s="175">
        <f t="shared" si="117"/>
        <v>350</v>
      </c>
      <c r="X94" s="386">
        <f t="shared" si="158"/>
        <v>126.81669598570575</v>
      </c>
      <c r="Z94" s="191">
        <f t="shared" si="118"/>
        <v>1.4388262767793685</v>
      </c>
      <c r="AA94" s="153">
        <f t="shared" si="119"/>
        <v>1.6905269570514774</v>
      </c>
      <c r="AB94" s="153">
        <f t="shared" si="120"/>
        <v>0.21283277814833412</v>
      </c>
      <c r="AC94" s="153"/>
      <c r="AD94" s="153">
        <f t="shared" si="121"/>
        <v>0.96344647519582249</v>
      </c>
      <c r="AE94" s="317">
        <f t="shared" si="122"/>
        <v>2253.0900918765287</v>
      </c>
      <c r="AF94" s="463">
        <f t="shared" si="123"/>
        <v>6.9127284595300251E-2</v>
      </c>
      <c r="AH94" s="153">
        <f t="shared" si="124"/>
        <v>2.2676468468926601</v>
      </c>
      <c r="AI94" s="153">
        <f t="shared" si="125"/>
        <v>3.9710007657788329</v>
      </c>
      <c r="AJ94" s="153">
        <f t="shared" si="126"/>
        <v>3.5340746413176536</v>
      </c>
      <c r="AL94" s="317">
        <f t="shared" si="127"/>
        <v>445</v>
      </c>
      <c r="AM94" s="147">
        <f t="shared" si="128"/>
        <v>126.81669598570575</v>
      </c>
      <c r="AO94">
        <f t="shared" si="159"/>
        <v>445</v>
      </c>
      <c r="AP94">
        <f t="shared" si="129"/>
        <v>126.81669598570575</v>
      </c>
      <c r="AR94" s="5">
        <f t="shared" si="160"/>
        <v>7.8853970467162773</v>
      </c>
      <c r="AS94" s="5">
        <f t="shared" si="130"/>
        <v>3.2197303506314863</v>
      </c>
      <c r="AT94" s="5">
        <f t="shared" si="161"/>
        <v>4.6656666960847915</v>
      </c>
      <c r="AU94" s="153">
        <f t="shared" si="162"/>
        <v>0.40831556503198291</v>
      </c>
      <c r="AW94" s="5">
        <f t="shared" si="131"/>
        <v>11.33051538024511</v>
      </c>
      <c r="AX94" s="5">
        <f t="shared" si="132"/>
        <v>14.797351849038229</v>
      </c>
      <c r="AY94" s="5">
        <f t="shared" si="133"/>
        <v>0.45203804398448061</v>
      </c>
      <c r="AZ94" s="5">
        <f t="shared" si="134"/>
        <v>2.7820678882916874</v>
      </c>
      <c r="BA94" s="5">
        <f t="shared" si="135"/>
        <v>6.8153260596796299</v>
      </c>
      <c r="BB94" s="147">
        <f t="shared" si="136"/>
        <v>174.36422136495915</v>
      </c>
      <c r="BC94" s="5"/>
      <c r="BD94" s="153">
        <f t="shared" si="163"/>
        <v>1.4649989426747796</v>
      </c>
      <c r="BE94" s="153">
        <f t="shared" si="137"/>
        <v>0.88176817511281502</v>
      </c>
      <c r="BF94" s="153">
        <f t="shared" si="138"/>
        <v>0.17658416265004351</v>
      </c>
      <c r="BG94" s="153"/>
      <c r="BH94" s="463">
        <f t="shared" si="139"/>
        <v>0.23608440922420443</v>
      </c>
      <c r="BI94" s="463">
        <f t="shared" si="140"/>
        <v>4.7236666666666663E-2</v>
      </c>
      <c r="BJ94" s="463">
        <f t="shared" si="141"/>
        <v>6.3408347992852873E-3</v>
      </c>
      <c r="BK94" s="463">
        <f t="shared" si="142"/>
        <v>1.0042101815656252E-2</v>
      </c>
      <c r="BL94">
        <f t="shared" si="143"/>
        <v>3.2190000000000001E-3</v>
      </c>
      <c r="BM94">
        <f t="shared" si="144"/>
        <v>7.7358184551280505E-6</v>
      </c>
      <c r="BN94">
        <f t="shared" si="145"/>
        <v>0.35004944813600702</v>
      </c>
      <c r="BO94" s="147">
        <f t="shared" si="164"/>
        <v>350.04944813600702</v>
      </c>
      <c r="BP94" s="153">
        <f t="shared" si="146"/>
        <v>0.28879430951726465</v>
      </c>
      <c r="BQ94" s="153">
        <f t="shared" si="147"/>
        <v>3.8762604481019244E-2</v>
      </c>
      <c r="BR94" s="463"/>
      <c r="BT94" s="147">
        <f t="shared" si="165"/>
        <v>327.5569139982839</v>
      </c>
      <c r="BU94" s="463">
        <f t="shared" si="148"/>
        <v>0.1824288616732489</v>
      </c>
      <c r="BV94" s="463">
        <f t="shared" si="149"/>
        <v>0.14772787178193897</v>
      </c>
      <c r="BW94" s="463">
        <f t="shared" si="150"/>
        <v>1.5590983249408512E-3</v>
      </c>
      <c r="BX94" s="463">
        <f t="shared" si="151"/>
        <v>0</v>
      </c>
      <c r="BY94" s="463">
        <f t="shared" si="152"/>
        <v>0.38164967062905042</v>
      </c>
      <c r="BZ94" s="463">
        <f t="shared" si="166"/>
        <v>0.3317158317801287</v>
      </c>
      <c r="CA94" s="549">
        <f t="shared" si="153"/>
        <v>0.99987654320987662</v>
      </c>
      <c r="CB94" s="147">
        <f t="shared" si="167"/>
        <v>1381.5262138389271</v>
      </c>
      <c r="CC94" s="153">
        <f t="shared" si="168"/>
        <v>2.059132575973218</v>
      </c>
      <c r="CD94" s="5">
        <f t="shared" si="169"/>
        <v>8.0990000000000002</v>
      </c>
      <c r="CE94" s="153">
        <f t="shared" si="170"/>
        <v>0.79729221285774188</v>
      </c>
      <c r="CF94" s="5">
        <f t="shared" si="171"/>
        <v>79.729221285774187</v>
      </c>
      <c r="CG94">
        <f t="shared" si="172"/>
        <v>89</v>
      </c>
      <c r="CI94" s="59">
        <f t="shared" si="154"/>
        <v>-50</v>
      </c>
      <c r="CJ94">
        <f t="shared" si="155"/>
        <v>-50</v>
      </c>
    </row>
    <row r="95" spans="5:88" x14ac:dyDescent="0.25">
      <c r="E95" s="150">
        <v>90</v>
      </c>
      <c r="F95" s="191">
        <f t="shared" si="173"/>
        <v>0.45</v>
      </c>
      <c r="G95" s="191">
        <f t="shared" si="156"/>
        <v>9.0000000000000011E-2</v>
      </c>
      <c r="H95" s="191">
        <f t="shared" si="105"/>
        <v>6.75</v>
      </c>
      <c r="I95" s="191">
        <f t="shared" si="174"/>
        <v>1.4400000000000002</v>
      </c>
      <c r="J95" s="472">
        <f t="shared" si="106"/>
        <v>11.1</v>
      </c>
      <c r="K95" s="386">
        <f t="shared" si="107"/>
        <v>7.66</v>
      </c>
      <c r="L95" s="386">
        <f t="shared" si="108"/>
        <v>18.759999999999998</v>
      </c>
      <c r="M95" s="386"/>
      <c r="N95" s="191">
        <f t="shared" si="109"/>
        <v>0.40831556503198302</v>
      </c>
      <c r="O95" s="152">
        <f t="shared" si="157"/>
        <v>6.8918395170927162</v>
      </c>
      <c r="P95" s="152">
        <f t="shared" si="110"/>
        <v>1.7839143710021326</v>
      </c>
      <c r="Q95" s="191">
        <f t="shared" si="111"/>
        <v>0.45945596780618109</v>
      </c>
      <c r="R95" s="191">
        <f t="shared" si="112"/>
        <v>0.43073996981829477</v>
      </c>
      <c r="S95" s="386">
        <f t="shared" si="113"/>
        <v>15</v>
      </c>
      <c r="T95" s="191">
        <f t="shared" si="114"/>
        <v>4.0156187519111786</v>
      </c>
      <c r="U95" s="191">
        <f t="shared" si="115"/>
        <v>3.2559070961441994</v>
      </c>
      <c r="V95" s="191">
        <f t="shared" si="116"/>
        <v>4.718089917389114</v>
      </c>
      <c r="W95" s="175">
        <f t="shared" si="117"/>
        <v>350</v>
      </c>
      <c r="X95" s="386">
        <f t="shared" si="158"/>
        <v>125.40762158586458</v>
      </c>
      <c r="Z95" s="191">
        <f t="shared" si="118"/>
        <v>1.4388262767793685</v>
      </c>
      <c r="AA95" s="153">
        <f t="shared" si="119"/>
        <v>1.6905269570514774</v>
      </c>
      <c r="AB95" s="153">
        <f t="shared" si="120"/>
        <v>0.21283277814833412</v>
      </c>
      <c r="AC95" s="153"/>
      <c r="AD95" s="153">
        <f t="shared" si="121"/>
        <v>0.96344647519582249</v>
      </c>
      <c r="AE95" s="317">
        <f t="shared" si="122"/>
        <v>2278.4057108863772</v>
      </c>
      <c r="AF95" s="463">
        <f t="shared" si="123"/>
        <v>6.9127284595300251E-2</v>
      </c>
      <c r="AH95" s="153">
        <f t="shared" si="124"/>
        <v>2.2803508501982761</v>
      </c>
      <c r="AI95" s="153">
        <f t="shared" si="125"/>
        <v>4.0156187519111786</v>
      </c>
      <c r="AJ95" s="153">
        <f t="shared" si="126"/>
        <v>3.5671250014156879</v>
      </c>
      <c r="AL95" s="317">
        <f t="shared" si="127"/>
        <v>450</v>
      </c>
      <c r="AM95" s="147">
        <f t="shared" si="128"/>
        <v>125.40762158586458</v>
      </c>
      <c r="AO95">
        <f t="shared" si="159"/>
        <v>450</v>
      </c>
      <c r="AP95">
        <f t="shared" si="129"/>
        <v>125.40762158586458</v>
      </c>
      <c r="AR95" s="5">
        <f t="shared" si="160"/>
        <v>7.9739970135333138</v>
      </c>
      <c r="AS95" s="5">
        <f t="shared" si="130"/>
        <v>3.2559070961441994</v>
      </c>
      <c r="AT95" s="5">
        <f t="shared" si="161"/>
        <v>4.7180899173891149</v>
      </c>
      <c r="AU95" s="153">
        <f t="shared" si="162"/>
        <v>0.40831556503198291</v>
      </c>
      <c r="AW95" s="5">
        <f t="shared" si="131"/>
        <v>11.33051538024511</v>
      </c>
      <c r="AX95" s="5">
        <f t="shared" si="132"/>
        <v>15.116576186997809</v>
      </c>
      <c r="AY95" s="5">
        <f t="shared" si="133"/>
        <v>0.45203804398448061</v>
      </c>
      <c r="AZ95" s="5">
        <f t="shared" si="134"/>
        <v>2.8429150227449402</v>
      </c>
      <c r="BA95" s="5">
        <f t="shared" si="135"/>
        <v>6.9693398666083821</v>
      </c>
      <c r="BB95" s="147">
        <f t="shared" si="136"/>
        <v>178.27689700344368</v>
      </c>
      <c r="BC95" s="5"/>
      <c r="BD95" s="153">
        <f t="shared" si="163"/>
        <v>1.4814596049520241</v>
      </c>
      <c r="BE95" s="153">
        <f t="shared" si="137"/>
        <v>0.89167568269835218</v>
      </c>
      <c r="BF95" s="153">
        <f t="shared" si="138"/>
        <v>0.17856825436521248</v>
      </c>
      <c r="BG95" s="153"/>
      <c r="BH95" s="463">
        <f t="shared" si="139"/>
        <v>0.24141948172150679</v>
      </c>
      <c r="BI95" s="463">
        <f t="shared" si="140"/>
        <v>4.7236666666666649E-2</v>
      </c>
      <c r="BJ95" s="463">
        <f t="shared" si="141"/>
        <v>6.2703810792932285E-3</v>
      </c>
      <c r="BK95" s="463">
        <f t="shared" si="142"/>
        <v>9.9305229065934069E-3</v>
      </c>
      <c r="BL95">
        <f t="shared" si="143"/>
        <v>3.2190000000000001E-3</v>
      </c>
      <c r="BM95">
        <f t="shared" si="144"/>
        <v>7.649864916737739E-6</v>
      </c>
      <c r="BN95">
        <f t="shared" si="145"/>
        <v>0.35655705913915031</v>
      </c>
      <c r="BO95" s="147">
        <f t="shared" si="164"/>
        <v>356.55705913915034</v>
      </c>
      <c r="BP95" s="153">
        <f t="shared" si="146"/>
        <v>0.29338906793205954</v>
      </c>
      <c r="BQ95" s="153">
        <f t="shared" si="147"/>
        <v>3.9252275760163595E-2</v>
      </c>
      <c r="BR95" s="463"/>
      <c r="BT95" s="147">
        <f t="shared" si="165"/>
        <v>332.64134369222313</v>
      </c>
      <c r="BU95" s="463">
        <f t="shared" si="148"/>
        <v>0.18655141769389164</v>
      </c>
      <c r="BV95" s="463">
        <f t="shared" si="149"/>
        <v>0.15106624939195876</v>
      </c>
      <c r="BW95" s="463">
        <f t="shared" si="150"/>
        <v>1.5943310733519613E-3</v>
      </c>
      <c r="BX95" s="463">
        <f t="shared" si="151"/>
        <v>0</v>
      </c>
      <c r="BY95" s="463">
        <f t="shared" si="152"/>
        <v>0.39051482301228951</v>
      </c>
      <c r="BZ95" s="463">
        <f t="shared" si="166"/>
        <v>0.33921199815920233</v>
      </c>
      <c r="CA95" s="549">
        <f t="shared" si="153"/>
        <v>1.0111111111111106</v>
      </c>
      <c r="CB95" s="147">
        <f t="shared" si="167"/>
        <v>1401.6259341234002</v>
      </c>
      <c r="CC95" s="153">
        <f t="shared" si="168"/>
        <v>2.0908243369547739</v>
      </c>
      <c r="CD95" s="5">
        <f t="shared" si="169"/>
        <v>8.19</v>
      </c>
      <c r="CE95" s="153">
        <f t="shared" si="170"/>
        <v>0.79662872660519701</v>
      </c>
      <c r="CF95" s="5">
        <f t="shared" si="171"/>
        <v>79.662872660519696</v>
      </c>
      <c r="CG95">
        <f t="shared" si="172"/>
        <v>90</v>
      </c>
      <c r="CI95" s="59">
        <f t="shared" si="154"/>
        <v>-50</v>
      </c>
      <c r="CJ95">
        <f t="shared" si="155"/>
        <v>-50</v>
      </c>
    </row>
    <row r="96" spans="5:88" x14ac:dyDescent="0.25">
      <c r="E96" s="150">
        <v>91</v>
      </c>
      <c r="F96" s="191">
        <f t="shared" si="173"/>
        <v>0.45500000000000002</v>
      </c>
      <c r="G96" s="191">
        <f t="shared" si="156"/>
        <v>9.1000000000000011E-2</v>
      </c>
      <c r="H96" s="191">
        <f t="shared" si="105"/>
        <v>6.8250000000000002</v>
      </c>
      <c r="I96" s="191">
        <f t="shared" si="174"/>
        <v>1.4560000000000002</v>
      </c>
      <c r="J96" s="472">
        <f t="shared" si="106"/>
        <v>11.1</v>
      </c>
      <c r="K96" s="386">
        <f t="shared" si="107"/>
        <v>7.66</v>
      </c>
      <c r="L96" s="386">
        <f t="shared" si="108"/>
        <v>18.759999999999998</v>
      </c>
      <c r="M96" s="386"/>
      <c r="N96" s="191">
        <f t="shared" si="109"/>
        <v>0.40831556503198302</v>
      </c>
      <c r="O96" s="152">
        <f t="shared" si="157"/>
        <v>6.8918395170927162</v>
      </c>
      <c r="P96" s="152">
        <f t="shared" si="110"/>
        <v>1.7839143710021326</v>
      </c>
      <c r="Q96" s="191">
        <f t="shared" si="111"/>
        <v>0.45945596780618109</v>
      </c>
      <c r="R96" s="191">
        <f t="shared" si="112"/>
        <v>0.43073996981829477</v>
      </c>
      <c r="S96" s="386">
        <f t="shared" si="113"/>
        <v>15</v>
      </c>
      <c r="T96" s="191">
        <f t="shared" si="114"/>
        <v>4.0602367380435256</v>
      </c>
      <c r="U96" s="191">
        <f t="shared" si="115"/>
        <v>3.2920838416569129</v>
      </c>
      <c r="V96" s="191">
        <f t="shared" si="116"/>
        <v>4.7705131386934374</v>
      </c>
      <c r="W96" s="175">
        <f t="shared" si="117"/>
        <v>350</v>
      </c>
      <c r="X96" s="386">
        <f t="shared" si="158"/>
        <v>124.02951585415178</v>
      </c>
      <c r="Z96" s="191">
        <f t="shared" si="118"/>
        <v>1.4388262767793685</v>
      </c>
      <c r="AA96" s="153">
        <f t="shared" si="119"/>
        <v>1.6905269570514774</v>
      </c>
      <c r="AB96" s="153">
        <f t="shared" si="120"/>
        <v>0.21283277814833412</v>
      </c>
      <c r="AC96" s="153"/>
      <c r="AD96" s="153">
        <f t="shared" si="121"/>
        <v>0.96344647519582249</v>
      </c>
      <c r="AE96" s="317">
        <f t="shared" si="122"/>
        <v>2303.7213298962261</v>
      </c>
      <c r="AF96" s="463">
        <f t="shared" si="123"/>
        <v>6.9127284595300251E-2</v>
      </c>
      <c r="AH96" s="153">
        <f t="shared" si="124"/>
        <v>2.292984469589312</v>
      </c>
      <c r="AI96" s="153">
        <f t="shared" si="125"/>
        <v>4.0602367380435256</v>
      </c>
      <c r="AJ96" s="153">
        <f t="shared" si="126"/>
        <v>3.6001753615137231</v>
      </c>
      <c r="AL96" s="317">
        <f t="shared" si="127"/>
        <v>455</v>
      </c>
      <c r="AM96" s="147">
        <f t="shared" si="128"/>
        <v>124.02951585415178</v>
      </c>
      <c r="AO96">
        <f t="shared" si="159"/>
        <v>455</v>
      </c>
      <c r="AP96">
        <f t="shared" si="129"/>
        <v>124.02951585415178</v>
      </c>
      <c r="AR96" s="5">
        <f t="shared" si="160"/>
        <v>8.0625969803503494</v>
      </c>
      <c r="AS96" s="5">
        <f t="shared" si="130"/>
        <v>3.2920838416569129</v>
      </c>
      <c r="AT96" s="5">
        <f t="shared" si="161"/>
        <v>4.7705131386934365</v>
      </c>
      <c r="AU96" s="153">
        <f t="shared" si="162"/>
        <v>0.40831556503198302</v>
      </c>
      <c r="AW96" s="5">
        <f t="shared" si="131"/>
        <v>11.33051538024511</v>
      </c>
      <c r="AX96" s="5">
        <f t="shared" si="132"/>
        <v>15.439199679571464</v>
      </c>
      <c r="AY96" s="5">
        <f t="shared" si="133"/>
        <v>0.45203804398448061</v>
      </c>
      <c r="AZ96" s="5">
        <f t="shared" si="134"/>
        <v>2.9044196670803517</v>
      </c>
      <c r="BA96" s="5">
        <f t="shared" si="135"/>
        <v>7.1250744981955565</v>
      </c>
      <c r="BB96" s="147">
        <f t="shared" si="136"/>
        <v>182.23298435490196</v>
      </c>
      <c r="BC96" s="5"/>
      <c r="BD96" s="153">
        <f t="shared" si="163"/>
        <v>1.4979202672292691</v>
      </c>
      <c r="BE96" s="153">
        <f t="shared" si="137"/>
        <v>0.90158319028388956</v>
      </c>
      <c r="BF96" s="153">
        <f t="shared" si="138"/>
        <v>0.18055234608038154</v>
      </c>
      <c r="BG96" s="153"/>
      <c r="BH96" s="463">
        <f t="shared" si="139"/>
        <v>0.24681416396738254</v>
      </c>
      <c r="BI96" s="463">
        <f t="shared" si="140"/>
        <v>4.7236666666666663E-2</v>
      </c>
      <c r="BJ96" s="463">
        <f t="shared" si="141"/>
        <v>6.2014757927075885E-3</v>
      </c>
      <c r="BK96" s="463">
        <f t="shared" si="142"/>
        <v>9.8213962812462256E-3</v>
      </c>
      <c r="BL96">
        <f t="shared" si="143"/>
        <v>3.2190000000000001E-3</v>
      </c>
      <c r="BM96">
        <f t="shared" si="144"/>
        <v>7.565800467103259E-6</v>
      </c>
      <c r="BN96">
        <f t="shared" si="145"/>
        <v>0.36315735454186532</v>
      </c>
      <c r="BO96" s="147">
        <f t="shared" si="164"/>
        <v>363.15735454186535</v>
      </c>
      <c r="BP96" s="153">
        <f t="shared" si="146"/>
        <v>0.29801382364757839</v>
      </c>
      <c r="BQ96" s="153">
        <f t="shared" si="147"/>
        <v>3.9743150070359855E-2</v>
      </c>
      <c r="BR96" s="463"/>
      <c r="BT96" s="147">
        <f t="shared" si="165"/>
        <v>337.75697371793825</v>
      </c>
      <c r="BU96" s="463">
        <f t="shared" si="148"/>
        <v>0.19072003579297742</v>
      </c>
      <c r="BV96" s="463">
        <f t="shared" si="149"/>
        <v>0.15444192731047049</v>
      </c>
      <c r="BW96" s="463">
        <f t="shared" si="150"/>
        <v>1.6299574837564937E-3</v>
      </c>
      <c r="BX96" s="463">
        <f t="shared" si="151"/>
        <v>0</v>
      </c>
      <c r="BY96" s="463">
        <f t="shared" si="152"/>
        <v>0.39949014749819411</v>
      </c>
      <c r="BZ96" s="463">
        <f t="shared" si="166"/>
        <v>0.34679192058720443</v>
      </c>
      <c r="CA96" s="549">
        <f t="shared" si="153"/>
        <v>1.0223456790123455</v>
      </c>
      <c r="CB96" s="147">
        <f t="shared" si="167"/>
        <v>1421.8358265105398</v>
      </c>
      <c r="CC96" s="153">
        <f t="shared" si="168"/>
        <v>2.1227501547703431</v>
      </c>
      <c r="CD96" s="5">
        <f t="shared" si="169"/>
        <v>8.2810000000000006</v>
      </c>
      <c r="CE96" s="153">
        <f t="shared" si="170"/>
        <v>0.79596298227163642</v>
      </c>
      <c r="CF96" s="5">
        <f t="shared" si="171"/>
        <v>79.596298227163643</v>
      </c>
      <c r="CG96">
        <f t="shared" si="172"/>
        <v>91</v>
      </c>
      <c r="CI96" s="59">
        <f t="shared" si="154"/>
        <v>-50</v>
      </c>
      <c r="CJ96">
        <f t="shared" si="155"/>
        <v>-50</v>
      </c>
    </row>
    <row r="97" spans="5:88" x14ac:dyDescent="0.25">
      <c r="E97" s="150">
        <v>92</v>
      </c>
      <c r="F97" s="191">
        <f t="shared" si="173"/>
        <v>0.46</v>
      </c>
      <c r="G97" s="191">
        <f t="shared" si="156"/>
        <v>9.2000000000000012E-2</v>
      </c>
      <c r="H97" s="191">
        <f t="shared" si="105"/>
        <v>6.9</v>
      </c>
      <c r="I97" s="191">
        <f t="shared" si="174"/>
        <v>1.4720000000000002</v>
      </c>
      <c r="J97" s="472">
        <f t="shared" si="106"/>
        <v>11.1</v>
      </c>
      <c r="K97" s="386">
        <f t="shared" si="107"/>
        <v>7.6511299098833874</v>
      </c>
      <c r="L97" s="386">
        <f t="shared" si="108"/>
        <v>18.759999999999998</v>
      </c>
      <c r="M97" s="386"/>
      <c r="N97" s="191">
        <f t="shared" si="109"/>
        <v>0.40831556503198302</v>
      </c>
      <c r="O97" s="152">
        <f t="shared" si="157"/>
        <v>6.8918395170927162</v>
      </c>
      <c r="P97" s="152">
        <f t="shared" si="110"/>
        <v>1.7839143710021326</v>
      </c>
      <c r="Q97" s="191">
        <f t="shared" si="111"/>
        <v>0.45945596780618109</v>
      </c>
      <c r="R97" s="191">
        <f t="shared" si="112"/>
        <v>0.43073996981829477</v>
      </c>
      <c r="S97" s="386">
        <f t="shared" si="113"/>
        <v>14.982259819766774</v>
      </c>
      <c r="T97" s="191">
        <f t="shared" si="114"/>
        <v>4.0999999999999996</v>
      </c>
      <c r="U97" s="191">
        <f t="shared" si="115"/>
        <v>3.3243243243243241</v>
      </c>
      <c r="V97" s="191">
        <f t="shared" si="116"/>
        <v>4.8228170786035438</v>
      </c>
      <c r="W97" s="175">
        <f t="shared" si="117"/>
        <v>350</v>
      </c>
      <c r="X97" s="386">
        <f t="shared" si="158"/>
        <v>122.74243818090923</v>
      </c>
      <c r="Z97" s="191">
        <f t="shared" si="118"/>
        <v>1.437839990119222</v>
      </c>
      <c r="AA97" s="153">
        <f t="shared" si="119"/>
        <v>1.691326648938082</v>
      </c>
      <c r="AB97" s="153">
        <f t="shared" si="120"/>
        <v>0.21278749556728202</v>
      </c>
      <c r="AC97" s="153"/>
      <c r="AD97" s="153">
        <f t="shared" si="121"/>
        <v>0.96456341572070881</v>
      </c>
      <c r="AE97" s="317">
        <f t="shared" si="122"/>
        <v>2326.3399818536313</v>
      </c>
      <c r="AF97" s="463">
        <f t="shared" si="123"/>
        <v>6.9207425077960863E-2</v>
      </c>
      <c r="AH97" s="153">
        <f t="shared" si="124"/>
        <v>2.305548862105411</v>
      </c>
      <c r="AI97" s="153">
        <f t="shared" si="125"/>
        <v>4.0999999999999996</v>
      </c>
      <c r="AJ97" s="153">
        <f t="shared" si="126"/>
        <v>3.6296296296296298</v>
      </c>
      <c r="AL97" s="317">
        <f t="shared" si="127"/>
        <v>460</v>
      </c>
      <c r="AM97" s="147">
        <f t="shared" si="128"/>
        <v>122.74243818090923</v>
      </c>
      <c r="AO97" t="str">
        <f t="shared" si="159"/>
        <v/>
      </c>
      <c r="AP97" t="str">
        <f t="shared" si="129"/>
        <v/>
      </c>
      <c r="AR97" s="5">
        <f t="shared" si="160"/>
        <v>8.1471414029278684</v>
      </c>
      <c r="AS97" s="5">
        <f t="shared" si="130"/>
        <v>3.3243243243243241</v>
      </c>
      <c r="AT97" s="5">
        <f t="shared" si="161"/>
        <v>4.8228170786035438</v>
      </c>
      <c r="AU97" s="153">
        <f t="shared" si="162"/>
        <v>0.4080356728716712</v>
      </c>
      <c r="AW97" s="5">
        <f t="shared" si="131"/>
        <v>11.33051538024511</v>
      </c>
      <c r="AX97" s="5">
        <f t="shared" si="132"/>
        <v>15.765222326759194</v>
      </c>
      <c r="AY97" s="5">
        <f t="shared" si="133"/>
        <v>0.45203804398448061</v>
      </c>
      <c r="AZ97" s="5">
        <f t="shared" si="134"/>
        <v>2.9665818212979231</v>
      </c>
      <c r="BA97" s="5">
        <f t="shared" si="135"/>
        <v>7.2823498421067665</v>
      </c>
      <c r="BB97" s="147">
        <f t="shared" si="136"/>
        <v>186.22793967635306</v>
      </c>
      <c r="BC97" s="5"/>
      <c r="BD97" s="153">
        <f t="shared" si="163"/>
        <v>1.5120713895153663</v>
      </c>
      <c r="BE97" s="153">
        <f t="shared" si="137"/>
        <v>0.91062800395419452</v>
      </c>
      <c r="BF97" s="153">
        <f t="shared" si="138"/>
        <v>0.18236367347161125</v>
      </c>
      <c r="BG97" s="153"/>
      <c r="BH97" s="463">
        <f t="shared" si="139"/>
        <v>0.25149958756900243</v>
      </c>
      <c r="BI97" s="463">
        <f t="shared" si="140"/>
        <v>4.7204286875614059E-2</v>
      </c>
      <c r="BJ97" s="463">
        <f t="shared" si="141"/>
        <v>6.137121909045461E-3</v>
      </c>
      <c r="BK97" s="463">
        <f t="shared" si="142"/>
        <v>9.7194778000959485E-3</v>
      </c>
      <c r="BL97">
        <f t="shared" si="143"/>
        <v>3.2190000000000001E-3</v>
      </c>
      <c r="BM97">
        <f t="shared" si="144"/>
        <v>7.487288729035464E-6</v>
      </c>
      <c r="BN97">
        <f t="shared" si="145"/>
        <v>0.36885489009321865</v>
      </c>
      <c r="BO97" s="147">
        <f t="shared" si="164"/>
        <v>368.85489009321867</v>
      </c>
      <c r="BP97" s="153">
        <f t="shared" si="146"/>
        <v>0.3024283856502798</v>
      </c>
      <c r="BQ97" s="153">
        <f t="shared" si="147"/>
        <v>4.0225594636634845E-2</v>
      </c>
      <c r="BR97" s="463"/>
      <c r="BT97" s="147">
        <f t="shared" si="165"/>
        <v>342.65398028691465</v>
      </c>
      <c r="BU97" s="463">
        <f t="shared" si="148"/>
        <v>0.19434059039422916</v>
      </c>
      <c r="BV97" s="463">
        <f t="shared" si="149"/>
        <v>0.15755623870126409</v>
      </c>
      <c r="BW97" s="463">
        <f t="shared" si="150"/>
        <v>1.6628254701030226E-3</v>
      </c>
      <c r="BX97" s="463">
        <f t="shared" si="151"/>
        <v>0</v>
      </c>
      <c r="BY97" s="463">
        <f t="shared" si="152"/>
        <v>0.40751323211980289</v>
      </c>
      <c r="BZ97" s="463">
        <f t="shared" si="166"/>
        <v>0.35355965456559629</v>
      </c>
      <c r="CA97" s="549">
        <f t="shared" si="153"/>
        <v>1.0316501929105422</v>
      </c>
      <c r="CB97" s="147">
        <f t="shared" si="167"/>
        <v>1439.163425030345</v>
      </c>
      <c r="CC97" s="153">
        <f t="shared" si="168"/>
        <v>2.1506722954104784</v>
      </c>
      <c r="CD97" s="5">
        <f t="shared" si="169"/>
        <v>8.3719999999999999</v>
      </c>
      <c r="CE97" s="153">
        <f t="shared" si="170"/>
        <v>0.7956153878945269</v>
      </c>
      <c r="CF97" s="5">
        <f t="shared" si="171"/>
        <v>79.561538789452698</v>
      </c>
      <c r="CG97">
        <f t="shared" si="172"/>
        <v>92</v>
      </c>
      <c r="CI97" s="59">
        <f t="shared" si="154"/>
        <v>-50</v>
      </c>
      <c r="CJ97">
        <f t="shared" si="155"/>
        <v>-50</v>
      </c>
    </row>
    <row r="98" spans="5:88" x14ac:dyDescent="0.25">
      <c r="E98" s="150">
        <v>93</v>
      </c>
      <c r="F98" s="191">
        <f t="shared" si="173"/>
        <v>0.46500000000000002</v>
      </c>
      <c r="G98" s="191">
        <f t="shared" si="156"/>
        <v>9.3000000000000013E-2</v>
      </c>
      <c r="H98" s="191">
        <f t="shared" si="105"/>
        <v>6.9750000000000005</v>
      </c>
      <c r="I98" s="191">
        <f t="shared" si="174"/>
        <v>1.4880000000000002</v>
      </c>
      <c r="J98" s="472">
        <f t="shared" si="106"/>
        <v>11.1</v>
      </c>
      <c r="K98" s="386">
        <f t="shared" si="107"/>
        <v>7.5705801259061465</v>
      </c>
      <c r="L98" s="386">
        <f t="shared" si="108"/>
        <v>18.759999999999998</v>
      </c>
      <c r="M98" s="386"/>
      <c r="N98" s="191">
        <f t="shared" si="109"/>
        <v>0.40831556503198302</v>
      </c>
      <c r="O98" s="152">
        <f t="shared" si="157"/>
        <v>6.8918395170927162</v>
      </c>
      <c r="P98" s="152">
        <f t="shared" si="110"/>
        <v>1.7839143710021326</v>
      </c>
      <c r="Q98" s="191">
        <f t="shared" si="111"/>
        <v>0.45945596780618109</v>
      </c>
      <c r="R98" s="191">
        <f t="shared" si="112"/>
        <v>0.43073996981829477</v>
      </c>
      <c r="S98" s="386">
        <f t="shared" si="113"/>
        <v>14.821160251812293</v>
      </c>
      <c r="T98" s="191">
        <f t="shared" si="114"/>
        <v>4.0999999999999996</v>
      </c>
      <c r="U98" s="191">
        <f t="shared" si="115"/>
        <v>3.3243243243243241</v>
      </c>
      <c r="V98" s="191">
        <f t="shared" si="116"/>
        <v>4.8741310951495045</v>
      </c>
      <c r="W98" s="175">
        <f t="shared" si="117"/>
        <v>350</v>
      </c>
      <c r="X98" s="386">
        <f t="shared" si="158"/>
        <v>121.97419499588855</v>
      </c>
      <c r="Z98" s="191">
        <f t="shared" si="118"/>
        <v>1.4288405699518372</v>
      </c>
      <c r="AA98" s="153">
        <f t="shared" si="119"/>
        <v>1.698623476100827</v>
      </c>
      <c r="AB98" s="153">
        <f t="shared" si="120"/>
        <v>0.21236793687597919</v>
      </c>
      <c r="AC98" s="153"/>
      <c r="AD98" s="153">
        <f t="shared" si="121"/>
        <v>0.97482621902990074</v>
      </c>
      <c r="AE98" s="317">
        <f t="shared" si="122"/>
        <v>2326.8687676292943</v>
      </c>
      <c r="AF98" s="463">
        <f t="shared" si="123"/>
        <v>6.9943781215395379E-2</v>
      </c>
      <c r="AH98" s="153">
        <f t="shared" si="124"/>
        <v>2.3180451534284949</v>
      </c>
      <c r="AI98" s="153">
        <f t="shared" si="125"/>
        <v>4.0999999999999996</v>
      </c>
      <c r="AJ98" s="153">
        <f t="shared" si="126"/>
        <v>3.6296296296296298</v>
      </c>
      <c r="AL98" s="317">
        <f t="shared" si="127"/>
        <v>465</v>
      </c>
      <c r="AM98" s="147">
        <f t="shared" si="128"/>
        <v>121.97419499588855</v>
      </c>
      <c r="AO98" t="str">
        <f t="shared" si="159"/>
        <v/>
      </c>
      <c r="AP98" t="str">
        <f t="shared" si="129"/>
        <v/>
      </c>
      <c r="AR98" s="5">
        <f t="shared" si="160"/>
        <v>8.1984554194738273</v>
      </c>
      <c r="AS98" s="5">
        <f t="shared" si="130"/>
        <v>3.3243243243243241</v>
      </c>
      <c r="AT98" s="5">
        <f t="shared" si="161"/>
        <v>4.8741310951495027</v>
      </c>
      <c r="AU98" s="153">
        <f t="shared" si="162"/>
        <v>0.40548178336471064</v>
      </c>
      <c r="AW98" s="5">
        <f t="shared" si="131"/>
        <v>11.33051538024511</v>
      </c>
      <c r="AX98" s="5">
        <f t="shared" si="132"/>
        <v>16.094644128560994</v>
      </c>
      <c r="AY98" s="5">
        <f t="shared" si="133"/>
        <v>0.45203804398448061</v>
      </c>
      <c r="AZ98" s="5">
        <f t="shared" si="134"/>
        <v>3.0294014853976523</v>
      </c>
      <c r="BA98" s="5">
        <f t="shared" si="135"/>
        <v>7.4398310848236058</v>
      </c>
      <c r="BB98" s="147">
        <f t="shared" si="136"/>
        <v>190.22808926312786</v>
      </c>
      <c r="BC98" s="5"/>
      <c r="BD98" s="153">
        <f t="shared" si="163"/>
        <v>1.5073319451225493</v>
      </c>
      <c r="BE98" s="153">
        <f t="shared" si="137"/>
        <v>0.91259023396955175</v>
      </c>
      <c r="BF98" s="153">
        <f t="shared" si="138"/>
        <v>0.18275663247599389</v>
      </c>
      <c r="BG98" s="153"/>
      <c r="BH98" s="463">
        <f t="shared" si="139"/>
        <v>0.24992545520656209</v>
      </c>
      <c r="BI98" s="463">
        <f t="shared" si="140"/>
        <v>4.6908835911518815E-2</v>
      </c>
      <c r="BJ98" s="463">
        <f t="shared" si="141"/>
        <v>6.098709749794427E-3</v>
      </c>
      <c r="BK98" s="463">
        <f t="shared" si="142"/>
        <v>9.6586437259766292E-3</v>
      </c>
      <c r="BL98">
        <f t="shared" si="143"/>
        <v>3.2190000000000001E-3</v>
      </c>
      <c r="BM98">
        <f t="shared" si="144"/>
        <v>7.4404258947492024E-6</v>
      </c>
      <c r="BN98">
        <f t="shared" si="145"/>
        <v>0.36645575302650801</v>
      </c>
      <c r="BO98" s="147">
        <f t="shared" si="164"/>
        <v>366.45575302650803</v>
      </c>
      <c r="BP98" s="153">
        <f t="shared" si="146"/>
        <v>0.30488503888887269</v>
      </c>
      <c r="BQ98" s="153">
        <f t="shared" si="147"/>
        <v>4.0629517969893933E-2</v>
      </c>
      <c r="BR98" s="463"/>
      <c r="BT98" s="147">
        <f t="shared" si="165"/>
        <v>345.51455685876664</v>
      </c>
      <c r="BU98" s="463">
        <f t="shared" si="148"/>
        <v>0.1931242153868889</v>
      </c>
      <c r="BV98" s="463">
        <f t="shared" si="149"/>
        <v>0.15823597767595421</v>
      </c>
      <c r="BW98" s="463">
        <f t="shared" si="150"/>
        <v>1.6699993356982753E-3</v>
      </c>
      <c r="BX98" s="463">
        <f t="shared" si="151"/>
        <v>0</v>
      </c>
      <c r="BY98" s="463">
        <f t="shared" si="152"/>
        <v>0.40688523737719828</v>
      </c>
      <c r="BZ98" s="463">
        <f t="shared" si="166"/>
        <v>0.35303019239854139</v>
      </c>
      <c r="CA98" s="549">
        <f t="shared" si="153"/>
        <v>1.0251931089404431</v>
      </c>
      <c r="CB98" s="147">
        <f t="shared" si="167"/>
        <v>1432.0783463176415</v>
      </c>
      <c r="CC98" s="153">
        <f t="shared" si="168"/>
        <v>2.1440486562029157</v>
      </c>
      <c r="CD98" s="5">
        <f t="shared" si="169"/>
        <v>8.463000000000001</v>
      </c>
      <c r="CE98" s="153">
        <f t="shared" si="170"/>
        <v>0.79786567162119193</v>
      </c>
      <c r="CF98" s="5">
        <f t="shared" si="171"/>
        <v>79.786567162119198</v>
      </c>
      <c r="CG98">
        <f t="shared" si="172"/>
        <v>93</v>
      </c>
      <c r="CI98" s="59">
        <f t="shared" si="154"/>
        <v>-50</v>
      </c>
      <c r="CJ98">
        <f t="shared" si="155"/>
        <v>-50</v>
      </c>
    </row>
    <row r="99" spans="5:88" x14ac:dyDescent="0.25">
      <c r="E99" s="150">
        <v>94</v>
      </c>
      <c r="F99" s="191">
        <f t="shared" si="173"/>
        <v>0.47</v>
      </c>
      <c r="G99" s="191">
        <f t="shared" si="156"/>
        <v>9.4E-2</v>
      </c>
      <c r="H99" s="191">
        <f t="shared" si="105"/>
        <v>7.05</v>
      </c>
      <c r="I99" s="191">
        <f t="shared" si="174"/>
        <v>1.504</v>
      </c>
      <c r="J99" s="472">
        <f t="shared" si="106"/>
        <v>11.1</v>
      </c>
      <c r="K99" s="386">
        <f t="shared" si="107"/>
        <v>7.4917441671199114</v>
      </c>
      <c r="L99" s="386">
        <f t="shared" si="108"/>
        <v>18.759999999999998</v>
      </c>
      <c r="M99" s="386"/>
      <c r="N99" s="191">
        <f t="shared" si="109"/>
        <v>0.40831556503198302</v>
      </c>
      <c r="O99" s="152">
        <f t="shared" si="157"/>
        <v>6.8918395170927162</v>
      </c>
      <c r="P99" s="152">
        <f t="shared" si="110"/>
        <v>1.7839143710021326</v>
      </c>
      <c r="Q99" s="191">
        <f t="shared" si="111"/>
        <v>0.45945596780618109</v>
      </c>
      <c r="R99" s="191">
        <f t="shared" si="112"/>
        <v>0.43073996981829477</v>
      </c>
      <c r="S99" s="386">
        <f t="shared" si="113"/>
        <v>14.663488334239823</v>
      </c>
      <c r="T99" s="191">
        <f t="shared" si="114"/>
        <v>4.0999999999999996</v>
      </c>
      <c r="U99" s="191">
        <f t="shared" si="115"/>
        <v>3.3243243243243241</v>
      </c>
      <c r="V99" s="191">
        <f t="shared" si="116"/>
        <v>4.925421794559977</v>
      </c>
      <c r="W99" s="175">
        <f t="shared" si="117"/>
        <v>350</v>
      </c>
      <c r="X99" s="386">
        <f t="shared" si="158"/>
        <v>121.21585144431576</v>
      </c>
      <c r="Z99" s="191">
        <f t="shared" si="118"/>
        <v>1.4199571169191274</v>
      </c>
      <c r="AA99" s="153">
        <f t="shared" si="119"/>
        <v>1.7058262758570784</v>
      </c>
      <c r="AB99" s="153">
        <f t="shared" si="120"/>
        <v>0.21194251405520456</v>
      </c>
      <c r="AC99" s="153"/>
      <c r="AD99" s="153">
        <f t="shared" si="121"/>
        <v>0.98508435891199542</v>
      </c>
      <c r="AE99" s="317">
        <f t="shared" si="122"/>
        <v>2327.3975534049564</v>
      </c>
      <c r="AF99" s="463">
        <f t="shared" si="123"/>
        <v>7.067980275193568E-2</v>
      </c>
      <c r="AH99" s="153">
        <f t="shared" si="124"/>
        <v>2.3304744390598047</v>
      </c>
      <c r="AI99" s="153">
        <f t="shared" si="125"/>
        <v>4.0999999999999996</v>
      </c>
      <c r="AJ99" s="153">
        <f t="shared" si="126"/>
        <v>3.6296296296296298</v>
      </c>
      <c r="AL99" s="317">
        <f t="shared" si="127"/>
        <v>470</v>
      </c>
      <c r="AM99" s="147">
        <f t="shared" si="128"/>
        <v>121.21585144431576</v>
      </c>
      <c r="AO99" t="str">
        <f t="shared" si="159"/>
        <v/>
      </c>
      <c r="AP99" t="str">
        <f t="shared" si="129"/>
        <v/>
      </c>
      <c r="AR99" s="5">
        <f t="shared" si="160"/>
        <v>8.2497461188843015</v>
      </c>
      <c r="AS99" s="5">
        <f t="shared" si="130"/>
        <v>3.3243243243243241</v>
      </c>
      <c r="AT99" s="5">
        <f t="shared" si="161"/>
        <v>4.925421794559977</v>
      </c>
      <c r="AU99" s="153">
        <f t="shared" si="162"/>
        <v>0.40296080345002266</v>
      </c>
      <c r="AW99" s="5">
        <f t="shared" si="131"/>
        <v>11.33051538024511</v>
      </c>
      <c r="AX99" s="5">
        <f t="shared" si="132"/>
        <v>16.427465084976866</v>
      </c>
      <c r="AY99" s="5">
        <f t="shared" si="133"/>
        <v>0.45203804398448061</v>
      </c>
      <c r="AZ99" s="5">
        <f t="shared" si="134"/>
        <v>3.0928786593795414</v>
      </c>
      <c r="BA99" s="5">
        <f t="shared" si="135"/>
        <v>7.59896076809531</v>
      </c>
      <c r="BB99" s="147">
        <f t="shared" si="136"/>
        <v>194.269824509355</v>
      </c>
      <c r="BC99" s="5"/>
      <c r="BD99" s="153">
        <f t="shared" si="163"/>
        <v>1.5026389127126627</v>
      </c>
      <c r="BE99" s="153">
        <f t="shared" si="137"/>
        <v>0.91452304937260043</v>
      </c>
      <c r="BF99" s="153">
        <f t="shared" si="138"/>
        <v>0.18314370086782011</v>
      </c>
      <c r="BG99" s="153"/>
      <c r="BH99" s="463">
        <f t="shared" si="139"/>
        <v>0.24837160721981225</v>
      </c>
      <c r="BI99" s="463">
        <f t="shared" si="140"/>
        <v>4.6617192148454945E-2</v>
      </c>
      <c r="BJ99" s="463">
        <f t="shared" si="141"/>
        <v>6.0607925722157875E-3</v>
      </c>
      <c r="BK99" s="463">
        <f t="shared" si="142"/>
        <v>9.5985935638355276E-3</v>
      </c>
      <c r="BL99">
        <f t="shared" si="143"/>
        <v>3.2190000000000001E-3</v>
      </c>
      <c r="BM99">
        <f t="shared" si="144"/>
        <v>7.3941669381032622E-6</v>
      </c>
      <c r="BN99">
        <f t="shared" si="145"/>
        <v>0.36408896376932082</v>
      </c>
      <c r="BO99" s="147">
        <f t="shared" si="164"/>
        <v>364.0889637693208</v>
      </c>
      <c r="BP99" s="153">
        <f t="shared" si="146"/>
        <v>0.30733464791699855</v>
      </c>
      <c r="BQ99" s="153">
        <f t="shared" si="147"/>
        <v>4.1033158797603414E-2</v>
      </c>
      <c r="BR99" s="463"/>
      <c r="BT99" s="147">
        <f t="shared" si="165"/>
        <v>348.36780671460201</v>
      </c>
      <c r="BU99" s="463">
        <f t="shared" si="148"/>
        <v>0.19192351466985494</v>
      </c>
      <c r="BV99" s="463">
        <f t="shared" si="149"/>
        <v>0.15890695748841435</v>
      </c>
      <c r="BW99" s="463">
        <f t="shared" si="150"/>
        <v>1.6770807583780787E-3</v>
      </c>
      <c r="BX99" s="463">
        <f t="shared" si="151"/>
        <v>0</v>
      </c>
      <c r="BY99" s="463">
        <f t="shared" si="152"/>
        <v>0.4062653887072798</v>
      </c>
      <c r="BZ99" s="463">
        <f t="shared" si="166"/>
        <v>0.35250755291664737</v>
      </c>
      <c r="CA99" s="549">
        <f t="shared" si="153"/>
        <v>1.0188192313894739</v>
      </c>
      <c r="CB99" s="147">
        <f t="shared" si="167"/>
        <v>1425.0846200967537</v>
      </c>
      <c r="CC99" s="153">
        <f t="shared" si="168"/>
        <v>2.1375413905806764</v>
      </c>
      <c r="CD99" s="5">
        <f t="shared" si="169"/>
        <v>8.5540000000000003</v>
      </c>
      <c r="CE99" s="153">
        <f t="shared" si="170"/>
        <v>0.80007172843535312</v>
      </c>
      <c r="CF99" s="5">
        <f t="shared" si="171"/>
        <v>80.007172843535315</v>
      </c>
      <c r="CG99">
        <f t="shared" si="172"/>
        <v>94</v>
      </c>
      <c r="CI99" s="59">
        <f t="shared" si="154"/>
        <v>-50</v>
      </c>
      <c r="CJ99">
        <f t="shared" si="155"/>
        <v>-50</v>
      </c>
    </row>
    <row r="100" spans="5:88" x14ac:dyDescent="0.25">
      <c r="E100" s="150">
        <v>95</v>
      </c>
      <c r="F100" s="191">
        <f t="shared" si="173"/>
        <v>0.47499999999999998</v>
      </c>
      <c r="G100" s="191">
        <f t="shared" si="156"/>
        <v>9.5000000000000001E-2</v>
      </c>
      <c r="H100" s="191">
        <f t="shared" si="105"/>
        <v>7.125</v>
      </c>
      <c r="I100" s="191">
        <f t="shared" si="174"/>
        <v>1.52</v>
      </c>
      <c r="J100" s="472">
        <f t="shared" si="106"/>
        <v>11.1</v>
      </c>
      <c r="K100" s="386">
        <f t="shared" si="107"/>
        <v>7.4145679127291757</v>
      </c>
      <c r="L100" s="386">
        <f t="shared" si="108"/>
        <v>18.759999999999998</v>
      </c>
      <c r="M100" s="386"/>
      <c r="N100" s="191">
        <f t="shared" si="109"/>
        <v>0.40831556503198302</v>
      </c>
      <c r="O100" s="152">
        <f t="shared" si="157"/>
        <v>6.8918395170927162</v>
      </c>
      <c r="P100" s="152">
        <f t="shared" si="110"/>
        <v>1.7839143710021326</v>
      </c>
      <c r="Q100" s="191">
        <f t="shared" si="111"/>
        <v>0.45945596780618109</v>
      </c>
      <c r="R100" s="191">
        <f t="shared" si="112"/>
        <v>0.43073996981829477</v>
      </c>
      <c r="S100" s="386">
        <f t="shared" si="113"/>
        <v>14.509135825458351</v>
      </c>
      <c r="T100" s="191">
        <f t="shared" si="114"/>
        <v>4.0999999999999996</v>
      </c>
      <c r="U100" s="191">
        <f t="shared" si="115"/>
        <v>3.3243243243243241</v>
      </c>
      <c r="V100" s="191">
        <f t="shared" si="116"/>
        <v>4.9766891927243453</v>
      </c>
      <c r="W100" s="175">
        <f t="shared" si="117"/>
        <v>350</v>
      </c>
      <c r="X100" s="386">
        <f t="shared" si="158"/>
        <v>120.46721740016375</v>
      </c>
      <c r="Z100" s="191">
        <f t="shared" si="118"/>
        <v>1.4111874038304895</v>
      </c>
      <c r="AA100" s="153">
        <f t="shared" si="119"/>
        <v>1.7129368540370546</v>
      </c>
      <c r="AB100" s="153">
        <f t="shared" si="120"/>
        <v>0.21151155479773526</v>
      </c>
      <c r="AC100" s="153"/>
      <c r="AD100" s="153">
        <f t="shared" si="121"/>
        <v>0.99533783854486901</v>
      </c>
      <c r="AE100" s="317">
        <f t="shared" si="122"/>
        <v>2327.9263391806194</v>
      </c>
      <c r="AF100" s="463">
        <f t="shared" si="123"/>
        <v>7.1415489915594349E-2</v>
      </c>
      <c r="AH100" s="153">
        <f t="shared" si="124"/>
        <v>2.3428377854407438</v>
      </c>
      <c r="AI100" s="153">
        <f t="shared" si="125"/>
        <v>4.0999999999999996</v>
      </c>
      <c r="AJ100" s="153">
        <f t="shared" si="126"/>
        <v>3.6296296296296298</v>
      </c>
      <c r="AL100" s="317">
        <f t="shared" si="127"/>
        <v>475</v>
      </c>
      <c r="AM100" s="147">
        <f t="shared" si="128"/>
        <v>120.46721740016375</v>
      </c>
      <c r="AO100" t="str">
        <f t="shared" si="159"/>
        <v/>
      </c>
      <c r="AP100" t="str">
        <f t="shared" si="129"/>
        <v/>
      </c>
      <c r="AR100" s="5">
        <f t="shared" si="160"/>
        <v>8.3010135170486699</v>
      </c>
      <c r="AS100" s="5">
        <f t="shared" si="130"/>
        <v>3.3243243243243241</v>
      </c>
      <c r="AT100" s="5">
        <f t="shared" si="161"/>
        <v>4.9766891927243453</v>
      </c>
      <c r="AU100" s="153">
        <f t="shared" si="162"/>
        <v>0.4004721010870308</v>
      </c>
      <c r="AW100" s="5">
        <f t="shared" si="131"/>
        <v>11.33051538024511</v>
      </c>
      <c r="AX100" s="5">
        <f t="shared" si="132"/>
        <v>16.763685196006819</v>
      </c>
      <c r="AY100" s="5">
        <f t="shared" si="133"/>
        <v>0.45203804398448061</v>
      </c>
      <c r="AZ100" s="5">
        <f t="shared" si="134"/>
        <v>3.1570133432435901</v>
      </c>
      <c r="BA100" s="5">
        <f t="shared" si="135"/>
        <v>7.7597377685977786</v>
      </c>
      <c r="BB100" s="147">
        <f t="shared" si="136"/>
        <v>198.35311707663104</v>
      </c>
      <c r="BC100" s="5"/>
      <c r="BD100" s="153">
        <f t="shared" si="163"/>
        <v>1.4979915464017131</v>
      </c>
      <c r="BE100" s="153">
        <f t="shared" si="137"/>
        <v>0.91642711933933085</v>
      </c>
      <c r="BF100" s="153">
        <f t="shared" si="138"/>
        <v>0.18352501265723592</v>
      </c>
      <c r="BG100" s="153"/>
      <c r="BH100" s="463">
        <f t="shared" si="139"/>
        <v>0.24683765404000951</v>
      </c>
      <c r="BI100" s="463">
        <f t="shared" si="140"/>
        <v>4.6329282467754966E-2</v>
      </c>
      <c r="BJ100" s="463">
        <f t="shared" si="141"/>
        <v>6.0233608700081872E-3</v>
      </c>
      <c r="BK100" s="463">
        <f t="shared" si="142"/>
        <v>9.5393122583606674E-3</v>
      </c>
      <c r="BL100">
        <f t="shared" si="143"/>
        <v>3.2190000000000001E-3</v>
      </c>
      <c r="BM100">
        <f t="shared" si="144"/>
        <v>7.3485002614099894E-6</v>
      </c>
      <c r="BN100">
        <f t="shared" si="145"/>
        <v>0.36175387247938418</v>
      </c>
      <c r="BO100" s="147">
        <f t="shared" si="164"/>
        <v>361.7538724793842</v>
      </c>
      <c r="BP100" s="153">
        <f t="shared" si="146"/>
        <v>0.30977734802125728</v>
      </c>
      <c r="BQ100" s="153">
        <f t="shared" si="147"/>
        <v>4.1436522545384144E-2</v>
      </c>
      <c r="BR100" s="463"/>
      <c r="BT100" s="147">
        <f t="shared" si="165"/>
        <v>351.21387056664145</v>
      </c>
      <c r="BU100" s="463">
        <f t="shared" si="148"/>
        <v>0.19073818721273464</v>
      </c>
      <c r="BV100" s="463">
        <f t="shared" si="149"/>
        <v>0.15956934636151099</v>
      </c>
      <c r="BW100" s="463">
        <f t="shared" si="150"/>
        <v>1.6840715135419304E-3</v>
      </c>
      <c r="BX100" s="463">
        <f t="shared" si="151"/>
        <v>0</v>
      </c>
      <c r="BY100" s="463">
        <f t="shared" si="152"/>
        <v>0.40565352863049592</v>
      </c>
      <c r="BZ100" s="463">
        <f t="shared" si="166"/>
        <v>0.35199160508778754</v>
      </c>
      <c r="CA100" s="549">
        <f t="shared" si="153"/>
        <v>1.0125269622483763</v>
      </c>
      <c r="CB100" s="147">
        <f t="shared" si="167"/>
        <v>1418.1804908788722</v>
      </c>
      <c r="CC100" s="153">
        <f t="shared" si="168"/>
        <v>2.1311482339248977</v>
      </c>
      <c r="CD100" s="5">
        <f t="shared" si="169"/>
        <v>8.6449999999999996</v>
      </c>
      <c r="CE100" s="153">
        <f t="shared" si="170"/>
        <v>0.80223469576859296</v>
      </c>
      <c r="CF100" s="5">
        <f t="shared" si="171"/>
        <v>80.223469576859301</v>
      </c>
      <c r="CG100">
        <f t="shared" si="172"/>
        <v>95</v>
      </c>
      <c r="CI100" s="59">
        <f t="shared" si="154"/>
        <v>-50</v>
      </c>
      <c r="CJ100">
        <f t="shared" si="155"/>
        <v>-50</v>
      </c>
    </row>
    <row r="101" spans="5:88" x14ac:dyDescent="0.25">
      <c r="E101" s="150">
        <v>96</v>
      </c>
      <c r="F101" s="191">
        <f t="shared" si="173"/>
        <v>0.48</v>
      </c>
      <c r="G101" s="191">
        <f t="shared" si="156"/>
        <v>9.6000000000000002E-2</v>
      </c>
      <c r="H101" s="191">
        <f t="shared" si="105"/>
        <v>7.1999999999999993</v>
      </c>
      <c r="I101" s="191">
        <f t="shared" si="174"/>
        <v>1.536</v>
      </c>
      <c r="J101" s="472">
        <f t="shared" si="106"/>
        <v>11.1</v>
      </c>
      <c r="K101" s="386">
        <f t="shared" si="107"/>
        <v>7.3389994969715797</v>
      </c>
      <c r="L101" s="386">
        <f t="shared" si="108"/>
        <v>18.759999999999998</v>
      </c>
      <c r="M101" s="386"/>
      <c r="N101" s="191">
        <f t="shared" si="109"/>
        <v>0.40831556503198302</v>
      </c>
      <c r="O101" s="152">
        <f t="shared" si="157"/>
        <v>6.8918395170927162</v>
      </c>
      <c r="P101" s="152">
        <f t="shared" si="110"/>
        <v>1.7839143710021326</v>
      </c>
      <c r="Q101" s="191">
        <f t="shared" si="111"/>
        <v>0.45945596780618109</v>
      </c>
      <c r="R101" s="191">
        <f t="shared" si="112"/>
        <v>0.43073996981829477</v>
      </c>
      <c r="S101" s="386">
        <f t="shared" si="113"/>
        <v>14.357998993943159</v>
      </c>
      <c r="T101" s="191">
        <f t="shared" si="114"/>
        <v>4.0999999999999996</v>
      </c>
      <c r="U101" s="191">
        <f t="shared" si="115"/>
        <v>3.3243243243243241</v>
      </c>
      <c r="V101" s="191">
        <f t="shared" si="116"/>
        <v>5.0279333055175561</v>
      </c>
      <c r="W101" s="175">
        <f t="shared" si="117"/>
        <v>350</v>
      </c>
      <c r="X101" s="386">
        <f t="shared" si="158"/>
        <v>119.72810757502118</v>
      </c>
      <c r="Z101" s="191">
        <f t="shared" si="118"/>
        <v>1.4025292601645338</v>
      </c>
      <c r="AA101" s="153">
        <f t="shared" si="119"/>
        <v>1.7199569705229654</v>
      </c>
      <c r="AB101" s="153">
        <f t="shared" ref="AB101:AB105" si="175">0.5*AA101*Z101*Nps*W101/1000*(Pout/Pout_total)</f>
        <v>0.21107537302096066</v>
      </c>
      <c r="AC101" s="153"/>
      <c r="AD101" s="153">
        <f t="shared" si="121"/>
        <v>1.0055866611035111</v>
      </c>
      <c r="AE101" s="317">
        <f t="shared" ref="AE101:AE105" si="176">MAX(10, F101/(0.5*AD101/1000000*Isw_min*Nps)/1000*Pout_total/Pout)</f>
        <v>2328.4551249562819</v>
      </c>
      <c r="AF101" s="463">
        <f t="shared" si="123"/>
        <v>7.2150842934176923E-2</v>
      </c>
      <c r="AH101" s="153">
        <f t="shared" si="124"/>
        <v>2.3551362310207589</v>
      </c>
      <c r="AI101" s="153">
        <f t="shared" ref="AI101:AI105" si="177">MAX(IF(F101&gt;AB101,T101,AH101),Isw_min)</f>
        <v>4.0999999999999996</v>
      </c>
      <c r="AJ101" s="153">
        <f t="shared" ref="AJ101:AJ105" si="178">IF(F101&gt;AF101, (AI101-Isw_min)/1.08*0.8+1.2, AE101*0.2/350+1)</f>
        <v>3.6296296296296298</v>
      </c>
      <c r="AL101" s="317">
        <f t="shared" si="127"/>
        <v>480</v>
      </c>
      <c r="AM101" s="147">
        <f t="shared" si="128"/>
        <v>119.72810757502118</v>
      </c>
      <c r="AO101" t="str">
        <f t="shared" si="159"/>
        <v/>
      </c>
      <c r="AP101" t="str">
        <f t="shared" si="129"/>
        <v/>
      </c>
      <c r="AR101" s="5">
        <f t="shared" si="160"/>
        <v>8.3522576298418798</v>
      </c>
      <c r="AS101" s="5">
        <f t="shared" si="130"/>
        <v>3.3243243243243241</v>
      </c>
      <c r="AT101" s="5">
        <f t="shared" si="161"/>
        <v>5.0279333055175552</v>
      </c>
      <c r="AU101" s="153">
        <f t="shared" si="162"/>
        <v>0.39801506031696227</v>
      </c>
      <c r="AW101" s="5">
        <f t="shared" si="131"/>
        <v>11.33051538024511</v>
      </c>
      <c r="AX101" s="5">
        <f t="shared" si="132"/>
        <v>17.10330446165084</v>
      </c>
      <c r="AY101" s="5">
        <f t="shared" si="133"/>
        <v>0.45203804398448061</v>
      </c>
      <c r="AZ101" s="5">
        <f t="shared" si="134"/>
        <v>3.2218055369897978</v>
      </c>
      <c r="BA101" s="5">
        <f t="shared" si="135"/>
        <v>7.9221609640273343</v>
      </c>
      <c r="BB101" s="147">
        <f t="shared" si="136"/>
        <v>201.08158923032025</v>
      </c>
      <c r="BC101" s="5"/>
      <c r="BD101" s="153">
        <f t="shared" si="163"/>
        <v>1.49338911695603</v>
      </c>
      <c r="BE101" s="153">
        <f t="shared" si="137"/>
        <v>0.91830309248779896</v>
      </c>
      <c r="BF101" s="153">
        <f t="shared" si="138"/>
        <v>0.1839006977374259</v>
      </c>
      <c r="BG101" s="153"/>
      <c r="BH101" s="463">
        <f t="shared" si="139"/>
        <v>0.24532321601069826</v>
      </c>
      <c r="BI101" s="463">
        <f t="shared" si="140"/>
        <v>4.6045035611201636E-2</v>
      </c>
      <c r="BJ101" s="463">
        <f t="shared" si="141"/>
        <v>5.9864053787510585E-3</v>
      </c>
      <c r="BK101" s="463">
        <f t="shared" si="142"/>
        <v>9.4807851373113223E-3</v>
      </c>
      <c r="BL101">
        <f t="shared" si="143"/>
        <v>3.2190000000000001E-3</v>
      </c>
      <c r="BM101">
        <f t="shared" si="144"/>
        <v>7.3034145620762926E-6</v>
      </c>
      <c r="BN101">
        <f t="shared" ref="BN101:BN105" si="179">(BI101+BJ101+BK101+BL101+BM101+BH101*(1+RdsonTC*(Ta-25)))/(1-BH101*RdsonTC*ThetaJA)</f>
        <v>0.35944984660507284</v>
      </c>
      <c r="BO101" s="147">
        <f t="shared" si="164"/>
        <v>359.44984660507282</v>
      </c>
      <c r="BP101" s="153">
        <f t="shared" si="146"/>
        <v>0.31221327104598173</v>
      </c>
      <c r="BQ101" s="153">
        <f t="shared" si="147"/>
        <v>4.1839614500806088E-2</v>
      </c>
      <c r="BR101" s="463"/>
      <c r="BT101" s="147">
        <f t="shared" si="165"/>
        <v>354.05288554678782</v>
      </c>
      <c r="BU101" s="463">
        <f t="shared" si="148"/>
        <v>0.18956793964463048</v>
      </c>
      <c r="BV101" s="463">
        <f t="shared" si="149"/>
        <v>0.16022330823780448</v>
      </c>
      <c r="BW101" s="463">
        <f t="shared" si="150"/>
        <v>1.6909733314156043E-3</v>
      </c>
      <c r="BX101" s="463">
        <f t="shared" si="151"/>
        <v>0</v>
      </c>
      <c r="BY101" s="463">
        <f t="shared" ref="BY101:BY164" si="180">(BX101+(BU101+BV101+BW101)*(1+Ltc*(Ta-25)))/(1-(BU101+BV101+BW101)*Ltc*ThetaCa)</f>
        <v>0.40504950370048998</v>
      </c>
      <c r="BZ101" s="463">
        <f t="shared" si="166"/>
        <v>0.35148222121385059</v>
      </c>
      <c r="CA101" s="549">
        <f t="shared" si="153"/>
        <v>1.0063147441680531</v>
      </c>
      <c r="CB101" s="147">
        <f t="shared" si="167"/>
        <v>1411.3642478685431</v>
      </c>
      <c r="CC101" s="153">
        <f t="shared" si="168"/>
        <v>2.1248669800204039</v>
      </c>
      <c r="CD101" s="5">
        <f t="shared" si="169"/>
        <v>8.6757538880948495</v>
      </c>
      <c r="CE101" s="153">
        <f t="shared" si="170"/>
        <v>0.80326436730195117</v>
      </c>
      <c r="CF101" s="5">
        <f t="shared" si="171"/>
        <v>80.326436730195113</v>
      </c>
      <c r="CG101">
        <f t="shared" si="172"/>
        <v>96</v>
      </c>
      <c r="CI101" s="59">
        <f t="shared" si="154"/>
        <v>-50</v>
      </c>
      <c r="CJ101">
        <f t="shared" si="155"/>
        <v>-50</v>
      </c>
    </row>
    <row r="102" spans="5:88" x14ac:dyDescent="0.25">
      <c r="E102" s="150">
        <v>97</v>
      </c>
      <c r="F102" s="191">
        <f t="shared" si="173"/>
        <v>0.48499999999999999</v>
      </c>
      <c r="G102" s="191">
        <f t="shared" si="156"/>
        <v>9.7000000000000003E-2</v>
      </c>
      <c r="H102" s="191">
        <f t="shared" si="105"/>
        <v>7.2749999999999995</v>
      </c>
      <c r="I102" s="191">
        <f t="shared" si="174"/>
        <v>1.552</v>
      </c>
      <c r="J102" s="472">
        <f t="shared" si="106"/>
        <v>11.1</v>
      </c>
      <c r="K102" s="386">
        <f t="shared" si="107"/>
        <v>7.2649891928790895</v>
      </c>
      <c r="L102" s="386">
        <f t="shared" si="108"/>
        <v>18.759999999999998</v>
      </c>
      <c r="M102" s="386"/>
      <c r="N102" s="191">
        <f t="shared" si="109"/>
        <v>0.40831556503198302</v>
      </c>
      <c r="O102" s="152">
        <f t="shared" ref="O102:O105" si="181">N102*J102*Isw_max*0.5*Efficiency*Pout/(Pout+Pout2)</f>
        <v>6.8918395170927162</v>
      </c>
      <c r="P102" s="152">
        <f t="shared" si="110"/>
        <v>1.7839143710021326</v>
      </c>
      <c r="Q102" s="191">
        <f t="shared" si="111"/>
        <v>0.45945596780618109</v>
      </c>
      <c r="R102" s="191">
        <f t="shared" si="112"/>
        <v>0.43073996981829477</v>
      </c>
      <c r="S102" s="386">
        <f t="shared" si="113"/>
        <v>14.209978385758179</v>
      </c>
      <c r="T102" s="191">
        <f t="shared" si="114"/>
        <v>4.0999999999999996</v>
      </c>
      <c r="U102" s="191">
        <f t="shared" si="115"/>
        <v>3.3243243243243241</v>
      </c>
      <c r="V102" s="191">
        <f t="shared" si="116"/>
        <v>5.0791541488001384</v>
      </c>
      <c r="W102" s="175">
        <f t="shared" si="117"/>
        <v>350</v>
      </c>
      <c r="X102" s="386">
        <f t="shared" si="158"/>
        <v>118.99834136520305</v>
      </c>
      <c r="Z102" s="191">
        <f t="shared" si="118"/>
        <v>1.3939805702780925</v>
      </c>
      <c r="AA102" s="153">
        <f t="shared" si="119"/>
        <v>1.7268883407011606</v>
      </c>
      <c r="AB102" s="153">
        <f t="shared" si="175"/>
        <v>0.2106342694730044</v>
      </c>
      <c r="AC102" s="153"/>
      <c r="AD102" s="153">
        <f t="shared" si="121"/>
        <v>1.0158308297600276</v>
      </c>
      <c r="AE102" s="317">
        <f t="shared" si="176"/>
        <v>2328.9839107319449</v>
      </c>
      <c r="AF102" s="463">
        <f t="shared" si="123"/>
        <v>7.2885862035281967E-2</v>
      </c>
      <c r="AH102" s="153">
        <f t="shared" si="124"/>
        <v>2.367370787275294</v>
      </c>
      <c r="AI102" s="153">
        <f t="shared" si="177"/>
        <v>4.0999999999999996</v>
      </c>
      <c r="AJ102" s="153">
        <f t="shared" si="178"/>
        <v>3.6296296296296298</v>
      </c>
      <c r="AL102" s="317">
        <f t="shared" si="127"/>
        <v>485</v>
      </c>
      <c r="AM102" s="147">
        <f t="shared" si="128"/>
        <v>118.99834136520305</v>
      </c>
      <c r="AO102" t="str">
        <f t="shared" si="159"/>
        <v/>
      </c>
      <c r="AP102" t="str">
        <f t="shared" si="129"/>
        <v/>
      </c>
      <c r="AR102" s="5">
        <f t="shared" si="160"/>
        <v>8.4034784731244621</v>
      </c>
      <c r="AS102" s="5">
        <f t="shared" si="130"/>
        <v>3.3243243243243241</v>
      </c>
      <c r="AT102" s="5">
        <f t="shared" si="161"/>
        <v>5.0791541488001375</v>
      </c>
      <c r="AU102" s="153">
        <f t="shared" si="162"/>
        <v>0.39558908075459387</v>
      </c>
      <c r="AW102" s="5">
        <f t="shared" si="131"/>
        <v>11.33051538024511</v>
      </c>
      <c r="AX102" s="5">
        <f t="shared" si="132"/>
        <v>17.446322881908934</v>
      </c>
      <c r="AY102" s="5">
        <f t="shared" si="133"/>
        <v>0.45203804398448061</v>
      </c>
      <c r="AZ102" s="5">
        <f t="shared" si="134"/>
        <v>3.2872552406181645</v>
      </c>
      <c r="BA102" s="5">
        <f t="shared" si="135"/>
        <v>8.0862292330995515</v>
      </c>
      <c r="BB102" s="147">
        <f t="shared" si="136"/>
        <v>203.10351765993332</v>
      </c>
      <c r="BC102" s="5"/>
      <c r="BD102" s="153">
        <f t="shared" si="163"/>
        <v>1.4888309113176377</v>
      </c>
      <c r="BE102" s="153">
        <f t="shared" si="137"/>
        <v>0.92015159767812515</v>
      </c>
      <c r="BF102" s="153">
        <f t="shared" si="138"/>
        <v>0.18427088204482195</v>
      </c>
      <c r="BG102" s="153"/>
      <c r="BH102" s="463">
        <f t="shared" si="139"/>
        <v>0.24382792307443982</v>
      </c>
      <c r="BI102" s="463">
        <f t="shared" si="140"/>
        <v>4.5764382122229788E-2</v>
      </c>
      <c r="BJ102" s="463">
        <f t="shared" si="141"/>
        <v>5.9499170682601518E-3</v>
      </c>
      <c r="BK102" s="463">
        <f t="shared" si="142"/>
        <v>9.4229978994113117E-3</v>
      </c>
      <c r="BL102">
        <f t="shared" si="143"/>
        <v>3.2190000000000001E-3</v>
      </c>
      <c r="BM102">
        <f t="shared" si="144"/>
        <v>7.2588988232773861E-6</v>
      </c>
      <c r="BN102">
        <f t="shared" si="179"/>
        <v>0.35717627031413413</v>
      </c>
      <c r="BO102" s="147">
        <f t="shared" si="164"/>
        <v>357.17627031413411</v>
      </c>
      <c r="BP102" s="153">
        <f t="shared" si="146"/>
        <v>0.31464254550202786</v>
      </c>
      <c r="BQ102" s="153">
        <f t="shared" si="147"/>
        <v>4.2242439817751318E-2</v>
      </c>
      <c r="BR102" s="463"/>
      <c r="BT102" s="147">
        <f t="shared" si="165"/>
        <v>356.88498531977922</v>
      </c>
      <c r="BU102" s="463">
        <f t="shared" si="148"/>
        <v>0.18841248601206714</v>
      </c>
      <c r="BV102" s="463">
        <f t="shared" si="149"/>
        <v>0.1608690029148252</v>
      </c>
      <c r="BW102" s="463">
        <f t="shared" si="150"/>
        <v>1.6977878984788344E-3</v>
      </c>
      <c r="BX102" s="463">
        <f t="shared" si="151"/>
        <v>0</v>
      </c>
      <c r="BY102" s="463">
        <f t="shared" si="180"/>
        <v>0.40445316437580403</v>
      </c>
      <c r="BZ102" s="463">
        <f t="shared" si="166"/>
        <v>0.35097927682537122</v>
      </c>
      <c r="CA102" s="549">
        <f t="shared" si="153"/>
        <v>1.0001810591745315</v>
      </c>
      <c r="CB102" s="147">
        <f t="shared" si="167"/>
        <v>1404.6342235503355</v>
      </c>
      <c r="CC102" s="153">
        <f t="shared" si="168"/>
        <v>2.1186954791842489</v>
      </c>
      <c r="CD102" s="5">
        <f t="shared" si="169"/>
        <v>8.6757538880948495</v>
      </c>
      <c r="CE102" s="153">
        <f t="shared" si="170"/>
        <v>0.80372361691680272</v>
      </c>
      <c r="CF102" s="5">
        <f t="shared" si="171"/>
        <v>80.372361691680268</v>
      </c>
      <c r="CG102">
        <f t="shared" si="172"/>
        <v>97</v>
      </c>
      <c r="CI102" s="59">
        <f t="shared" si="154"/>
        <v>-50</v>
      </c>
      <c r="CJ102">
        <f t="shared" si="155"/>
        <v>-50</v>
      </c>
    </row>
    <row r="103" spans="5:88" x14ac:dyDescent="0.25">
      <c r="E103" s="150">
        <v>98</v>
      </c>
      <c r="F103" s="191">
        <f t="shared" si="173"/>
        <v>0.49</v>
      </c>
      <c r="G103" s="191">
        <f t="shared" si="156"/>
        <v>9.8000000000000004E-2</v>
      </c>
      <c r="H103" s="191">
        <f t="shared" si="105"/>
        <v>7.35</v>
      </c>
      <c r="I103" s="191">
        <f t="shared" si="174"/>
        <v>1.5680000000000001</v>
      </c>
      <c r="J103" s="472">
        <f t="shared" si="106"/>
        <v>11.1</v>
      </c>
      <c r="K103" s="386">
        <f t="shared" si="107"/>
        <v>7.192489303155833</v>
      </c>
      <c r="L103" s="386">
        <f t="shared" si="108"/>
        <v>18.759999999999998</v>
      </c>
      <c r="M103" s="386"/>
      <c r="N103" s="191">
        <f t="shared" si="109"/>
        <v>0.40831556503198302</v>
      </c>
      <c r="O103" s="152">
        <f t="shared" si="181"/>
        <v>6.8918395170927162</v>
      </c>
      <c r="P103" s="152">
        <f t="shared" si="110"/>
        <v>1.7839143710021326</v>
      </c>
      <c r="Q103" s="191">
        <f t="shared" si="111"/>
        <v>0.45945596780618109</v>
      </c>
      <c r="R103" s="191">
        <f t="shared" si="112"/>
        <v>0.43073996981829477</v>
      </c>
      <c r="S103" s="386">
        <f t="shared" si="113"/>
        <v>14.064978606311666</v>
      </c>
      <c r="T103" s="191">
        <f t="shared" si="114"/>
        <v>4.0999999999999996</v>
      </c>
      <c r="U103" s="191">
        <f t="shared" si="115"/>
        <v>3.3243243243243241</v>
      </c>
      <c r="V103" s="191">
        <f t="shared" si="116"/>
        <v>5.1303517384182227</v>
      </c>
      <c r="W103" s="175">
        <f t="shared" si="117"/>
        <v>350</v>
      </c>
      <c r="X103" s="386">
        <f t="shared" si="158"/>
        <v>118.27774270462324</v>
      </c>
      <c r="Z103" s="191">
        <f t="shared" si="118"/>
        <v>1.3855392716827293</v>
      </c>
      <c r="AA103" s="153">
        <f t="shared" si="119"/>
        <v>1.7337326368595631</v>
      </c>
      <c r="AB103" s="153">
        <f t="shared" si="175"/>
        <v>0.21018853230961049</v>
      </c>
      <c r="AC103" s="153"/>
      <c r="AD103" s="153">
        <f t="shared" si="121"/>
        <v>1.0260703476836444</v>
      </c>
      <c r="AE103" s="317">
        <f t="shared" si="176"/>
        <v>2329.512696507607</v>
      </c>
      <c r="AF103" s="463">
        <f t="shared" si="123"/>
        <v>7.3620547446301476E-2</v>
      </c>
      <c r="AH103" s="153">
        <f t="shared" si="124"/>
        <v>2.3795424396766327</v>
      </c>
      <c r="AI103" s="153">
        <f t="shared" si="177"/>
        <v>4.0999999999999996</v>
      </c>
      <c r="AJ103" s="153">
        <f t="shared" si="178"/>
        <v>3.6296296296296298</v>
      </c>
      <c r="AL103" s="317">
        <f t="shared" si="127"/>
        <v>490</v>
      </c>
      <c r="AM103" s="147">
        <f t="shared" si="128"/>
        <v>118.27774270462324</v>
      </c>
      <c r="AO103" t="str">
        <f t="shared" si="159"/>
        <v/>
      </c>
      <c r="AP103" t="str">
        <f t="shared" si="129"/>
        <v/>
      </c>
      <c r="AR103" s="5">
        <f t="shared" si="160"/>
        <v>8.4546760627425463</v>
      </c>
      <c r="AS103" s="5">
        <f t="shared" si="130"/>
        <v>3.3243243243243241</v>
      </c>
      <c r="AT103" s="5">
        <f t="shared" si="161"/>
        <v>5.1303517384182218</v>
      </c>
      <c r="AU103" s="153">
        <f t="shared" si="162"/>
        <v>0.39319357709915292</v>
      </c>
      <c r="AW103" s="5">
        <f t="shared" si="131"/>
        <v>11.33051538024511</v>
      </c>
      <c r="AX103" s="5">
        <f t="shared" si="132"/>
        <v>17.792740456781104</v>
      </c>
      <c r="AY103" s="5">
        <f t="shared" si="133"/>
        <v>0.45203804398448061</v>
      </c>
      <c r="AZ103" s="5">
        <f t="shared" si="134"/>
        <v>3.3533624541286926</v>
      </c>
      <c r="BA103" s="5">
        <f t="shared" si="135"/>
        <v>8.2519414555481063</v>
      </c>
      <c r="BB103" s="147">
        <f t="shared" si="136"/>
        <v>205.12452815765911</v>
      </c>
      <c r="BC103" s="5"/>
      <c r="BD103" s="153">
        <f t="shared" si="163"/>
        <v>1.4843162321460521</v>
      </c>
      <c r="BE103" s="153">
        <f t="shared" si="137"/>
        <v>0.92197324477463538</v>
      </c>
      <c r="BF103" s="153">
        <f t="shared" si="138"/>
        <v>0.18463568771173089</v>
      </c>
      <c r="BG103" s="153"/>
      <c r="BH103" s="463">
        <f t="shared" si="139"/>
        <v>0.24235141447134781</v>
      </c>
      <c r="BI103" s="463">
        <f t="shared" si="140"/>
        <v>4.5487254289343991E-2</v>
      </c>
      <c r="BJ103" s="463">
        <f t="shared" si="141"/>
        <v>5.9138871352311618E-3</v>
      </c>
      <c r="BK103" s="463">
        <f t="shared" si="142"/>
        <v>9.3659366026985855E-3</v>
      </c>
      <c r="BL103">
        <f t="shared" si="143"/>
        <v>3.2190000000000001E-3</v>
      </c>
      <c r="BM103">
        <f t="shared" si="144"/>
        <v>7.2149423049820181E-6</v>
      </c>
      <c r="BN103">
        <f t="shared" si="179"/>
        <v>0.3549325439449133</v>
      </c>
      <c r="BO103" s="147">
        <f t="shared" si="164"/>
        <v>354.93254394491328</v>
      </c>
      <c r="BP103" s="153">
        <f t="shared" si="146"/>
        <v>0.31706529667146521</v>
      </c>
      <c r="BQ103" s="153">
        <f t="shared" si="147"/>
        <v>4.2645003520612575E-2</v>
      </c>
      <c r="BR103" s="463"/>
      <c r="BT103" s="147">
        <f t="shared" si="165"/>
        <v>359.7103001920778</v>
      </c>
      <c r="BU103" s="463">
        <f t="shared" si="148"/>
        <v>0.1872715475460415</v>
      </c>
      <c r="BV103" s="463">
        <f t="shared" si="149"/>
        <v>0.16150658617525124</v>
      </c>
      <c r="BW103" s="463">
        <f t="shared" si="150"/>
        <v>1.7045168588391908E-3</v>
      </c>
      <c r="BX103" s="463">
        <f t="shared" si="151"/>
        <v>0</v>
      </c>
      <c r="BY103" s="463">
        <f t="shared" si="180"/>
        <v>0.40386436489644939</v>
      </c>
      <c r="BZ103" s="463">
        <f t="shared" si="166"/>
        <v>0.35048265058013195</v>
      </c>
      <c r="CA103" s="549">
        <f t="shared" si="153"/>
        <v>0.99412442743235829</v>
      </c>
      <c r="CB103" s="147">
        <f t="shared" si="167"/>
        <v>1397.9887923288077</v>
      </c>
      <c r="CC103" s="153">
        <f t="shared" si="168"/>
        <v>2.1126316364657987</v>
      </c>
      <c r="CD103" s="5">
        <f t="shared" si="169"/>
        <v>8.6757538880948495</v>
      </c>
      <c r="CE103" s="153">
        <f t="shared" si="170"/>
        <v>0.80417536695771397</v>
      </c>
      <c r="CF103" s="5">
        <f t="shared" si="171"/>
        <v>80.417536695771403</v>
      </c>
      <c r="CG103">
        <f t="shared" si="172"/>
        <v>98</v>
      </c>
      <c r="CI103" s="59">
        <f t="shared" si="154"/>
        <v>-50</v>
      </c>
      <c r="CJ103">
        <f t="shared" si="155"/>
        <v>-50</v>
      </c>
    </row>
    <row r="104" spans="5:88" x14ac:dyDescent="0.25">
      <c r="E104" s="150">
        <v>99</v>
      </c>
      <c r="F104" s="191">
        <f t="shared" ref="F104:F105" si="182">IF(PLOT_TYPE=1, E104/100*Iout_max, min_I*EXP(O104*rr/100))</f>
        <v>0.495</v>
      </c>
      <c r="G104" s="191">
        <f t="shared" si="156"/>
        <v>9.9000000000000005E-2</v>
      </c>
      <c r="H104" s="191">
        <f t="shared" si="105"/>
        <v>7.4249999999999998</v>
      </c>
      <c r="I104" s="191">
        <f t="shared" si="174"/>
        <v>1.5840000000000001</v>
      </c>
      <c r="J104" s="472">
        <f t="shared" si="106"/>
        <v>11.1</v>
      </c>
      <c r="K104" s="386">
        <f t="shared" si="107"/>
        <v>7.1214540576694105</v>
      </c>
      <c r="L104" s="386">
        <f t="shared" si="108"/>
        <v>18.759999999999998</v>
      </c>
      <c r="M104" s="386"/>
      <c r="N104" s="191">
        <f t="shared" si="109"/>
        <v>0.40831556503198302</v>
      </c>
      <c r="O104" s="152">
        <f t="shared" si="181"/>
        <v>6.8918395170927162</v>
      </c>
      <c r="P104" s="152">
        <f t="shared" si="110"/>
        <v>1.7839143710021326</v>
      </c>
      <c r="Q104" s="191">
        <f t="shared" si="111"/>
        <v>0.45945596780618109</v>
      </c>
      <c r="R104" s="191">
        <f t="shared" si="112"/>
        <v>0.43073996981829477</v>
      </c>
      <c r="S104" s="386">
        <f t="shared" si="113"/>
        <v>13.922908115338821</v>
      </c>
      <c r="T104" s="191">
        <f t="shared" si="114"/>
        <v>4.0999999999999996</v>
      </c>
      <c r="U104" s="191">
        <f t="shared" si="115"/>
        <v>3.3243243243243241</v>
      </c>
      <c r="V104" s="191">
        <f t="shared" si="116"/>
        <v>5.1815260902035511</v>
      </c>
      <c r="W104" s="175">
        <f t="shared" si="117"/>
        <v>350</v>
      </c>
      <c r="X104" s="386">
        <f t="shared" si="158"/>
        <v>117.56613992317732</v>
      </c>
      <c r="Z104" s="191">
        <f t="shared" si="118"/>
        <v>1.3772033533857913</v>
      </c>
      <c r="AA104" s="153">
        <f t="shared" si="119"/>
        <v>1.7404914895327561</v>
      </c>
      <c r="AB104" s="153">
        <f t="shared" si="175"/>
        <v>0.20973843764334499</v>
      </c>
      <c r="AC104" s="153"/>
      <c r="AD104" s="153">
        <f t="shared" si="121"/>
        <v>1.0363052180407104</v>
      </c>
      <c r="AE104" s="317">
        <f t="shared" si="176"/>
        <v>2330.0414822832695</v>
      </c>
      <c r="AF104" s="463">
        <f t="shared" si="123"/>
        <v>7.4354899394420956E-2</v>
      </c>
      <c r="AH104" s="153">
        <f t="shared" si="124"/>
        <v>2.3916521486202797</v>
      </c>
      <c r="AI104" s="153">
        <f t="shared" si="177"/>
        <v>4.0999999999999996</v>
      </c>
      <c r="AJ104" s="153">
        <f t="shared" si="178"/>
        <v>3.6296296296296298</v>
      </c>
      <c r="AL104" s="317">
        <f t="shared" si="127"/>
        <v>495</v>
      </c>
      <c r="AM104" s="147">
        <f t="shared" si="128"/>
        <v>117.56613992317732</v>
      </c>
      <c r="AO104" t="str">
        <f t="shared" si="159"/>
        <v/>
      </c>
      <c r="AP104" t="str">
        <f t="shared" si="129"/>
        <v/>
      </c>
      <c r="AR104" s="5">
        <f t="shared" si="160"/>
        <v>8.5058504145278757</v>
      </c>
      <c r="AS104" s="5">
        <f t="shared" si="130"/>
        <v>3.3243243243243241</v>
      </c>
      <c r="AT104" s="5">
        <f t="shared" si="161"/>
        <v>5.1815260902035511</v>
      </c>
      <c r="AU104" s="153">
        <f t="shared" si="162"/>
        <v>0.39082797866353536</v>
      </c>
      <c r="AW104" s="5">
        <f t="shared" si="131"/>
        <v>11.33051538024511</v>
      </c>
      <c r="AX104" s="5">
        <f t="shared" si="132"/>
        <v>18.14255718626735</v>
      </c>
      <c r="AY104" s="5">
        <f t="shared" si="133"/>
        <v>0.45203804398448061</v>
      </c>
      <c r="AZ104" s="5">
        <f t="shared" si="134"/>
        <v>3.4201271775213771</v>
      </c>
      <c r="BA104" s="5">
        <f t="shared" si="135"/>
        <v>8.4192965121236174</v>
      </c>
      <c r="BB104" s="147">
        <f t="shared" si="136"/>
        <v>207.1446213484513</v>
      </c>
      <c r="BC104" s="5"/>
      <c r="BD104" s="153">
        <f t="shared" si="163"/>
        <v>1.4798443973758442</v>
      </c>
      <c r="BE104" s="153">
        <f t="shared" si="137"/>
        <v>0.9237686253722649</v>
      </c>
      <c r="BF104" s="153">
        <f t="shared" si="138"/>
        <v>0.18499523321180522</v>
      </c>
      <c r="BG104" s="153"/>
      <c r="BH104" s="463">
        <f t="shared" si="139"/>
        <v>0.24089333844891428</v>
      </c>
      <c r="BI104" s="463">
        <f t="shared" si="140"/>
        <v>4.5213586091655524E-2</v>
      </c>
      <c r="BJ104" s="463">
        <f t="shared" si="141"/>
        <v>5.8783069961588661E-3</v>
      </c>
      <c r="BK104" s="463">
        <f t="shared" si="142"/>
        <v>9.3095876533111199E-3</v>
      </c>
      <c r="BL104">
        <f t="shared" si="143"/>
        <v>3.2190000000000001E-3</v>
      </c>
      <c r="BM104">
        <f t="shared" si="144"/>
        <v>7.1715345353138167E-6</v>
      </c>
      <c r="BN104">
        <f t="shared" si="179"/>
        <v>0.35271808347905409</v>
      </c>
      <c r="BO104" s="147">
        <f t="shared" si="164"/>
        <v>352.71808347905409</v>
      </c>
      <c r="BP104" s="153">
        <f t="shared" si="146"/>
        <v>0.31948164670834667</v>
      </c>
      <c r="BQ104" s="153">
        <f t="shared" si="147"/>
        <v>4.3047310508334588E-2</v>
      </c>
      <c r="BR104" s="463"/>
      <c r="BT104" s="147">
        <f t="shared" si="165"/>
        <v>362.52895721668125</v>
      </c>
      <c r="BU104" s="463">
        <f t="shared" si="148"/>
        <v>0.18614485243779741</v>
      </c>
      <c r="BV104" s="463">
        <f t="shared" si="149"/>
        <v>0.16213620991221114</v>
      </c>
      <c r="BW104" s="463">
        <f t="shared" si="150"/>
        <v>1.7111618155545101E-3</v>
      </c>
      <c r="BX104" s="463">
        <f t="shared" si="151"/>
        <v>0</v>
      </c>
      <c r="BY104" s="463">
        <f t="shared" si="180"/>
        <v>0.40328296316513007</v>
      </c>
      <c r="BZ104" s="463">
        <f t="shared" si="166"/>
        <v>0.34999222416556308</v>
      </c>
      <c r="CA104" s="549">
        <f t="shared" si="153"/>
        <v>0.98814340605430528</v>
      </c>
      <c r="CB104" s="147">
        <f t="shared" si="167"/>
        <v>1391.4263692194354</v>
      </c>
      <c r="CC104" s="153">
        <f t="shared" si="168"/>
        <v>2.1066734099151709</v>
      </c>
      <c r="CD104" s="5">
        <f t="shared" si="169"/>
        <v>8.6757538880948495</v>
      </c>
      <c r="CE104" s="153">
        <f t="shared" si="170"/>
        <v>0.80461974361710065</v>
      </c>
      <c r="CF104" s="5">
        <f t="shared" si="171"/>
        <v>80.461974361710062</v>
      </c>
      <c r="CG104">
        <f t="shared" si="172"/>
        <v>99</v>
      </c>
      <c r="CI104" s="59">
        <f t="shared" si="154"/>
        <v>-50</v>
      </c>
      <c r="CJ104">
        <f t="shared" si="155"/>
        <v>-50</v>
      </c>
    </row>
    <row r="105" spans="5:88" x14ac:dyDescent="0.25">
      <c r="E105" s="150">
        <v>100</v>
      </c>
      <c r="F105" s="191">
        <f t="shared" si="182"/>
        <v>0.5</v>
      </c>
      <c r="G105" s="191">
        <f t="shared" si="156"/>
        <v>0.1</v>
      </c>
      <c r="H105" s="191">
        <f t="shared" si="105"/>
        <v>7.5</v>
      </c>
      <c r="I105" s="191">
        <f t="shared" si="174"/>
        <v>1.6</v>
      </c>
      <c r="J105" s="472">
        <f t="shared" si="106"/>
        <v>11.1</v>
      </c>
      <c r="K105" s="386">
        <f t="shared" si="107"/>
        <v>7.0518395170927164</v>
      </c>
      <c r="L105" s="386">
        <f t="shared" si="108"/>
        <v>18.759999999999998</v>
      </c>
      <c r="M105" s="386"/>
      <c r="N105" s="191">
        <f t="shared" si="109"/>
        <v>0.40831556503198302</v>
      </c>
      <c r="O105" s="152">
        <f t="shared" si="181"/>
        <v>6.8918395170927162</v>
      </c>
      <c r="P105" s="152">
        <f t="shared" si="110"/>
        <v>1.7839143710021326</v>
      </c>
      <c r="Q105" s="191">
        <f t="shared" si="111"/>
        <v>0.45945596780618109</v>
      </c>
      <c r="R105" s="191">
        <f t="shared" si="112"/>
        <v>0.43073996981829477</v>
      </c>
      <c r="S105" s="386">
        <f t="shared" si="113"/>
        <v>13.783679034185432</v>
      </c>
      <c r="T105" s="191">
        <f t="shared" si="114"/>
        <v>4.0999999999999996</v>
      </c>
      <c r="U105" s="191">
        <f t="shared" si="115"/>
        <v>3.3243243243243241</v>
      </c>
      <c r="V105" s="191">
        <f t="shared" si="116"/>
        <v>5.2326772199735014</v>
      </c>
      <c r="W105" s="175">
        <f t="shared" si="117"/>
        <v>350</v>
      </c>
      <c r="X105" s="386">
        <f t="shared" si="158"/>
        <v>116.86336561039599</v>
      </c>
      <c r="Z105" s="191">
        <f t="shared" si="118"/>
        <v>1.3689708542932102</v>
      </c>
      <c r="AA105" s="153">
        <f t="shared" si="119"/>
        <v>1.7471664887970111</v>
      </c>
      <c r="AB105" s="153">
        <f t="shared" si="175"/>
        <v>0.20928425006657986</v>
      </c>
      <c r="AC105" s="153"/>
      <c r="AD105" s="153">
        <f t="shared" si="121"/>
        <v>1.0465354439947003</v>
      </c>
      <c r="AE105" s="317">
        <f t="shared" si="176"/>
        <v>2330.5702680589325</v>
      </c>
      <c r="AF105" s="463">
        <f t="shared" si="123"/>
        <v>7.5088918106619745E-2</v>
      </c>
      <c r="AH105" s="153">
        <f t="shared" si="124"/>
        <v>2.4037008503093262</v>
      </c>
      <c r="AI105" s="153">
        <f t="shared" si="177"/>
        <v>4.0999999999999996</v>
      </c>
      <c r="AJ105" s="153">
        <f t="shared" si="178"/>
        <v>3.6296296296296298</v>
      </c>
      <c r="AL105" s="317">
        <f t="shared" si="127"/>
        <v>500</v>
      </c>
      <c r="AM105" s="147">
        <f t="shared" si="128"/>
        <v>116.86336561039599</v>
      </c>
      <c r="AO105" t="str">
        <f t="shared" si="159"/>
        <v/>
      </c>
      <c r="AP105" s="3" t="str">
        <f t="shared" si="129"/>
        <v/>
      </c>
      <c r="AR105" s="5">
        <f t="shared" si="160"/>
        <v>8.5570015442978278</v>
      </c>
      <c r="AS105" s="5">
        <f t="shared" si="130"/>
        <v>3.3243243243243241</v>
      </c>
      <c r="AT105" s="5">
        <f t="shared" si="161"/>
        <v>5.2326772199735032</v>
      </c>
      <c r="AU105" s="153">
        <f t="shared" si="162"/>
        <v>0.38849172892104605</v>
      </c>
      <c r="AW105" s="5">
        <f t="shared" si="131"/>
        <v>11.33051538024511</v>
      </c>
      <c r="AX105" s="5">
        <f t="shared" si="132"/>
        <v>18.495773070367665</v>
      </c>
      <c r="AY105" s="5">
        <f t="shared" si="133"/>
        <v>0.45203804398448061</v>
      </c>
      <c r="AZ105" s="5">
        <f t="shared" si="134"/>
        <v>3.4875494107962228</v>
      </c>
      <c r="BA105" s="5">
        <f t="shared" si="135"/>
        <v>8.5882932845924973</v>
      </c>
      <c r="BB105" s="147">
        <f t="shared" si="136"/>
        <v>209.16379785669636</v>
      </c>
      <c r="BC105" s="5"/>
      <c r="BD105" s="153">
        <f t="shared" si="163"/>
        <v>1.4754147397893225</v>
      </c>
      <c r="BE105" s="153">
        <f t="shared" si="137"/>
        <v>0.92553831348920101</v>
      </c>
      <c r="BF105" s="153">
        <f t="shared" si="138"/>
        <v>0.18534963349875241</v>
      </c>
      <c r="BG105" s="153"/>
      <c r="BH105" s="463">
        <f t="shared" si="139"/>
        <v>0.23945335198263534</v>
      </c>
      <c r="BI105" s="463">
        <f t="shared" si="140"/>
        <v>4.4943313146446076E-2</v>
      </c>
      <c r="BJ105" s="463">
        <f t="shared" si="141"/>
        <v>5.8431682805197994E-3</v>
      </c>
      <c r="BK105" s="463">
        <f t="shared" si="142"/>
        <v>9.2539377946901889E-3</v>
      </c>
      <c r="BL105">
        <f t="shared" si="143"/>
        <v>3.2190000000000001E-3</v>
      </c>
      <c r="BM105">
        <f t="shared" si="144"/>
        <v>7.1286653022341561E-6</v>
      </c>
      <c r="BN105">
        <f t="shared" si="179"/>
        <v>0.35053232003469736</v>
      </c>
      <c r="BO105" s="147">
        <f t="shared" si="164"/>
        <v>350.53232003469736</v>
      </c>
      <c r="BP105" s="153">
        <f t="shared" si="146"/>
        <v>0.32189171473572725</v>
      </c>
      <c r="BQ105" s="153">
        <f t="shared" si="147"/>
        <v>4.3449365558305024E-2</v>
      </c>
      <c r="BR105" s="463"/>
      <c r="BT105" s="147">
        <f t="shared" si="165"/>
        <v>365.34108029403228</v>
      </c>
      <c r="BU105" s="463">
        <f t="shared" si="148"/>
        <v>0.18503213562294551</v>
      </c>
      <c r="BV105" s="463">
        <f t="shared" si="149"/>
        <v>0.16275802224992256</v>
      </c>
      <c r="BW105" s="463">
        <f t="shared" si="150"/>
        <v>1.7177243319060924E-3</v>
      </c>
      <c r="BX105" s="463">
        <f t="shared" si="151"/>
        <v>0</v>
      </c>
      <c r="BY105" s="463">
        <f t="shared" si="180"/>
        <v>0.40270882063291447</v>
      </c>
      <c r="BZ105" s="463">
        <f t="shared" si="166"/>
        <v>0.34950788220477413</v>
      </c>
      <c r="CA105" s="549">
        <f t="shared" si="153"/>
        <v>0.98223658795537827</v>
      </c>
      <c r="CB105" s="147">
        <f t="shared" si="167"/>
        <v>1384.9454085882926</v>
      </c>
      <c r="CC105" s="153">
        <f t="shared" si="168"/>
        <v>2.1008188089170226</v>
      </c>
      <c r="CD105" s="5">
        <f t="shared" si="169"/>
        <v>8.6757538880948495</v>
      </c>
      <c r="CE105" s="153">
        <f t="shared" si="170"/>
        <v>0.80505687030724182</v>
      </c>
      <c r="CF105" s="5">
        <f t="shared" si="171"/>
        <v>80.505687030724175</v>
      </c>
      <c r="CG105">
        <f t="shared" si="172"/>
        <v>100</v>
      </c>
      <c r="CI105" s="59">
        <f t="shared" si="154"/>
        <v>-50</v>
      </c>
      <c r="CJ105">
        <f t="shared" si="155"/>
        <v>-50</v>
      </c>
    </row>
    <row r="106" spans="5:88" x14ac:dyDescent="0.25">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5">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5">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3">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5">
      <c r="E110" s="150">
        <v>0.1</v>
      </c>
      <c r="F110" s="191">
        <v>1.0000000000000001E-9</v>
      </c>
      <c r="G110" s="191">
        <f t="shared" ref="G110:G141" si="183">IF(PLOT_TYPE=1, E110/100*Iout2, min_I*EXP(Q110*rr/100))</f>
        <v>1E-4</v>
      </c>
      <c r="H110" s="191">
        <f t="shared" ref="H110:H141" si="184">F110*Vout</f>
        <v>1.5000000000000002E-8</v>
      </c>
      <c r="I110" s="191">
        <f t="shared" ref="I110:I141" si="185">Vout2*G110</f>
        <v>1.6000000000000001E-3</v>
      </c>
      <c r="J110" s="472">
        <f t="shared" ref="J110:J173" si="186">VIN_min</f>
        <v>9</v>
      </c>
      <c r="K110" s="386">
        <f t="shared" ref="K110:K173" si="187">(S110+Vfwd1)*Nps</f>
        <v>7.66</v>
      </c>
      <c r="L110" s="386">
        <f t="shared" ref="L110:L173" si="188">(Vout+Vfwd1)*Nps+J110</f>
        <v>16.66</v>
      </c>
      <c r="M110" s="386"/>
      <c r="N110" s="191">
        <f t="shared" ref="N110:N173" si="189">(Vout+Vfwd1)*Nps/((Vout+Vfwd1)*Nps+J110)</f>
        <v>0.45978391356542619</v>
      </c>
      <c r="O110" s="152">
        <f t="shared" ref="O110:O141" si="190">N110*J110*Isw_max*0.5*Efficiency*Pout/(Pout+Pout2)</f>
        <v>6.2923449599620076</v>
      </c>
      <c r="P110" s="152">
        <f t="shared" ref="P110:P141" si="191">N110*J110*Isw_max*0.5*Efficiency*(Pout2/Pout_total)</f>
        <v>1.6287385354141657</v>
      </c>
      <c r="Q110" s="191">
        <f t="shared" ref="Q110:Q173" si="192">O110/Vout</f>
        <v>0.41948966399746718</v>
      </c>
      <c r="R110" s="191">
        <f t="shared" ref="R110:R141" si="193">O110/Vout2</f>
        <v>0.39327155999762548</v>
      </c>
      <c r="S110" s="191">
        <f t="shared" ref="S110:S141" si="194">MIN(Vout,O110/F110)</f>
        <v>15</v>
      </c>
      <c r="T110" s="191">
        <f t="shared" ref="T110:T141" si="195">MIN(2*(Vout*F110+Vout2*G110)/(Efficiency*J110*N110), Isw_max)</f>
        <v>8.5924152725397286E-4</v>
      </c>
      <c r="U110" s="191">
        <f t="shared" ref="U110:U173" si="196">L*T110/J110*1000000</f>
        <v>8.5924152725397286E-4</v>
      </c>
      <c r="V110" s="191">
        <f t="shared" ref="V110:V173" si="197">L*T110/K110*1000000</f>
        <v>1.009552708261848E-3</v>
      </c>
      <c r="W110" s="175">
        <f t="shared" ref="W110:W173" si="198">IF(1/((350000*L)*(1/J110+1/K110))&gt;Isw_min, 350, 0.001/((Isw_min*L)*(1/J110+1/K110)))</f>
        <v>350</v>
      </c>
      <c r="X110" s="386">
        <f t="shared" ref="X110:X173" si="199">MIN(1/(U110+V110)*1000, 350)</f>
        <v>350</v>
      </c>
      <c r="Z110" s="191">
        <f t="shared" ref="Z110:Z173" si="200">1/((W110*1000*L)*(1/J110+1/K110))</f>
        <v>1.3136683244726464</v>
      </c>
      <c r="AA110" s="153">
        <f t="shared" ref="AA110:AA173" si="201">L*Z110/K110*1000000</f>
        <v>1.5434745326702111</v>
      </c>
      <c r="AB110" s="153">
        <f t="shared" ref="AB110:AB141" si="202">0.5*AA110*Z110*Nps*W110/1000*(Pout/(Pout+Pout2))</f>
        <v>0.14622213484608731</v>
      </c>
      <c r="AC110" s="153"/>
      <c r="AD110" s="153">
        <f t="shared" ref="AD110:AD173" si="203">L*Isw_min/K110*1000000</f>
        <v>0.96344647519582249</v>
      </c>
      <c r="AE110" s="317">
        <f t="shared" ref="AE110:AE141" si="204">MAX(10, F110/(0.5*AD110/1000000*Isw_min*Nps)/1000*Pout_total/Pout)</f>
        <v>10</v>
      </c>
      <c r="AF110" s="463">
        <f t="shared" ref="AF110:AF141" si="205">0.5*AD110/1000000*Isw_min*Nps*W110*1000*(Pout/Pout_total)</f>
        <v>6.9127284595300251E-2</v>
      </c>
      <c r="AH110" s="153">
        <f t="shared" ref="AH110:AH141" si="206">SQRT((H110+I110)/(0.5*L*Fsw_DCM))</f>
        <v>3.1872912318809836E-2</v>
      </c>
      <c r="AI110" s="153">
        <f t="shared" ref="AI110:AI141" si="207">MAX(IF(F110&gt;AB110,T110,AH110),Isw_min)</f>
        <v>0.82</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0.82</v>
      </c>
      <c r="AT110" s="5">
        <f t="shared" ref="AT110:AT114" si="214">AR110-AS110</f>
        <v>99.18</v>
      </c>
      <c r="AU110" s="153">
        <f t="shared" ref="AU110:AU114" si="215">AS110/AR110</f>
        <v>8.199999999999999E-3</v>
      </c>
      <c r="AW110" s="5">
        <f t="shared" ref="AW110:AW169" si="216">F110*AS110/Vout_ripple*1000</f>
        <v>5.4666666666666668E-9</v>
      </c>
      <c r="AX110" s="5"/>
      <c r="AY110" s="5">
        <f t="shared" ref="AY110:AY169" si="217">G110*AS110/Vout_ripple2*1000</f>
        <v>5.1249999999999993E-4</v>
      </c>
      <c r="AZ110" s="5"/>
      <c r="BA110" s="5">
        <f t="shared" ref="BA110:BA169" si="218">H110/Efficiency/J110*AT110/Vinripple1</f>
        <v>3.3093093093093092E-7</v>
      </c>
      <c r="BB110" s="5"/>
      <c r="BC110" s="5"/>
      <c r="BD110" s="153">
        <f t="shared" ref="BD110:BD169" si="219">AI110*SQRT(AU110/3)</f>
        <v>4.2870658186378863E-2</v>
      </c>
      <c r="BE110" s="153">
        <f t="shared" ref="BE110:BE169" si="220">AI110*Npri_sec1*SQRT((1-AU110)/3)*(Pout/Pout_total)</f>
        <v>0.2357410867880268</v>
      </c>
      <c r="BF110" s="153">
        <f t="shared" ref="BF110:BF169" si="221">AI110*Npri_sec2*SQRT((1-AU110)/3)*(Pout2/Pout_total)</f>
        <v>4.720984901428197E-2</v>
      </c>
      <c r="BG110" s="153"/>
      <c r="BH110" s="463">
        <f t="shared" ref="BH110:BH169" si="222">Rdson*BD110^2</f>
        <v>2.0216826666666663E-4</v>
      </c>
      <c r="BI110" s="463">
        <f t="shared" ref="BI110:BI169" si="223">0.5*L110*AI110*AM110*1000*Trise</f>
        <v>6.8305999999999998E-4</v>
      </c>
      <c r="BJ110" s="463">
        <f t="shared" ref="BJ110:BJ169" si="224">Qg*Vdd*AM110*1000</f>
        <v>5.0000000000000001E-4</v>
      </c>
      <c r="BK110" s="463">
        <f t="shared" ref="BK110:BK169" si="225">0.5*(Coss+Csw)*L110^2*AM110*1000</f>
        <v>6.2450010000000009E-4</v>
      </c>
      <c r="BL110">
        <f t="shared" ref="BL110:BL169" si="226">J110*IQ</f>
        <v>2.6099999999999999E-3</v>
      </c>
      <c r="BM110">
        <f t="shared" ref="BM110:BM141" si="227">(J110-Vdd)*Qg*AM110</f>
        <v>3.9999999999999998E-7</v>
      </c>
      <c r="BN110">
        <f t="shared" ref="BN110:BN141" si="228">(BI110+BJ110+BK110+BL110+BM110+BH110*(1+RdsonTC*(Ta-25)))/(1-BH110*RdsonTC*ThetaJA)</f>
        <v>4.6475944381492813E-3</v>
      </c>
      <c r="BO110" s="147">
        <f t="shared" ref="BO110:BO169" si="229">SUM(BH110:BL110)*1000</f>
        <v>4.6197283666666671</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1.5622093333333333E-4</v>
      </c>
      <c r="BV110" s="463">
        <f t="shared" ref="BV110:BV169" si="234">Rdcr_sec*BE110^2</f>
        <v>1.0559033399999997E-2</v>
      </c>
      <c r="BW110" s="463">
        <f t="shared" ref="BW110:BW169" si="235">Rdcr_sec2*BF110^2</f>
        <v>1.1143849219756501E-4</v>
      </c>
      <c r="BX110" s="463">
        <f t="shared" ref="BX110:BX169" si="236">AI110^2.5*AM110^2.5*k_core</f>
        <v>0</v>
      </c>
      <c r="BY110" s="463">
        <f t="shared" si="180"/>
        <v>1.2136407737280761E-2</v>
      </c>
      <c r="BZ110" s="463">
        <f t="shared" si="166"/>
        <v>1.0826692825530896E-2</v>
      </c>
      <c r="CA110" s="549">
        <f t="shared" ref="CA110:CA141" si="237">0.5*Lleak*0.000000001*AI110^2*AM110*1000</f>
        <v>3.362E-3</v>
      </c>
      <c r="CB110" s="147">
        <f t="shared" ref="CB110:CB169" si="238">SUM(BU110:CA110)*1000</f>
        <v>37.151793388342547</v>
      </c>
      <c r="CC110" s="153">
        <f t="shared" si="168"/>
        <v>2.0186002575430042E-2</v>
      </c>
      <c r="CD110" s="5">
        <f t="shared" ref="CD110:CD169" si="239">MIN(H110+I110,O110+P110)</f>
        <v>1.600015E-3</v>
      </c>
      <c r="CE110" s="153">
        <f t="shared" ref="CE110:CE169" si="240">CD110/(CD110+CC110)</f>
        <v>7.3442289048939069E-2</v>
      </c>
      <c r="CF110" s="5">
        <f t="shared" ref="CF110:CF169" si="241">CE110*100</f>
        <v>7.3442289048939067</v>
      </c>
      <c r="CG110">
        <f t="shared" ref="CG110:CG169" si="242">F110/Iout*100</f>
        <v>2.0000000000000002E-7</v>
      </c>
      <c r="CI110" s="59">
        <f t="shared" ref="CI110:CI141" si="243">IF(ABS(F110-Ioutmax_Vinmin)&lt;Iout/200, AM110, -50)</f>
        <v>-50</v>
      </c>
      <c r="CJ110">
        <f t="shared" ref="CJ110:CJ141" si="244">IF(ABS(F110-Ioutmax_Vinmin)&lt;Iout/200, (O110+P110)*CE110, -50)</f>
        <v>-50</v>
      </c>
    </row>
    <row r="111" spans="5:88" x14ac:dyDescent="0.25">
      <c r="E111" s="150">
        <v>1</v>
      </c>
      <c r="F111" s="191">
        <f t="shared" ref="F111:F142" si="245">IF(PLOT_TYPE=1, E111/100*Iout_max, min_I*EXP(O111*rr/100))</f>
        <v>5.0000000000000001E-3</v>
      </c>
      <c r="G111" s="191">
        <f t="shared" si="183"/>
        <v>1E-3</v>
      </c>
      <c r="H111" s="191">
        <f t="shared" si="184"/>
        <v>7.4999999999999997E-2</v>
      </c>
      <c r="I111" s="191">
        <f t="shared" si="185"/>
        <v>1.6E-2</v>
      </c>
      <c r="J111" s="472">
        <f t="shared" si="186"/>
        <v>9</v>
      </c>
      <c r="K111" s="386">
        <f t="shared" si="187"/>
        <v>7.66</v>
      </c>
      <c r="L111" s="386">
        <f t="shared" si="188"/>
        <v>16.66</v>
      </c>
      <c r="M111" s="386"/>
      <c r="N111" s="191">
        <f t="shared" si="189"/>
        <v>0.45978391356542619</v>
      </c>
      <c r="O111" s="152">
        <f t="shared" si="190"/>
        <v>6.2923449599620076</v>
      </c>
      <c r="P111" s="152">
        <f t="shared" si="191"/>
        <v>1.6287385354141657</v>
      </c>
      <c r="Q111" s="191">
        <f t="shared" si="192"/>
        <v>0.41948966399746718</v>
      </c>
      <c r="R111" s="191">
        <f t="shared" si="193"/>
        <v>0.39327155999762548</v>
      </c>
      <c r="S111" s="191">
        <f t="shared" si="194"/>
        <v>15</v>
      </c>
      <c r="T111" s="191">
        <f t="shared" si="195"/>
        <v>4.8868903716597363E-2</v>
      </c>
      <c r="U111" s="191">
        <f t="shared" si="196"/>
        <v>4.8868903716597363E-2</v>
      </c>
      <c r="V111" s="191">
        <f t="shared" si="197"/>
        <v>5.7417771990780193E-2</v>
      </c>
      <c r="W111" s="175">
        <f t="shared" si="198"/>
        <v>350</v>
      </c>
      <c r="X111" s="386">
        <f t="shared" si="199"/>
        <v>350</v>
      </c>
      <c r="Z111" s="191">
        <f t="shared" si="200"/>
        <v>1.3136683244726464</v>
      </c>
      <c r="AA111" s="153">
        <f t="shared" si="201"/>
        <v>1.5434745326702111</v>
      </c>
      <c r="AB111" s="153">
        <f t="shared" si="202"/>
        <v>0.14622213484608731</v>
      </c>
      <c r="AC111" s="153"/>
      <c r="AD111" s="153">
        <f t="shared" si="203"/>
        <v>0.96344647519582249</v>
      </c>
      <c r="AE111" s="317">
        <f t="shared" si="204"/>
        <v>25.315619009848636</v>
      </c>
      <c r="AF111" s="463">
        <f t="shared" si="205"/>
        <v>6.9127284595300251E-2</v>
      </c>
      <c r="AH111" s="153">
        <f t="shared" si="206"/>
        <v>0.2403700850309326</v>
      </c>
      <c r="AI111" s="153">
        <f t="shared" si="207"/>
        <v>0.82</v>
      </c>
      <c r="AJ111" s="153">
        <f t="shared" si="208"/>
        <v>1.0144660680056279</v>
      </c>
      <c r="AL111" s="317">
        <f t="shared" si="209"/>
        <v>5</v>
      </c>
      <c r="AM111" s="147">
        <f t="shared" si="210"/>
        <v>25.315619009848636</v>
      </c>
      <c r="AO111" s="147">
        <f t="shared" si="211"/>
        <v>5</v>
      </c>
      <c r="AP111" s="147">
        <f t="shared" si="212"/>
        <v>25.315619009848636</v>
      </c>
      <c r="AR111" s="5">
        <f t="shared" si="160"/>
        <v>39.501305483028723</v>
      </c>
      <c r="AS111" s="5">
        <f t="shared" si="213"/>
        <v>0.82</v>
      </c>
      <c r="AT111" s="5">
        <f t="shared" si="214"/>
        <v>38.681305483028723</v>
      </c>
      <c r="AU111" s="153">
        <f t="shared" si="215"/>
        <v>2.0758807588075877E-2</v>
      </c>
      <c r="AW111" s="5">
        <f t="shared" si="216"/>
        <v>2.7333333333333331E-2</v>
      </c>
      <c r="AX111" s="5"/>
      <c r="AY111" s="5">
        <f t="shared" si="217"/>
        <v>5.1250000000000002E-3</v>
      </c>
      <c r="AZ111" s="5"/>
      <c r="BA111" s="5">
        <f t="shared" si="218"/>
        <v>0.64533375847562091</v>
      </c>
      <c r="BB111" s="5"/>
      <c r="BC111" s="5"/>
      <c r="BD111" s="153">
        <f t="shared" si="219"/>
        <v>6.8211001610742672E-2</v>
      </c>
      <c r="BE111" s="153">
        <f t="shared" si="220"/>
        <v>0.23424377931579771</v>
      </c>
      <c r="BF111" s="153">
        <f t="shared" si="221"/>
        <v>4.6909996066902236E-2</v>
      </c>
      <c r="BG111" s="153"/>
      <c r="BH111" s="463">
        <f t="shared" si="222"/>
        <v>5.118014814814813E-4</v>
      </c>
      <c r="BI111" s="463">
        <f t="shared" si="223"/>
        <v>1.729208672086721E-3</v>
      </c>
      <c r="BJ111" s="463">
        <f t="shared" si="224"/>
        <v>1.2657809504924317E-3</v>
      </c>
      <c r="BK111" s="463">
        <f t="shared" si="225"/>
        <v>1.5809606603212375E-3</v>
      </c>
      <c r="BL111">
        <f t="shared" si="226"/>
        <v>2.6099999999999999E-3</v>
      </c>
      <c r="BM111">
        <f t="shared" si="227"/>
        <v>1.0126247603939454E-6</v>
      </c>
      <c r="BN111">
        <f t="shared" si="228"/>
        <v>7.7685911567997026E-3</v>
      </c>
      <c r="BO111" s="147">
        <f t="shared" si="229"/>
        <v>7.6977517643818709</v>
      </c>
      <c r="BP111" s="153">
        <f t="shared" si="230"/>
        <v>2E-3</v>
      </c>
      <c r="BQ111" s="153">
        <f t="shared" si="231"/>
        <v>4.0000000000000002E-4</v>
      </c>
      <c r="BR111" s="463"/>
      <c r="BT111" s="147">
        <f t="shared" si="232"/>
        <v>2.4000000000000004</v>
      </c>
      <c r="BU111" s="463">
        <f t="shared" si="233"/>
        <v>3.954829629629629E-4</v>
      </c>
      <c r="BV111" s="463">
        <f t="shared" si="234"/>
        <v>1.0425328148148148E-2</v>
      </c>
      <c r="BW111" s="463">
        <f t="shared" si="235"/>
        <v>1.1002738654983917E-4</v>
      </c>
      <c r="BX111" s="463">
        <f t="shared" si="236"/>
        <v>0</v>
      </c>
      <c r="BY111" s="463">
        <f t="shared" si="180"/>
        <v>1.225325418478544E-2</v>
      </c>
      <c r="BZ111" s="463">
        <f t="shared" si="166"/>
        <v>1.0930838497660951E-2</v>
      </c>
      <c r="CA111" s="549">
        <f t="shared" si="237"/>
        <v>8.5111111111111117E-3</v>
      </c>
      <c r="CB111" s="147">
        <f t="shared" si="238"/>
        <v>42.626042291218454</v>
      </c>
      <c r="CC111" s="153">
        <f t="shared" si="168"/>
        <v>3.0932956452696253E-2</v>
      </c>
      <c r="CD111" s="5">
        <f t="shared" si="239"/>
        <v>9.0999999999999998E-2</v>
      </c>
      <c r="CE111" s="153">
        <f t="shared" si="240"/>
        <v>0.74631176547665634</v>
      </c>
      <c r="CF111" s="5">
        <f t="shared" si="241"/>
        <v>74.631176547665632</v>
      </c>
      <c r="CG111">
        <f t="shared" si="242"/>
        <v>1</v>
      </c>
      <c r="CI111" s="59">
        <f t="shared" si="243"/>
        <v>-50</v>
      </c>
      <c r="CJ111">
        <f t="shared" si="244"/>
        <v>-50</v>
      </c>
    </row>
    <row r="112" spans="5:88" x14ac:dyDescent="0.25">
      <c r="E112" s="150">
        <v>2</v>
      </c>
      <c r="F112" s="191">
        <f t="shared" si="245"/>
        <v>0.01</v>
      </c>
      <c r="G112" s="191">
        <f t="shared" si="183"/>
        <v>2E-3</v>
      </c>
      <c r="H112" s="191">
        <f t="shared" si="184"/>
        <v>0.15</v>
      </c>
      <c r="I112" s="191">
        <f t="shared" si="185"/>
        <v>3.2000000000000001E-2</v>
      </c>
      <c r="J112" s="472">
        <f t="shared" si="186"/>
        <v>9</v>
      </c>
      <c r="K112" s="386">
        <f t="shared" si="187"/>
        <v>7.66</v>
      </c>
      <c r="L112" s="386">
        <f t="shared" si="188"/>
        <v>16.66</v>
      </c>
      <c r="M112" s="386"/>
      <c r="N112" s="191">
        <f t="shared" si="189"/>
        <v>0.45978391356542619</v>
      </c>
      <c r="O112" s="152">
        <f t="shared" si="190"/>
        <v>6.2923449599620076</v>
      </c>
      <c r="P112" s="152">
        <f t="shared" si="191"/>
        <v>1.6287385354141657</v>
      </c>
      <c r="Q112" s="191">
        <f t="shared" si="192"/>
        <v>0.41948966399746718</v>
      </c>
      <c r="R112" s="191">
        <f t="shared" si="193"/>
        <v>0.39327155999762548</v>
      </c>
      <c r="S112" s="191">
        <f t="shared" si="194"/>
        <v>15</v>
      </c>
      <c r="T112" s="191">
        <f t="shared" si="195"/>
        <v>9.7737807433194726E-2</v>
      </c>
      <c r="U112" s="191">
        <f t="shared" si="196"/>
        <v>9.7737807433194726E-2</v>
      </c>
      <c r="V112" s="191">
        <f t="shared" si="197"/>
        <v>0.11483554398156039</v>
      </c>
      <c r="W112" s="175">
        <f t="shared" si="198"/>
        <v>350</v>
      </c>
      <c r="X112" s="386">
        <f t="shared" si="199"/>
        <v>350</v>
      </c>
      <c r="Z112" s="191">
        <f t="shared" si="200"/>
        <v>1.3136683244726464</v>
      </c>
      <c r="AA112" s="153">
        <f t="shared" si="201"/>
        <v>1.5434745326702111</v>
      </c>
      <c r="AB112" s="153">
        <f t="shared" si="202"/>
        <v>0.14622213484608731</v>
      </c>
      <c r="AC112" s="153"/>
      <c r="AD112" s="153">
        <f t="shared" si="203"/>
        <v>0.96344647519582249</v>
      </c>
      <c r="AE112" s="317">
        <f t="shared" si="204"/>
        <v>50.631238019697271</v>
      </c>
      <c r="AF112" s="463">
        <f t="shared" si="205"/>
        <v>6.9127284595300251E-2</v>
      </c>
      <c r="AH112" s="153">
        <f t="shared" si="206"/>
        <v>0.33993463423951897</v>
      </c>
      <c r="AI112" s="153">
        <f t="shared" si="207"/>
        <v>0.82</v>
      </c>
      <c r="AJ112" s="153">
        <f t="shared" si="208"/>
        <v>1.0289321360112555</v>
      </c>
      <c r="AL112" s="317">
        <f t="shared" si="209"/>
        <v>10</v>
      </c>
      <c r="AM112" s="147">
        <f t="shared" si="210"/>
        <v>50.631238019697271</v>
      </c>
      <c r="AO112" s="147">
        <f t="shared" si="211"/>
        <v>10</v>
      </c>
      <c r="AP112" s="147">
        <f t="shared" si="212"/>
        <v>50.631238019697271</v>
      </c>
      <c r="AR112" s="5">
        <f t="shared" si="160"/>
        <v>19.750652741514362</v>
      </c>
      <c r="AS112" s="5">
        <f t="shared" si="213"/>
        <v>0.82</v>
      </c>
      <c r="AT112" s="5">
        <f t="shared" si="214"/>
        <v>18.930652741514361</v>
      </c>
      <c r="AU112" s="153">
        <f t="shared" si="215"/>
        <v>4.1517615176151754E-2</v>
      </c>
      <c r="AW112" s="5">
        <f t="shared" si="216"/>
        <v>5.4666666666666662E-2</v>
      </c>
      <c r="AX112" s="5"/>
      <c r="AY112" s="5">
        <f t="shared" si="217"/>
        <v>1.025E-2</v>
      </c>
      <c r="AZ112" s="5"/>
      <c r="BA112" s="5">
        <f t="shared" si="218"/>
        <v>0.63165341146194054</v>
      </c>
      <c r="BB112" s="5"/>
      <c r="BC112" s="5"/>
      <c r="BD112" s="153">
        <f t="shared" si="219"/>
        <v>9.6464923580965325E-2</v>
      </c>
      <c r="BE112" s="153">
        <f t="shared" si="220"/>
        <v>0.23174762773966631</v>
      </c>
      <c r="BF112" s="153">
        <f t="shared" si="221"/>
        <v>4.64101131630286E-2</v>
      </c>
      <c r="BG112" s="153"/>
      <c r="BH112" s="463">
        <f t="shared" si="222"/>
        <v>1.0236029629629628E-3</v>
      </c>
      <c r="BI112" s="463">
        <f t="shared" si="223"/>
        <v>3.458417344173442E-3</v>
      </c>
      <c r="BJ112" s="463">
        <f t="shared" si="224"/>
        <v>2.5315619009848634E-3</v>
      </c>
      <c r="BK112" s="463">
        <f t="shared" si="225"/>
        <v>3.1619213206424751E-3</v>
      </c>
      <c r="BL112">
        <f t="shared" si="226"/>
        <v>2.6099999999999999E-3</v>
      </c>
      <c r="BM112">
        <f t="shared" si="227"/>
        <v>2.0252495207878907E-6</v>
      </c>
      <c r="BN112">
        <f t="shared" si="228"/>
        <v>1.2928156722047141E-2</v>
      </c>
      <c r="BO112" s="147">
        <f t="shared" si="229"/>
        <v>12.785503528763742</v>
      </c>
      <c r="BP112" s="153">
        <f t="shared" si="230"/>
        <v>4.0000000000000001E-3</v>
      </c>
      <c r="BQ112" s="153">
        <f t="shared" si="231"/>
        <v>8.0000000000000004E-4</v>
      </c>
      <c r="BR112" s="463"/>
      <c r="BT112" s="147">
        <f t="shared" si="232"/>
        <v>4.8000000000000007</v>
      </c>
      <c r="BU112" s="463">
        <f t="shared" si="233"/>
        <v>7.9096592592592591E-4</v>
      </c>
      <c r="BV112" s="463">
        <f t="shared" si="234"/>
        <v>1.0204322962962961E-2</v>
      </c>
      <c r="BW112" s="463">
        <f t="shared" si="235"/>
        <v>1.0769493019025603E-4</v>
      </c>
      <c r="BX112" s="463">
        <f t="shared" si="236"/>
        <v>0</v>
      </c>
      <c r="BY112" s="463">
        <f t="shared" si="180"/>
        <v>1.2446397249149694E-2</v>
      </c>
      <c r="BZ112" s="463">
        <f t="shared" si="166"/>
        <v>1.1102983819079143E-2</v>
      </c>
      <c r="CA112" s="549">
        <f t="shared" si="237"/>
        <v>1.7022222222222223E-2</v>
      </c>
      <c r="CB112" s="147">
        <f t="shared" si="238"/>
        <v>51.674587109530208</v>
      </c>
      <c r="CC112" s="153">
        <f t="shared" si="168"/>
        <v>4.7196776193419054E-2</v>
      </c>
      <c r="CD112" s="5">
        <f t="shared" si="239"/>
        <v>0.182</v>
      </c>
      <c r="CE112" s="153">
        <f t="shared" si="240"/>
        <v>0.79407748670256284</v>
      </c>
      <c r="CF112" s="5">
        <f t="shared" si="241"/>
        <v>79.407748670256282</v>
      </c>
      <c r="CG112">
        <f t="shared" si="242"/>
        <v>2</v>
      </c>
      <c r="CI112" s="59">
        <f t="shared" si="243"/>
        <v>-50</v>
      </c>
      <c r="CJ112">
        <f t="shared" si="244"/>
        <v>-50</v>
      </c>
    </row>
    <row r="113" spans="5:88" x14ac:dyDescent="0.25">
      <c r="E113" s="150">
        <v>3</v>
      </c>
      <c r="F113" s="191">
        <f t="shared" si="245"/>
        <v>1.4999999999999999E-2</v>
      </c>
      <c r="G113" s="191">
        <f t="shared" si="183"/>
        <v>3.0000000000000001E-3</v>
      </c>
      <c r="H113" s="191">
        <f t="shared" si="184"/>
        <v>0.22499999999999998</v>
      </c>
      <c r="I113" s="191">
        <f t="shared" si="185"/>
        <v>4.8000000000000001E-2</v>
      </c>
      <c r="J113" s="472">
        <f t="shared" si="186"/>
        <v>9</v>
      </c>
      <c r="K113" s="386">
        <f t="shared" si="187"/>
        <v>7.66</v>
      </c>
      <c r="L113" s="386">
        <f t="shared" si="188"/>
        <v>16.66</v>
      </c>
      <c r="M113" s="386"/>
      <c r="N113" s="191">
        <f t="shared" si="189"/>
        <v>0.45978391356542619</v>
      </c>
      <c r="O113" s="152">
        <f t="shared" si="190"/>
        <v>6.2923449599620076</v>
      </c>
      <c r="P113" s="152">
        <f t="shared" si="191"/>
        <v>1.6287385354141657</v>
      </c>
      <c r="Q113" s="191">
        <f t="shared" si="192"/>
        <v>0.41948966399746718</v>
      </c>
      <c r="R113" s="191">
        <f t="shared" si="193"/>
        <v>0.39327155999762548</v>
      </c>
      <c r="S113" s="191">
        <f t="shared" si="194"/>
        <v>15</v>
      </c>
      <c r="T113" s="191">
        <f t="shared" si="195"/>
        <v>0.14660671114979207</v>
      </c>
      <c r="U113" s="191">
        <f t="shared" si="196"/>
        <v>0.14660671114979204</v>
      </c>
      <c r="V113" s="191">
        <f t="shared" si="197"/>
        <v>0.17225331597234053</v>
      </c>
      <c r="W113" s="175">
        <f t="shared" si="198"/>
        <v>350</v>
      </c>
      <c r="X113" s="386">
        <f t="shared" si="199"/>
        <v>350</v>
      </c>
      <c r="Z113" s="191">
        <f t="shared" si="200"/>
        <v>1.3136683244726464</v>
      </c>
      <c r="AA113" s="153">
        <f t="shared" si="201"/>
        <v>1.5434745326702111</v>
      </c>
      <c r="AB113" s="153">
        <f t="shared" si="202"/>
        <v>0.14622213484608731</v>
      </c>
      <c r="AC113" s="153"/>
      <c r="AD113" s="153">
        <f t="shared" si="203"/>
        <v>0.96344647519582249</v>
      </c>
      <c r="AE113" s="317">
        <f t="shared" si="204"/>
        <v>75.94685702954591</v>
      </c>
      <c r="AF113" s="463">
        <f t="shared" si="205"/>
        <v>6.9127284595300251E-2</v>
      </c>
      <c r="AH113" s="153">
        <f t="shared" si="206"/>
        <v>0.41633319989322654</v>
      </c>
      <c r="AI113" s="153">
        <f t="shared" si="207"/>
        <v>0.82</v>
      </c>
      <c r="AJ113" s="153">
        <f t="shared" si="208"/>
        <v>1.0433982040168834</v>
      </c>
      <c r="AL113" s="317">
        <f t="shared" si="209"/>
        <v>15</v>
      </c>
      <c r="AM113" s="147">
        <f t="shared" si="210"/>
        <v>75.94685702954591</v>
      </c>
      <c r="AO113" s="147">
        <f t="shared" si="211"/>
        <v>15</v>
      </c>
      <c r="AP113" s="147">
        <f t="shared" si="212"/>
        <v>75.94685702954591</v>
      </c>
      <c r="AR113" s="5">
        <f t="shared" si="160"/>
        <v>13.167101827676239</v>
      </c>
      <c r="AS113" s="5">
        <f t="shared" si="213"/>
        <v>0.82</v>
      </c>
      <c r="AT113" s="5">
        <f t="shared" si="214"/>
        <v>12.347101827676239</v>
      </c>
      <c r="AU113" s="153">
        <f t="shared" si="215"/>
        <v>6.2276422764227644E-2</v>
      </c>
      <c r="AW113" s="5">
        <f t="shared" si="216"/>
        <v>8.199999999999999E-2</v>
      </c>
      <c r="AX113" s="5"/>
      <c r="AY113" s="5">
        <f t="shared" si="217"/>
        <v>1.5375000000000002E-2</v>
      </c>
      <c r="AZ113" s="5"/>
      <c r="BA113" s="5">
        <f t="shared" si="218"/>
        <v>0.61797306444826006</v>
      </c>
      <c r="BB113" s="5"/>
      <c r="BC113" s="5"/>
      <c r="BD113" s="153">
        <f t="shared" si="219"/>
        <v>0.11814492042496884</v>
      </c>
      <c r="BE113" s="153">
        <f t="shared" si="220"/>
        <v>0.22922429578423351</v>
      </c>
      <c r="BF113" s="153">
        <f t="shared" si="221"/>
        <v>4.5904787077313165E-2</v>
      </c>
      <c r="BG113" s="153"/>
      <c r="BH113" s="463">
        <f t="shared" si="222"/>
        <v>1.5354044444444441E-3</v>
      </c>
      <c r="BI113" s="463">
        <f t="shared" si="223"/>
        <v>5.1876260162601624E-3</v>
      </c>
      <c r="BJ113" s="463">
        <f t="shared" si="224"/>
        <v>3.7973428514772953E-3</v>
      </c>
      <c r="BK113" s="463">
        <f t="shared" si="225"/>
        <v>4.742881980963713E-3</v>
      </c>
      <c r="BL113">
        <f t="shared" si="226"/>
        <v>2.6099999999999999E-3</v>
      </c>
      <c r="BM113">
        <f t="shared" si="227"/>
        <v>3.0378742811818363E-6</v>
      </c>
      <c r="BN113">
        <f t="shared" si="228"/>
        <v>1.8088696971853023E-2</v>
      </c>
      <c r="BO113" s="147">
        <f t="shared" si="229"/>
        <v>17.873255293145615</v>
      </c>
      <c r="BP113" s="153">
        <f t="shared" si="230"/>
        <v>6.0000000000000001E-3</v>
      </c>
      <c r="BQ113" s="153">
        <f t="shared" si="231"/>
        <v>1.2000000000000001E-3</v>
      </c>
      <c r="BR113" s="463"/>
      <c r="BT113" s="147">
        <f t="shared" si="232"/>
        <v>7.2</v>
      </c>
      <c r="BU113" s="463">
        <f t="shared" si="233"/>
        <v>1.1864488888888888E-3</v>
      </c>
      <c r="BV113" s="463">
        <f t="shared" si="234"/>
        <v>9.9833177777777764E-3</v>
      </c>
      <c r="BW113" s="463">
        <f t="shared" si="235"/>
        <v>1.053624738306729E-4</v>
      </c>
      <c r="BX113" s="463">
        <f t="shared" si="236"/>
        <v>0</v>
      </c>
      <c r="BY113" s="463">
        <f t="shared" si="180"/>
        <v>1.2639545638104767E-2</v>
      </c>
      <c r="BZ113" s="463">
        <f t="shared" si="166"/>
        <v>1.1275129140497338E-2</v>
      </c>
      <c r="CA113" s="549">
        <f t="shared" si="237"/>
        <v>2.5533333333333335E-2</v>
      </c>
      <c r="CB113" s="147">
        <f t="shared" si="238"/>
        <v>60.723137252432778</v>
      </c>
      <c r="CC113" s="153">
        <f t="shared" si="168"/>
        <v>6.3461575943291118E-2</v>
      </c>
      <c r="CD113" s="5">
        <f t="shared" si="239"/>
        <v>0.27299999999999996</v>
      </c>
      <c r="CE113" s="153">
        <f t="shared" si="240"/>
        <v>0.8113853691454288</v>
      </c>
      <c r="CF113" s="5">
        <f t="shared" si="241"/>
        <v>81.138536914542883</v>
      </c>
      <c r="CG113">
        <f t="shared" si="242"/>
        <v>3</v>
      </c>
      <c r="CI113" s="59">
        <f t="shared" si="243"/>
        <v>-50</v>
      </c>
      <c r="CJ113">
        <f t="shared" si="244"/>
        <v>-50</v>
      </c>
    </row>
    <row r="114" spans="5:88" x14ac:dyDescent="0.25">
      <c r="E114" s="150">
        <v>4</v>
      </c>
      <c r="F114" s="191">
        <f t="shared" si="245"/>
        <v>0.02</v>
      </c>
      <c r="G114" s="191">
        <f t="shared" si="183"/>
        <v>4.0000000000000001E-3</v>
      </c>
      <c r="H114" s="191">
        <f t="shared" si="184"/>
        <v>0.3</v>
      </c>
      <c r="I114" s="191">
        <f t="shared" si="185"/>
        <v>6.4000000000000001E-2</v>
      </c>
      <c r="J114" s="472">
        <f t="shared" si="186"/>
        <v>9</v>
      </c>
      <c r="K114" s="386">
        <f t="shared" si="187"/>
        <v>7.66</v>
      </c>
      <c r="L114" s="386">
        <f t="shared" si="188"/>
        <v>16.66</v>
      </c>
      <c r="M114" s="386"/>
      <c r="N114" s="191">
        <f t="shared" si="189"/>
        <v>0.45978391356542619</v>
      </c>
      <c r="O114" s="152">
        <f t="shared" si="190"/>
        <v>6.2923449599620076</v>
      </c>
      <c r="P114" s="152">
        <f t="shared" si="191"/>
        <v>1.6287385354141657</v>
      </c>
      <c r="Q114" s="191">
        <f t="shared" si="192"/>
        <v>0.41948966399746718</v>
      </c>
      <c r="R114" s="191">
        <f t="shared" si="193"/>
        <v>0.39327155999762548</v>
      </c>
      <c r="S114" s="191">
        <f t="shared" si="194"/>
        <v>15</v>
      </c>
      <c r="T114" s="191">
        <f t="shared" si="195"/>
        <v>0.19547561486638945</v>
      </c>
      <c r="U114" s="191">
        <f t="shared" si="196"/>
        <v>0.19547561486638945</v>
      </c>
      <c r="V114" s="191">
        <f t="shared" si="197"/>
        <v>0.22967108796312077</v>
      </c>
      <c r="W114" s="175">
        <f t="shared" si="198"/>
        <v>350</v>
      </c>
      <c r="X114" s="386">
        <f t="shared" si="199"/>
        <v>350</v>
      </c>
      <c r="Z114" s="191">
        <f t="shared" si="200"/>
        <v>1.3136683244726464</v>
      </c>
      <c r="AA114" s="153">
        <f t="shared" si="201"/>
        <v>1.5434745326702111</v>
      </c>
      <c r="AB114" s="153">
        <f t="shared" si="202"/>
        <v>0.14622213484608731</v>
      </c>
      <c r="AC114" s="153"/>
      <c r="AD114" s="153">
        <f t="shared" si="203"/>
        <v>0.96344647519582249</v>
      </c>
      <c r="AE114" s="317">
        <f t="shared" si="204"/>
        <v>101.26247603939454</v>
      </c>
      <c r="AF114" s="463">
        <f t="shared" si="205"/>
        <v>6.9127284595300251E-2</v>
      </c>
      <c r="AH114" s="153">
        <f t="shared" si="206"/>
        <v>0.4807401700618652</v>
      </c>
      <c r="AI114" s="153">
        <f t="shared" si="207"/>
        <v>0.82</v>
      </c>
      <c r="AJ114" s="153">
        <f t="shared" si="208"/>
        <v>1.0578642720225111</v>
      </c>
      <c r="AL114" s="317">
        <f t="shared" si="209"/>
        <v>20</v>
      </c>
      <c r="AM114" s="147">
        <f t="shared" si="210"/>
        <v>101.26247603939454</v>
      </c>
      <c r="AO114" s="147">
        <f t="shared" si="211"/>
        <v>20</v>
      </c>
      <c r="AP114" s="147">
        <f t="shared" si="212"/>
        <v>101.26247603939454</v>
      </c>
      <c r="AR114" s="5">
        <f t="shared" si="160"/>
        <v>9.8753263707571808</v>
      </c>
      <c r="AS114" s="5">
        <f t="shared" si="213"/>
        <v>0.82</v>
      </c>
      <c r="AT114" s="5">
        <f t="shared" si="214"/>
        <v>9.0553263707571805</v>
      </c>
      <c r="AU114" s="153">
        <f t="shared" si="215"/>
        <v>8.3035230352303507E-2</v>
      </c>
      <c r="AW114" s="5">
        <f t="shared" si="216"/>
        <v>0.10933333333333332</v>
      </c>
      <c r="AX114" s="5"/>
      <c r="AY114" s="5">
        <f t="shared" si="217"/>
        <v>2.0500000000000001E-2</v>
      </c>
      <c r="AZ114" s="5"/>
      <c r="BA114" s="5">
        <f t="shared" si="218"/>
        <v>0.6042927174345798</v>
      </c>
      <c r="BB114" s="5"/>
      <c r="BC114" s="5"/>
      <c r="BD114" s="153">
        <f t="shared" si="219"/>
        <v>0.13642200322148534</v>
      </c>
      <c r="BE114" s="153">
        <f t="shared" si="220"/>
        <v>0.22667287573195119</v>
      </c>
      <c r="BF114" s="153">
        <f t="shared" si="221"/>
        <v>4.5393836028934535E-2</v>
      </c>
      <c r="BG114" s="153"/>
      <c r="BH114" s="463">
        <f t="shared" si="222"/>
        <v>2.0472059259259252E-3</v>
      </c>
      <c r="BI114" s="463">
        <f t="shared" si="223"/>
        <v>6.916834688346884E-3</v>
      </c>
      <c r="BJ114" s="463">
        <f t="shared" si="224"/>
        <v>5.0631238019697268E-3</v>
      </c>
      <c r="BK114" s="463">
        <f t="shared" si="225"/>
        <v>6.3238426412849501E-3</v>
      </c>
      <c r="BL114">
        <f t="shared" si="226"/>
        <v>2.6099999999999999E-3</v>
      </c>
      <c r="BM114">
        <f t="shared" si="227"/>
        <v>4.0504990415757815E-6</v>
      </c>
      <c r="BN114">
        <f t="shared" si="228"/>
        <v>2.3250212182432388E-2</v>
      </c>
      <c r="BO114" s="147">
        <f t="shared" si="229"/>
        <v>22.961007057527489</v>
      </c>
      <c r="BP114" s="153">
        <f t="shared" si="230"/>
        <v>8.0000000000000002E-3</v>
      </c>
      <c r="BQ114" s="153">
        <f t="shared" si="231"/>
        <v>1.6000000000000001E-3</v>
      </c>
      <c r="BR114" s="463"/>
      <c r="BT114" s="147">
        <f t="shared" si="232"/>
        <v>9.6000000000000014</v>
      </c>
      <c r="BU114" s="463">
        <f t="shared" si="233"/>
        <v>1.5819318518518516E-3</v>
      </c>
      <c r="BV114" s="463">
        <f t="shared" si="234"/>
        <v>9.7623125925925917E-3</v>
      </c>
      <c r="BW114" s="463">
        <f t="shared" si="235"/>
        <v>1.0303001747108975E-4</v>
      </c>
      <c r="BX114" s="463">
        <f t="shared" si="236"/>
        <v>0</v>
      </c>
      <c r="BY114" s="463">
        <f t="shared" si="180"/>
        <v>1.2832699351870844E-2</v>
      </c>
      <c r="BZ114" s="463">
        <f t="shared" si="166"/>
        <v>1.1447274461915532E-2</v>
      </c>
      <c r="CA114" s="549">
        <f t="shared" si="237"/>
        <v>3.4044444444444447E-2</v>
      </c>
      <c r="CB114" s="147">
        <f t="shared" si="238"/>
        <v>69.771692720146362</v>
      </c>
      <c r="CC114" s="153">
        <f t="shared" si="168"/>
        <v>7.972735597874768E-2</v>
      </c>
      <c r="CD114" s="5">
        <f t="shared" si="239"/>
        <v>0.36399999999999999</v>
      </c>
      <c r="CE114" s="153">
        <f t="shared" si="240"/>
        <v>0.82032355025105497</v>
      </c>
      <c r="CF114" s="5">
        <f t="shared" si="241"/>
        <v>82.032355025105502</v>
      </c>
      <c r="CG114">
        <f t="shared" si="242"/>
        <v>4</v>
      </c>
      <c r="CI114" s="59">
        <f t="shared" si="243"/>
        <v>-50</v>
      </c>
      <c r="CJ114">
        <f t="shared" si="244"/>
        <v>-50</v>
      </c>
    </row>
    <row r="115" spans="5:88" x14ac:dyDescent="0.25">
      <c r="E115" s="150">
        <v>5</v>
      </c>
      <c r="F115" s="191">
        <f t="shared" si="245"/>
        <v>2.5000000000000001E-2</v>
      </c>
      <c r="G115" s="191">
        <f t="shared" si="183"/>
        <v>5.000000000000001E-3</v>
      </c>
      <c r="H115" s="191">
        <f t="shared" si="184"/>
        <v>0.375</v>
      </c>
      <c r="I115" s="191">
        <f t="shared" si="185"/>
        <v>8.0000000000000016E-2</v>
      </c>
      <c r="J115" s="472">
        <f t="shared" si="186"/>
        <v>9</v>
      </c>
      <c r="K115" s="386">
        <f t="shared" si="187"/>
        <v>7.66</v>
      </c>
      <c r="L115" s="386">
        <f t="shared" si="188"/>
        <v>16.66</v>
      </c>
      <c r="M115" s="386"/>
      <c r="N115" s="191">
        <f t="shared" si="189"/>
        <v>0.45978391356542619</v>
      </c>
      <c r="O115" s="152">
        <f t="shared" si="190"/>
        <v>6.2923449599620076</v>
      </c>
      <c r="P115" s="152">
        <f t="shared" si="191"/>
        <v>1.6287385354141657</v>
      </c>
      <c r="Q115" s="191">
        <f t="shared" si="192"/>
        <v>0.41948966399746718</v>
      </c>
      <c r="R115" s="191">
        <f t="shared" si="193"/>
        <v>0.39327155999762548</v>
      </c>
      <c r="S115" s="191">
        <f t="shared" si="194"/>
        <v>15</v>
      </c>
      <c r="T115" s="191">
        <f t="shared" si="195"/>
        <v>0.24434451858298681</v>
      </c>
      <c r="U115" s="191">
        <f t="shared" si="196"/>
        <v>0.24434451858298678</v>
      </c>
      <c r="V115" s="191">
        <f t="shared" si="197"/>
        <v>0.28708885995390093</v>
      </c>
      <c r="W115" s="175">
        <f t="shared" si="198"/>
        <v>350</v>
      </c>
      <c r="X115" s="386">
        <f t="shared" si="199"/>
        <v>350</v>
      </c>
      <c r="Z115" s="191">
        <f t="shared" si="200"/>
        <v>1.3136683244726464</v>
      </c>
      <c r="AA115" s="153">
        <f t="shared" si="201"/>
        <v>1.5434745326702111</v>
      </c>
      <c r="AB115" s="153">
        <f t="shared" si="202"/>
        <v>0.14622213484608731</v>
      </c>
      <c r="AC115" s="153"/>
      <c r="AD115" s="153">
        <f t="shared" si="203"/>
        <v>0.96344647519582249</v>
      </c>
      <c r="AE115" s="317">
        <f t="shared" si="204"/>
        <v>126.5780950492432</v>
      </c>
      <c r="AF115" s="463">
        <f t="shared" si="205"/>
        <v>6.9127284595300251E-2</v>
      </c>
      <c r="AH115" s="153">
        <f t="shared" si="206"/>
        <v>0.53748384988657005</v>
      </c>
      <c r="AI115" s="153">
        <f t="shared" si="207"/>
        <v>0.82</v>
      </c>
      <c r="AJ115" s="153">
        <f t="shared" si="208"/>
        <v>1.072330340028139</v>
      </c>
      <c r="AL115" s="317">
        <f t="shared" si="209"/>
        <v>25</v>
      </c>
      <c r="AM115" s="147">
        <f t="shared" si="210"/>
        <v>126.5780950492432</v>
      </c>
      <c r="AO115" s="147">
        <f t="shared" si="211"/>
        <v>25</v>
      </c>
      <c r="AP115" s="147">
        <f t="shared" si="212"/>
        <v>126.5780950492432</v>
      </c>
      <c r="AR115" s="5">
        <f t="shared" si="160"/>
        <v>7.9002610966057425</v>
      </c>
      <c r="AS115" s="5">
        <f t="shared" ref="AS115:AS178" si="246">L*AI115/J115*1000000</f>
        <v>0.82</v>
      </c>
      <c r="AT115" s="5">
        <f t="shared" ref="AT115:AT178" si="247">AR115-AS115</f>
        <v>7.0802610966057422</v>
      </c>
      <c r="AU115" s="153">
        <f t="shared" ref="AU115:AU178" si="248">AS115/AR115</f>
        <v>0.10379403794037942</v>
      </c>
      <c r="AW115" s="5">
        <f t="shared" si="216"/>
        <v>0.13666666666666666</v>
      </c>
      <c r="AX115" s="5"/>
      <c r="AY115" s="5">
        <f t="shared" si="217"/>
        <v>2.5625000000000002E-2</v>
      </c>
      <c r="AZ115" s="5"/>
      <c r="BA115" s="5">
        <f t="shared" si="218"/>
        <v>0.59061237042089942</v>
      </c>
      <c r="BB115" s="5"/>
      <c r="BC115" s="5"/>
      <c r="BD115" s="153">
        <f t="shared" si="219"/>
        <v>0.15252443641496827</v>
      </c>
      <c r="BE115" s="153">
        <f t="shared" si="220"/>
        <v>0.22409240818779963</v>
      </c>
      <c r="BF115" s="153">
        <f t="shared" si="221"/>
        <v>4.4877067888066537E-2</v>
      </c>
      <c r="BG115" s="153"/>
      <c r="BH115" s="463">
        <f t="shared" si="222"/>
        <v>2.5590074074074072E-3</v>
      </c>
      <c r="BI115" s="463">
        <f t="shared" si="223"/>
        <v>8.6460433604336074E-3</v>
      </c>
      <c r="BJ115" s="463">
        <f t="shared" si="224"/>
        <v>6.3289047524621601E-3</v>
      </c>
      <c r="BK115" s="463">
        <f t="shared" si="225"/>
        <v>7.9048033016061881E-3</v>
      </c>
      <c r="BL115">
        <f t="shared" si="226"/>
        <v>2.6099999999999999E-3</v>
      </c>
      <c r="BM115">
        <f t="shared" si="227"/>
        <v>5.0631238019697283E-6</v>
      </c>
      <c r="BN115">
        <f t="shared" si="228"/>
        <v>2.8412702630104644E-2</v>
      </c>
      <c r="BO115" s="147">
        <f t="shared" si="229"/>
        <v>28.04875882190936</v>
      </c>
      <c r="BP115" s="153">
        <f t="shared" si="230"/>
        <v>1.0000000000000002E-2</v>
      </c>
      <c r="BQ115" s="153">
        <f t="shared" si="231"/>
        <v>2.0000000000000005E-3</v>
      </c>
      <c r="BR115" s="463"/>
      <c r="BT115" s="147">
        <f t="shared" si="232"/>
        <v>12.000000000000002</v>
      </c>
      <c r="BU115" s="463">
        <f t="shared" si="233"/>
        <v>1.9774148148148144E-3</v>
      </c>
      <c r="BV115" s="463">
        <f t="shared" si="234"/>
        <v>9.541307407407407E-3</v>
      </c>
      <c r="BW115" s="463">
        <f t="shared" si="235"/>
        <v>1.0069756111150664E-4</v>
      </c>
      <c r="BX115" s="463">
        <f t="shared" si="236"/>
        <v>0</v>
      </c>
      <c r="BY115" s="463">
        <f t="shared" si="180"/>
        <v>1.3025858390668131E-2</v>
      </c>
      <c r="BZ115" s="463">
        <f t="shared" si="166"/>
        <v>1.1619419783333728E-2</v>
      </c>
      <c r="CA115" s="549">
        <f t="shared" si="237"/>
        <v>4.2555555555555569E-2</v>
      </c>
      <c r="CB115" s="147">
        <f t="shared" si="238"/>
        <v>78.820253512891156</v>
      </c>
      <c r="CC115" s="153">
        <f t="shared" si="168"/>
        <v>9.5994116576328337E-2</v>
      </c>
      <c r="CD115" s="5">
        <f t="shared" si="239"/>
        <v>0.45500000000000002</v>
      </c>
      <c r="CE115" s="153">
        <f t="shared" si="240"/>
        <v>0.8257801423129526</v>
      </c>
      <c r="CF115" s="5">
        <f t="shared" si="241"/>
        <v>82.578014231295256</v>
      </c>
      <c r="CG115">
        <f t="shared" si="242"/>
        <v>5</v>
      </c>
      <c r="CI115" s="59">
        <f t="shared" si="243"/>
        <v>-50</v>
      </c>
      <c r="CJ115">
        <f t="shared" si="244"/>
        <v>-50</v>
      </c>
    </row>
    <row r="116" spans="5:88" x14ac:dyDescent="0.25">
      <c r="E116" s="150">
        <v>6</v>
      </c>
      <c r="F116" s="191">
        <f t="shared" si="245"/>
        <v>0.03</v>
      </c>
      <c r="G116" s="191">
        <f t="shared" si="183"/>
        <v>6.0000000000000001E-3</v>
      </c>
      <c r="H116" s="191">
        <f t="shared" si="184"/>
        <v>0.44999999999999996</v>
      </c>
      <c r="I116" s="191">
        <f t="shared" si="185"/>
        <v>9.6000000000000002E-2</v>
      </c>
      <c r="J116" s="472">
        <f t="shared" si="186"/>
        <v>9</v>
      </c>
      <c r="K116" s="386">
        <f t="shared" si="187"/>
        <v>7.66</v>
      </c>
      <c r="L116" s="386">
        <f t="shared" si="188"/>
        <v>16.66</v>
      </c>
      <c r="M116" s="386"/>
      <c r="N116" s="191">
        <f t="shared" si="189"/>
        <v>0.45978391356542619</v>
      </c>
      <c r="O116" s="152">
        <f t="shared" si="190"/>
        <v>6.2923449599620076</v>
      </c>
      <c r="P116" s="152">
        <f t="shared" si="191"/>
        <v>1.6287385354141657</v>
      </c>
      <c r="Q116" s="191">
        <f t="shared" si="192"/>
        <v>0.41948966399746718</v>
      </c>
      <c r="R116" s="191">
        <f t="shared" si="193"/>
        <v>0.39327155999762548</v>
      </c>
      <c r="S116" s="191">
        <f t="shared" si="194"/>
        <v>15</v>
      </c>
      <c r="T116" s="191">
        <f t="shared" si="195"/>
        <v>0.29321342229958414</v>
      </c>
      <c r="U116" s="191">
        <f t="shared" si="196"/>
        <v>0.29321342229958408</v>
      </c>
      <c r="V116" s="191">
        <f t="shared" si="197"/>
        <v>0.34450663194468106</v>
      </c>
      <c r="W116" s="175">
        <f t="shared" si="198"/>
        <v>350</v>
      </c>
      <c r="X116" s="386">
        <f t="shared" si="199"/>
        <v>350</v>
      </c>
      <c r="Z116" s="191">
        <f t="shared" si="200"/>
        <v>1.3136683244726464</v>
      </c>
      <c r="AA116" s="153">
        <f t="shared" si="201"/>
        <v>1.5434745326702111</v>
      </c>
      <c r="AB116" s="153">
        <f t="shared" si="202"/>
        <v>0.14622213484608731</v>
      </c>
      <c r="AC116" s="153"/>
      <c r="AD116" s="153">
        <f t="shared" si="203"/>
        <v>0.96344647519582249</v>
      </c>
      <c r="AE116" s="317">
        <f t="shared" si="204"/>
        <v>151.89371405909182</v>
      </c>
      <c r="AF116" s="463">
        <f t="shared" si="205"/>
        <v>6.9127284595300251E-2</v>
      </c>
      <c r="AH116" s="153">
        <f t="shared" si="206"/>
        <v>0.58878405775518972</v>
      </c>
      <c r="AI116" s="153">
        <f t="shared" si="207"/>
        <v>0.82</v>
      </c>
      <c r="AJ116" s="153">
        <f t="shared" si="208"/>
        <v>1.0867964080337669</v>
      </c>
      <c r="AL116" s="317">
        <f t="shared" si="209"/>
        <v>30</v>
      </c>
      <c r="AM116" s="147">
        <f t="shared" si="210"/>
        <v>151.89371405909182</v>
      </c>
      <c r="AO116" s="147">
        <f t="shared" si="211"/>
        <v>30</v>
      </c>
      <c r="AP116" s="147">
        <f t="shared" si="212"/>
        <v>151.89371405909182</v>
      </c>
      <c r="AR116" s="5">
        <f t="shared" si="160"/>
        <v>6.5835509138381196</v>
      </c>
      <c r="AS116" s="5">
        <f t="shared" si="246"/>
        <v>0.82</v>
      </c>
      <c r="AT116" s="5">
        <f t="shared" si="247"/>
        <v>5.7635509138381193</v>
      </c>
      <c r="AU116" s="153">
        <f t="shared" si="248"/>
        <v>0.12455284552845529</v>
      </c>
      <c r="AW116" s="5">
        <f t="shared" si="216"/>
        <v>0.16399999999999998</v>
      </c>
      <c r="AX116" s="5"/>
      <c r="AY116" s="5">
        <f t="shared" si="217"/>
        <v>3.0750000000000003E-2</v>
      </c>
      <c r="AZ116" s="5"/>
      <c r="BA116" s="5">
        <f t="shared" si="218"/>
        <v>0.57693202340721905</v>
      </c>
      <c r="BB116" s="5"/>
      <c r="BC116" s="5"/>
      <c r="BD116" s="153">
        <f t="shared" si="219"/>
        <v>0.16708214879048103</v>
      </c>
      <c r="BE116" s="153">
        <f t="shared" si="220"/>
        <v>0.22148187786413184</v>
      </c>
      <c r="BF116" s="153">
        <f t="shared" si="221"/>
        <v>4.43542793317451E-2</v>
      </c>
      <c r="BG116" s="153"/>
      <c r="BH116" s="463">
        <f t="shared" si="222"/>
        <v>3.0708088888888887E-3</v>
      </c>
      <c r="BI116" s="463">
        <f t="shared" si="223"/>
        <v>1.0375252032520325E-2</v>
      </c>
      <c r="BJ116" s="463">
        <f t="shared" si="224"/>
        <v>7.5946857029545907E-3</v>
      </c>
      <c r="BK116" s="463">
        <f t="shared" si="225"/>
        <v>9.4857639619274261E-3</v>
      </c>
      <c r="BL116">
        <f t="shared" si="226"/>
        <v>2.6099999999999999E-3</v>
      </c>
      <c r="BM116">
        <f t="shared" si="227"/>
        <v>6.0757485623636726E-6</v>
      </c>
      <c r="BN116">
        <f t="shared" si="228"/>
        <v>3.3576168591293636E-2</v>
      </c>
      <c r="BO116" s="147">
        <f t="shared" si="229"/>
        <v>33.13651058629123</v>
      </c>
      <c r="BP116" s="153">
        <f t="shared" si="230"/>
        <v>1.2E-2</v>
      </c>
      <c r="BQ116" s="153">
        <f t="shared" si="231"/>
        <v>2.4000000000000002E-3</v>
      </c>
      <c r="BR116" s="463"/>
      <c r="BT116" s="147">
        <f t="shared" si="232"/>
        <v>14.4</v>
      </c>
      <c r="BU116" s="463">
        <f t="shared" si="233"/>
        <v>2.3728977777777776E-3</v>
      </c>
      <c r="BV116" s="463">
        <f t="shared" si="234"/>
        <v>9.3203022222222206E-3</v>
      </c>
      <c r="BW116" s="463">
        <f t="shared" si="235"/>
        <v>9.8365104751923523E-5</v>
      </c>
      <c r="BX116" s="463">
        <f t="shared" si="236"/>
        <v>0</v>
      </c>
      <c r="BY116" s="463">
        <f t="shared" si="180"/>
        <v>1.3219022754716828E-2</v>
      </c>
      <c r="BZ116" s="463">
        <f t="shared" si="166"/>
        <v>1.1791565104751921E-2</v>
      </c>
      <c r="CA116" s="549">
        <f t="shared" si="237"/>
        <v>5.106666666666667E-2</v>
      </c>
      <c r="CB116" s="147">
        <f t="shared" si="238"/>
        <v>87.86881963088733</v>
      </c>
      <c r="CC116" s="153">
        <f t="shared" si="168"/>
        <v>0.11226185801267713</v>
      </c>
      <c r="CD116" s="5">
        <f t="shared" si="239"/>
        <v>0.54599999999999993</v>
      </c>
      <c r="CE116" s="153">
        <f t="shared" si="240"/>
        <v>0.82945714285861727</v>
      </c>
      <c r="CF116" s="5">
        <f t="shared" si="241"/>
        <v>82.945714285861726</v>
      </c>
      <c r="CG116">
        <f t="shared" si="242"/>
        <v>6</v>
      </c>
      <c r="CI116" s="59">
        <f t="shared" si="243"/>
        <v>-50</v>
      </c>
      <c r="CJ116">
        <f t="shared" si="244"/>
        <v>-50</v>
      </c>
    </row>
    <row r="117" spans="5:88" x14ac:dyDescent="0.25">
      <c r="E117" s="150">
        <v>7</v>
      </c>
      <c r="F117" s="191">
        <f t="shared" si="245"/>
        <v>3.5000000000000003E-2</v>
      </c>
      <c r="G117" s="191">
        <f t="shared" si="183"/>
        <v>7.000000000000001E-3</v>
      </c>
      <c r="H117" s="191">
        <f t="shared" si="184"/>
        <v>0.52500000000000002</v>
      </c>
      <c r="I117" s="191">
        <f t="shared" si="185"/>
        <v>0.11200000000000002</v>
      </c>
      <c r="J117" s="472">
        <f t="shared" si="186"/>
        <v>9</v>
      </c>
      <c r="K117" s="386">
        <f t="shared" si="187"/>
        <v>7.66</v>
      </c>
      <c r="L117" s="386">
        <f t="shared" si="188"/>
        <v>16.66</v>
      </c>
      <c r="M117" s="386"/>
      <c r="N117" s="191">
        <f t="shared" si="189"/>
        <v>0.45978391356542619</v>
      </c>
      <c r="O117" s="152">
        <f t="shared" si="190"/>
        <v>6.2923449599620076</v>
      </c>
      <c r="P117" s="152">
        <f t="shared" si="191"/>
        <v>1.6287385354141657</v>
      </c>
      <c r="Q117" s="191">
        <f t="shared" si="192"/>
        <v>0.41948966399746718</v>
      </c>
      <c r="R117" s="191">
        <f t="shared" si="193"/>
        <v>0.39327155999762548</v>
      </c>
      <c r="S117" s="191">
        <f t="shared" si="194"/>
        <v>15</v>
      </c>
      <c r="T117" s="191">
        <f t="shared" si="195"/>
        <v>0.34208232601618155</v>
      </c>
      <c r="U117" s="191">
        <f t="shared" si="196"/>
        <v>0.3420823260161816</v>
      </c>
      <c r="V117" s="191">
        <f t="shared" si="197"/>
        <v>0.40192440393546136</v>
      </c>
      <c r="W117" s="175">
        <f t="shared" si="198"/>
        <v>350</v>
      </c>
      <c r="X117" s="386">
        <f t="shared" si="199"/>
        <v>350</v>
      </c>
      <c r="Z117" s="191">
        <f t="shared" si="200"/>
        <v>1.3136683244726464</v>
      </c>
      <c r="AA117" s="153">
        <f t="shared" si="201"/>
        <v>1.5434745326702111</v>
      </c>
      <c r="AB117" s="153">
        <f t="shared" si="202"/>
        <v>0.14622213484608731</v>
      </c>
      <c r="AC117" s="153"/>
      <c r="AD117" s="153">
        <f t="shared" si="203"/>
        <v>0.96344647519582249</v>
      </c>
      <c r="AE117" s="317">
        <f t="shared" si="204"/>
        <v>177.20933306894048</v>
      </c>
      <c r="AF117" s="463">
        <f t="shared" si="205"/>
        <v>6.9127284595300251E-2</v>
      </c>
      <c r="AH117" s="153">
        <f t="shared" si="206"/>
        <v>0.63595946761129707</v>
      </c>
      <c r="AI117" s="153">
        <f t="shared" si="207"/>
        <v>0.82</v>
      </c>
      <c r="AJ117" s="153">
        <f t="shared" si="208"/>
        <v>1.1012624760393945</v>
      </c>
      <c r="AL117" s="317">
        <f t="shared" si="209"/>
        <v>35</v>
      </c>
      <c r="AM117" s="147">
        <f t="shared" si="210"/>
        <v>177.20933306894048</v>
      </c>
      <c r="AO117" s="147">
        <f t="shared" si="211"/>
        <v>35</v>
      </c>
      <c r="AP117" s="147">
        <f t="shared" si="212"/>
        <v>177.20933306894048</v>
      </c>
      <c r="AR117" s="5">
        <f t="shared" si="160"/>
        <v>5.6430436404326736</v>
      </c>
      <c r="AS117" s="5">
        <f t="shared" si="246"/>
        <v>0.82</v>
      </c>
      <c r="AT117" s="5">
        <f t="shared" si="247"/>
        <v>4.8230436404326733</v>
      </c>
      <c r="AU117" s="153">
        <f t="shared" si="248"/>
        <v>0.14531165311653119</v>
      </c>
      <c r="AW117" s="5">
        <f t="shared" si="216"/>
        <v>0.19133333333333333</v>
      </c>
      <c r="AX117" s="5"/>
      <c r="AY117" s="5">
        <f t="shared" si="217"/>
        <v>3.5875000000000004E-2</v>
      </c>
      <c r="AZ117" s="5"/>
      <c r="BA117" s="5">
        <f t="shared" si="218"/>
        <v>0.56325167639353879</v>
      </c>
      <c r="BB117" s="5"/>
      <c r="BC117" s="5"/>
      <c r="BD117" s="153">
        <f t="shared" si="219"/>
        <v>0.18046934694065137</v>
      </c>
      <c r="BE117" s="153">
        <f t="shared" si="220"/>
        <v>0.21884020891288927</v>
      </c>
      <c r="BF117" s="153">
        <f t="shared" si="221"/>
        <v>4.3825254909091033E-2</v>
      </c>
      <c r="BG117" s="153"/>
      <c r="BH117" s="463">
        <f t="shared" si="222"/>
        <v>3.5826103703703706E-3</v>
      </c>
      <c r="BI117" s="463">
        <f t="shared" si="223"/>
        <v>1.2104460704607047E-2</v>
      </c>
      <c r="BJ117" s="463">
        <f t="shared" si="224"/>
        <v>8.8604666534470248E-3</v>
      </c>
      <c r="BK117" s="463">
        <f t="shared" si="225"/>
        <v>1.1066724622248664E-2</v>
      </c>
      <c r="BL117">
        <f t="shared" si="226"/>
        <v>2.6099999999999999E-3</v>
      </c>
      <c r="BM117">
        <f t="shared" si="227"/>
        <v>7.0883733227576195E-6</v>
      </c>
      <c r="BN117">
        <f t="shared" si="228"/>
        <v>3.8740610342527695E-2</v>
      </c>
      <c r="BO117" s="147">
        <f t="shared" si="229"/>
        <v>38.224262350673101</v>
      </c>
      <c r="BP117" s="153">
        <f t="shared" si="230"/>
        <v>1.4000000000000002E-2</v>
      </c>
      <c r="BQ117" s="153">
        <f t="shared" si="231"/>
        <v>2.8000000000000004E-3</v>
      </c>
      <c r="BR117" s="463"/>
      <c r="BT117" s="147">
        <f t="shared" si="232"/>
        <v>16.8</v>
      </c>
      <c r="BU117" s="463">
        <f t="shared" si="233"/>
        <v>2.7683807407407413E-3</v>
      </c>
      <c r="BV117" s="463">
        <f t="shared" si="234"/>
        <v>9.0992970370370341E-3</v>
      </c>
      <c r="BW117" s="463">
        <f t="shared" si="235"/>
        <v>9.603264839234038E-5</v>
      </c>
      <c r="BX117" s="463">
        <f t="shared" si="236"/>
        <v>0</v>
      </c>
      <c r="BY117" s="463">
        <f t="shared" si="180"/>
        <v>1.3412192444237166E-2</v>
      </c>
      <c r="BZ117" s="463">
        <f t="shared" si="166"/>
        <v>1.1963710426170117E-2</v>
      </c>
      <c r="CA117" s="549">
        <f t="shared" si="237"/>
        <v>5.9577777777777792E-2</v>
      </c>
      <c r="CB117" s="147">
        <f t="shared" si="238"/>
        <v>96.917391074355194</v>
      </c>
      <c r="CC117" s="153">
        <f t="shared" si="168"/>
        <v>0.12853058056454264</v>
      </c>
      <c r="CD117" s="5">
        <f t="shared" si="239"/>
        <v>0.63700000000000001</v>
      </c>
      <c r="CE117" s="153">
        <f t="shared" si="240"/>
        <v>0.83210261767758842</v>
      </c>
      <c r="CF117" s="5">
        <f t="shared" si="241"/>
        <v>83.210261767758837</v>
      </c>
      <c r="CG117">
        <f t="shared" si="242"/>
        <v>7.0000000000000009</v>
      </c>
      <c r="CI117" s="59">
        <f t="shared" si="243"/>
        <v>-50</v>
      </c>
      <c r="CJ117">
        <f t="shared" si="244"/>
        <v>-50</v>
      </c>
    </row>
    <row r="118" spans="5:88" x14ac:dyDescent="0.25">
      <c r="E118" s="150">
        <v>8</v>
      </c>
      <c r="F118" s="191">
        <f t="shared" si="245"/>
        <v>0.04</v>
      </c>
      <c r="G118" s="191">
        <f t="shared" si="183"/>
        <v>8.0000000000000002E-3</v>
      </c>
      <c r="H118" s="191">
        <f t="shared" si="184"/>
        <v>0.6</v>
      </c>
      <c r="I118" s="191">
        <f t="shared" si="185"/>
        <v>0.128</v>
      </c>
      <c r="J118" s="472">
        <f t="shared" si="186"/>
        <v>9</v>
      </c>
      <c r="K118" s="386">
        <f t="shared" si="187"/>
        <v>7.66</v>
      </c>
      <c r="L118" s="386">
        <f t="shared" si="188"/>
        <v>16.66</v>
      </c>
      <c r="M118" s="386"/>
      <c r="N118" s="191">
        <f t="shared" si="189"/>
        <v>0.45978391356542619</v>
      </c>
      <c r="O118" s="152">
        <f t="shared" si="190"/>
        <v>6.2923449599620076</v>
      </c>
      <c r="P118" s="152">
        <f t="shared" si="191"/>
        <v>1.6287385354141657</v>
      </c>
      <c r="Q118" s="191">
        <f t="shared" si="192"/>
        <v>0.41948966399746718</v>
      </c>
      <c r="R118" s="191">
        <f t="shared" si="193"/>
        <v>0.39327155999762548</v>
      </c>
      <c r="S118" s="191">
        <f t="shared" si="194"/>
        <v>15</v>
      </c>
      <c r="T118" s="191">
        <f t="shared" si="195"/>
        <v>0.3909512297327789</v>
      </c>
      <c r="U118" s="191">
        <f t="shared" si="196"/>
        <v>0.3909512297327789</v>
      </c>
      <c r="V118" s="191">
        <f t="shared" si="197"/>
        <v>0.45934217592624155</v>
      </c>
      <c r="W118" s="175">
        <f t="shared" si="198"/>
        <v>350</v>
      </c>
      <c r="X118" s="386">
        <f t="shared" si="199"/>
        <v>350</v>
      </c>
      <c r="Z118" s="191">
        <f t="shared" si="200"/>
        <v>1.3136683244726464</v>
      </c>
      <c r="AA118" s="153">
        <f t="shared" si="201"/>
        <v>1.5434745326702111</v>
      </c>
      <c r="AB118" s="153">
        <f t="shared" si="202"/>
        <v>0.14622213484608731</v>
      </c>
      <c r="AC118" s="153"/>
      <c r="AD118" s="153">
        <f t="shared" si="203"/>
        <v>0.96344647519582249</v>
      </c>
      <c r="AE118" s="317">
        <f t="shared" si="204"/>
        <v>202.52495207878908</v>
      </c>
      <c r="AF118" s="463">
        <f t="shared" si="205"/>
        <v>6.9127284595300251E-2</v>
      </c>
      <c r="AH118" s="153">
        <f t="shared" si="206"/>
        <v>0.67986926847903795</v>
      </c>
      <c r="AI118" s="153">
        <f t="shared" si="207"/>
        <v>0.82</v>
      </c>
      <c r="AJ118" s="153">
        <f t="shared" si="208"/>
        <v>1.1157285440450224</v>
      </c>
      <c r="AL118" s="317">
        <f t="shared" si="209"/>
        <v>40</v>
      </c>
      <c r="AM118" s="147">
        <f t="shared" si="210"/>
        <v>202.52495207878908</v>
      </c>
      <c r="AO118" s="147">
        <f t="shared" si="211"/>
        <v>40</v>
      </c>
      <c r="AP118" s="147">
        <f t="shared" si="212"/>
        <v>202.52495207878908</v>
      </c>
      <c r="AR118" s="5">
        <f t="shared" si="160"/>
        <v>4.9376631853785904</v>
      </c>
      <c r="AS118" s="5">
        <f t="shared" si="246"/>
        <v>0.82</v>
      </c>
      <c r="AT118" s="5">
        <f t="shared" si="247"/>
        <v>4.1176631853785901</v>
      </c>
      <c r="AU118" s="153">
        <f t="shared" si="248"/>
        <v>0.16607046070460701</v>
      </c>
      <c r="AW118" s="5">
        <f t="shared" si="216"/>
        <v>0.21866666666666665</v>
      </c>
      <c r="AX118" s="5"/>
      <c r="AY118" s="5">
        <f t="shared" si="217"/>
        <v>4.1000000000000002E-2</v>
      </c>
      <c r="AZ118" s="5"/>
      <c r="BA118" s="5">
        <f t="shared" si="218"/>
        <v>0.54957132937985842</v>
      </c>
      <c r="BB118" s="5"/>
      <c r="BC118" s="5"/>
      <c r="BD118" s="153">
        <f t="shared" si="219"/>
        <v>0.19292984716193065</v>
      </c>
      <c r="BE118" s="153">
        <f t="shared" si="220"/>
        <v>0.21616625974432699</v>
      </c>
      <c r="BF118" s="153">
        <f t="shared" si="221"/>
        <v>4.3289766003700519E-2</v>
      </c>
      <c r="BG118" s="153"/>
      <c r="BH118" s="463">
        <f t="shared" si="222"/>
        <v>4.0944118518518513E-3</v>
      </c>
      <c r="BI118" s="463">
        <f t="shared" si="223"/>
        <v>1.3833669376693768E-2</v>
      </c>
      <c r="BJ118" s="463">
        <f t="shared" si="224"/>
        <v>1.0126247603939454E-2</v>
      </c>
      <c r="BK118" s="463">
        <f t="shared" si="225"/>
        <v>1.26476852825699E-2</v>
      </c>
      <c r="BL118">
        <f t="shared" si="226"/>
        <v>2.6099999999999999E-3</v>
      </c>
      <c r="BM118">
        <f t="shared" si="227"/>
        <v>8.1009980831515629E-6</v>
      </c>
      <c r="BN118">
        <f t="shared" si="228"/>
        <v>4.3906028160439647E-2</v>
      </c>
      <c r="BO118" s="147">
        <f t="shared" si="229"/>
        <v>43.312014115054978</v>
      </c>
      <c r="BP118" s="153">
        <f t="shared" si="230"/>
        <v>1.6E-2</v>
      </c>
      <c r="BQ118" s="153">
        <f t="shared" si="231"/>
        <v>3.2000000000000002E-3</v>
      </c>
      <c r="BR118" s="463"/>
      <c r="BT118" s="147">
        <f t="shared" si="232"/>
        <v>19.200000000000003</v>
      </c>
      <c r="BU118" s="463">
        <f t="shared" si="233"/>
        <v>3.1638637037037036E-3</v>
      </c>
      <c r="BV118" s="463">
        <f t="shared" si="234"/>
        <v>8.8782918518518494E-3</v>
      </c>
      <c r="BW118" s="463">
        <f t="shared" si="235"/>
        <v>9.3700192032757264E-5</v>
      </c>
      <c r="BX118" s="463">
        <f t="shared" si="236"/>
        <v>0</v>
      </c>
      <c r="BY118" s="463">
        <f t="shared" si="180"/>
        <v>1.3605367459449376E-2</v>
      </c>
      <c r="BZ118" s="463">
        <f t="shared" si="166"/>
        <v>1.2135855747588312E-2</v>
      </c>
      <c r="CA118" s="549">
        <f t="shared" si="237"/>
        <v>6.8088888888888893E-2</v>
      </c>
      <c r="CB118" s="147">
        <f t="shared" si="238"/>
        <v>105.96596784351489</v>
      </c>
      <c r="CC118" s="153">
        <f t="shared" si="168"/>
        <v>0.14480028450877791</v>
      </c>
      <c r="CD118" s="5">
        <f t="shared" si="239"/>
        <v>0.72799999999999998</v>
      </c>
      <c r="CE118" s="153">
        <f t="shared" si="240"/>
        <v>0.83409688667749093</v>
      </c>
      <c r="CF118" s="5">
        <f t="shared" si="241"/>
        <v>83.409688667749094</v>
      </c>
      <c r="CG118">
        <f t="shared" si="242"/>
        <v>8</v>
      </c>
      <c r="CI118" s="59">
        <f t="shared" si="243"/>
        <v>-50</v>
      </c>
      <c r="CJ118">
        <f t="shared" si="244"/>
        <v>-50</v>
      </c>
    </row>
    <row r="119" spans="5:88" x14ac:dyDescent="0.25">
      <c r="E119" s="150">
        <v>9</v>
      </c>
      <c r="F119" s="191">
        <f t="shared" si="245"/>
        <v>4.4999999999999998E-2</v>
      </c>
      <c r="G119" s="191">
        <f t="shared" si="183"/>
        <v>8.9999999999999993E-3</v>
      </c>
      <c r="H119" s="191">
        <f t="shared" si="184"/>
        <v>0.67499999999999993</v>
      </c>
      <c r="I119" s="191">
        <f t="shared" si="185"/>
        <v>0.14399999999999999</v>
      </c>
      <c r="J119" s="472">
        <f t="shared" si="186"/>
        <v>9</v>
      </c>
      <c r="K119" s="386">
        <f t="shared" si="187"/>
        <v>7.66</v>
      </c>
      <c r="L119" s="386">
        <f t="shared" si="188"/>
        <v>16.66</v>
      </c>
      <c r="M119" s="386"/>
      <c r="N119" s="191">
        <f t="shared" si="189"/>
        <v>0.45978391356542619</v>
      </c>
      <c r="O119" s="152">
        <f t="shared" si="190"/>
        <v>6.2923449599620076</v>
      </c>
      <c r="P119" s="152">
        <f t="shared" si="191"/>
        <v>1.6287385354141657</v>
      </c>
      <c r="Q119" s="191">
        <f t="shared" si="192"/>
        <v>0.41948966399746718</v>
      </c>
      <c r="R119" s="191">
        <f t="shared" si="193"/>
        <v>0.39327155999762548</v>
      </c>
      <c r="S119" s="191">
        <f t="shared" si="194"/>
        <v>15</v>
      </c>
      <c r="T119" s="191">
        <f t="shared" si="195"/>
        <v>0.4398201334493762</v>
      </c>
      <c r="U119" s="191">
        <f t="shared" si="196"/>
        <v>0.43982013344937626</v>
      </c>
      <c r="V119" s="191">
        <f t="shared" si="197"/>
        <v>0.51675994791702162</v>
      </c>
      <c r="W119" s="175">
        <f t="shared" si="198"/>
        <v>350</v>
      </c>
      <c r="X119" s="386">
        <f t="shared" si="199"/>
        <v>350</v>
      </c>
      <c r="Z119" s="191">
        <f t="shared" si="200"/>
        <v>1.3136683244726464</v>
      </c>
      <c r="AA119" s="153">
        <f t="shared" si="201"/>
        <v>1.5434745326702111</v>
      </c>
      <c r="AB119" s="153">
        <f t="shared" si="202"/>
        <v>0.14622213484608731</v>
      </c>
      <c r="AC119" s="153"/>
      <c r="AD119" s="153">
        <f t="shared" si="203"/>
        <v>0.96344647519582249</v>
      </c>
      <c r="AE119" s="317">
        <f t="shared" si="204"/>
        <v>227.84057108863772</v>
      </c>
      <c r="AF119" s="463">
        <f t="shared" si="205"/>
        <v>6.9127284595300251E-2</v>
      </c>
      <c r="AH119" s="153">
        <f t="shared" si="206"/>
        <v>0.72111025509279791</v>
      </c>
      <c r="AI119" s="153">
        <f t="shared" si="207"/>
        <v>0.82</v>
      </c>
      <c r="AJ119" s="153">
        <f t="shared" si="208"/>
        <v>1.1301946120506501</v>
      </c>
      <c r="AL119" s="317">
        <f t="shared" si="209"/>
        <v>45</v>
      </c>
      <c r="AM119" s="147">
        <f t="shared" si="210"/>
        <v>227.84057108863772</v>
      </c>
      <c r="AO119" s="147">
        <f t="shared" si="211"/>
        <v>45</v>
      </c>
      <c r="AP119" s="147">
        <f t="shared" si="212"/>
        <v>227.84057108863772</v>
      </c>
      <c r="AR119" s="5">
        <f t="shared" si="160"/>
        <v>4.389033942558747</v>
      </c>
      <c r="AS119" s="5">
        <f t="shared" si="246"/>
        <v>0.82</v>
      </c>
      <c r="AT119" s="5">
        <f t="shared" si="247"/>
        <v>3.5690339425587472</v>
      </c>
      <c r="AU119" s="153">
        <f t="shared" si="248"/>
        <v>0.1868292682926829</v>
      </c>
      <c r="AW119" s="5">
        <f t="shared" si="216"/>
        <v>0.24599999999999997</v>
      </c>
      <c r="AX119" s="5"/>
      <c r="AY119" s="5">
        <f t="shared" si="217"/>
        <v>4.6124999999999999E-2</v>
      </c>
      <c r="AZ119" s="5"/>
      <c r="BA119" s="5">
        <f t="shared" si="218"/>
        <v>0.53589098236617805</v>
      </c>
      <c r="BB119" s="5"/>
      <c r="BC119" s="5"/>
      <c r="BD119" s="153">
        <f t="shared" si="219"/>
        <v>0.20463300483222802</v>
      </c>
      <c r="BE119" s="153">
        <f t="shared" si="220"/>
        <v>0.21345881726147237</v>
      </c>
      <c r="BF119" s="153">
        <f t="shared" si="221"/>
        <v>4.2747569679029498E-2</v>
      </c>
      <c r="BG119" s="153"/>
      <c r="BH119" s="463">
        <f t="shared" si="222"/>
        <v>4.6062133333333319E-3</v>
      </c>
      <c r="BI119" s="463">
        <f t="shared" si="223"/>
        <v>1.5562878048780489E-2</v>
      </c>
      <c r="BJ119" s="463">
        <f t="shared" si="224"/>
        <v>1.1392028554431886E-2</v>
      </c>
      <c r="BK119" s="463">
        <f t="shared" si="225"/>
        <v>1.4228645942891137E-2</v>
      </c>
      <c r="BL119">
        <f t="shared" si="226"/>
        <v>2.6099999999999999E-3</v>
      </c>
      <c r="BM119">
        <f t="shared" si="227"/>
        <v>9.1136228435455081E-6</v>
      </c>
      <c r="BN119">
        <f t="shared" si="228"/>
        <v>4.907242232176693E-2</v>
      </c>
      <c r="BO119" s="147">
        <f t="shared" si="229"/>
        <v>48.399765879436849</v>
      </c>
      <c r="BP119" s="153">
        <f t="shared" si="230"/>
        <v>1.7999999999999999E-2</v>
      </c>
      <c r="BQ119" s="153">
        <f t="shared" si="231"/>
        <v>3.5999999999999999E-3</v>
      </c>
      <c r="BR119" s="463"/>
      <c r="BT119" s="147">
        <f t="shared" si="232"/>
        <v>21.599999999999998</v>
      </c>
      <c r="BU119" s="463">
        <f t="shared" si="233"/>
        <v>3.559346666666666E-3</v>
      </c>
      <c r="BV119" s="463">
        <f t="shared" si="234"/>
        <v>8.6572866666666647E-3</v>
      </c>
      <c r="BW119" s="463">
        <f t="shared" si="235"/>
        <v>9.1367735673174107E-5</v>
      </c>
      <c r="BX119" s="463">
        <f t="shared" si="236"/>
        <v>0</v>
      </c>
      <c r="BY119" s="463">
        <f t="shared" si="180"/>
        <v>1.3798547800573702E-2</v>
      </c>
      <c r="BZ119" s="463">
        <f t="shared" si="166"/>
        <v>1.2308001069006504E-2</v>
      </c>
      <c r="CA119" s="549">
        <f t="shared" si="237"/>
        <v>7.6600000000000001E-2</v>
      </c>
      <c r="CB119" s="147">
        <f t="shared" si="238"/>
        <v>115.01454993858671</v>
      </c>
      <c r="CC119" s="153">
        <f t="shared" si="168"/>
        <v>0.16107097012234062</v>
      </c>
      <c r="CD119" s="5">
        <f t="shared" si="239"/>
        <v>0.81899999999999995</v>
      </c>
      <c r="CE119" s="153">
        <f t="shared" si="240"/>
        <v>0.83565376892835175</v>
      </c>
      <c r="CF119" s="5">
        <f t="shared" si="241"/>
        <v>83.565376892835175</v>
      </c>
      <c r="CG119">
        <f t="shared" si="242"/>
        <v>9</v>
      </c>
      <c r="CI119" s="59">
        <f t="shared" si="243"/>
        <v>-50</v>
      </c>
      <c r="CJ119">
        <f t="shared" si="244"/>
        <v>-50</v>
      </c>
    </row>
    <row r="120" spans="5:88" x14ac:dyDescent="0.25">
      <c r="E120" s="150">
        <v>10</v>
      </c>
      <c r="F120" s="191">
        <f t="shared" si="245"/>
        <v>0.05</v>
      </c>
      <c r="G120" s="191">
        <f t="shared" si="183"/>
        <v>1.0000000000000002E-2</v>
      </c>
      <c r="H120" s="191">
        <f t="shared" si="184"/>
        <v>0.75</v>
      </c>
      <c r="I120" s="191">
        <f t="shared" si="185"/>
        <v>0.16000000000000003</v>
      </c>
      <c r="J120" s="472">
        <f t="shared" si="186"/>
        <v>9</v>
      </c>
      <c r="K120" s="386">
        <f t="shared" si="187"/>
        <v>7.66</v>
      </c>
      <c r="L120" s="386">
        <f t="shared" si="188"/>
        <v>16.66</v>
      </c>
      <c r="M120" s="386"/>
      <c r="N120" s="191">
        <f t="shared" si="189"/>
        <v>0.45978391356542619</v>
      </c>
      <c r="O120" s="152">
        <f t="shared" si="190"/>
        <v>6.2923449599620076</v>
      </c>
      <c r="P120" s="152">
        <f t="shared" si="191"/>
        <v>1.6287385354141657</v>
      </c>
      <c r="Q120" s="191">
        <f t="shared" si="192"/>
        <v>0.41948966399746718</v>
      </c>
      <c r="R120" s="191">
        <f t="shared" si="193"/>
        <v>0.39327155999762548</v>
      </c>
      <c r="S120" s="191">
        <f t="shared" si="194"/>
        <v>15</v>
      </c>
      <c r="T120" s="191">
        <f t="shared" si="195"/>
        <v>0.48868903716597362</v>
      </c>
      <c r="U120" s="191">
        <f t="shared" si="196"/>
        <v>0.48868903716597356</v>
      </c>
      <c r="V120" s="191">
        <f t="shared" si="197"/>
        <v>0.57417771990780186</v>
      </c>
      <c r="W120" s="175">
        <f t="shared" si="198"/>
        <v>350</v>
      </c>
      <c r="X120" s="386">
        <f t="shared" si="199"/>
        <v>350</v>
      </c>
      <c r="Z120" s="191">
        <f t="shared" si="200"/>
        <v>1.3136683244726464</v>
      </c>
      <c r="AA120" s="153">
        <f t="shared" si="201"/>
        <v>1.5434745326702111</v>
      </c>
      <c r="AB120" s="153">
        <f t="shared" si="202"/>
        <v>0.14622213484608731</v>
      </c>
      <c r="AC120" s="153"/>
      <c r="AD120" s="153">
        <f t="shared" si="203"/>
        <v>0.96344647519582249</v>
      </c>
      <c r="AE120" s="317">
        <f t="shared" si="204"/>
        <v>253.15619009848641</v>
      </c>
      <c r="AF120" s="463">
        <f t="shared" si="205"/>
        <v>6.9127284595300251E-2</v>
      </c>
      <c r="AH120" s="153">
        <f t="shared" si="206"/>
        <v>0.76011695006609203</v>
      </c>
      <c r="AI120" s="153">
        <f t="shared" si="207"/>
        <v>0.82</v>
      </c>
      <c r="AJ120" s="153">
        <f t="shared" si="208"/>
        <v>1.144660680056278</v>
      </c>
      <c r="AL120" s="317">
        <f t="shared" si="209"/>
        <v>50</v>
      </c>
      <c r="AM120" s="147">
        <f t="shared" si="210"/>
        <v>253.15619009848641</v>
      </c>
      <c r="AO120" s="147">
        <f t="shared" si="211"/>
        <v>50</v>
      </c>
      <c r="AP120" s="147">
        <f t="shared" si="212"/>
        <v>253.15619009848641</v>
      </c>
      <c r="AR120" s="5">
        <f t="shared" si="160"/>
        <v>3.9501305483028712</v>
      </c>
      <c r="AS120" s="5">
        <f t="shared" si="246"/>
        <v>0.82</v>
      </c>
      <c r="AT120" s="5">
        <f t="shared" si="247"/>
        <v>3.1301305483028714</v>
      </c>
      <c r="AU120" s="153">
        <f t="shared" si="248"/>
        <v>0.20758807588075884</v>
      </c>
      <c r="AW120" s="5">
        <f t="shared" si="216"/>
        <v>0.27333333333333332</v>
      </c>
      <c r="AX120" s="5"/>
      <c r="AY120" s="5">
        <f t="shared" si="217"/>
        <v>5.1250000000000004E-2</v>
      </c>
      <c r="AZ120" s="5"/>
      <c r="BA120" s="5">
        <f t="shared" si="218"/>
        <v>0.52221063535249768</v>
      </c>
      <c r="BB120" s="5"/>
      <c r="BC120" s="5"/>
      <c r="BD120" s="153">
        <f t="shared" si="219"/>
        <v>0.2157021265713609</v>
      </c>
      <c r="BE120" s="153">
        <f t="shared" si="220"/>
        <v>0.21071659042771521</v>
      </c>
      <c r="BF120" s="153">
        <f t="shared" si="221"/>
        <v>4.2198407390230029E-2</v>
      </c>
      <c r="BG120" s="153"/>
      <c r="BH120" s="463">
        <f t="shared" si="222"/>
        <v>5.1180148148148143E-3</v>
      </c>
      <c r="BI120" s="463">
        <f t="shared" si="223"/>
        <v>1.7292086720867215E-2</v>
      </c>
      <c r="BJ120" s="463">
        <f t="shared" si="224"/>
        <v>1.265780950492432E-2</v>
      </c>
      <c r="BK120" s="463">
        <f t="shared" si="225"/>
        <v>1.5809606603212376E-2</v>
      </c>
      <c r="BL120">
        <f t="shared" si="226"/>
        <v>2.6099999999999999E-3</v>
      </c>
      <c r="BM120">
        <f t="shared" si="227"/>
        <v>1.0126247603939457E-5</v>
      </c>
      <c r="BN120">
        <f t="shared" si="228"/>
        <v>5.4239793103351593E-2</v>
      </c>
      <c r="BO120" s="147">
        <f t="shared" si="229"/>
        <v>53.48751764381872</v>
      </c>
      <c r="BP120" s="153">
        <f t="shared" si="230"/>
        <v>2.0000000000000004E-2</v>
      </c>
      <c r="BQ120" s="153">
        <f t="shared" si="231"/>
        <v>4.000000000000001E-3</v>
      </c>
      <c r="BR120" s="463"/>
      <c r="BT120" s="147">
        <f t="shared" si="232"/>
        <v>24.000000000000004</v>
      </c>
      <c r="BU120" s="463">
        <f t="shared" si="233"/>
        <v>3.9548296296296288E-3</v>
      </c>
      <c r="BV120" s="463">
        <f t="shared" si="234"/>
        <v>8.4362814814814818E-3</v>
      </c>
      <c r="BW120" s="463">
        <f t="shared" si="235"/>
        <v>8.9035279313591032E-5</v>
      </c>
      <c r="BX120" s="463">
        <f t="shared" si="236"/>
        <v>0</v>
      </c>
      <c r="BY120" s="463">
        <f t="shared" si="180"/>
        <v>1.3991733467830411E-2</v>
      </c>
      <c r="BZ120" s="463">
        <f t="shared" si="166"/>
        <v>1.2480146390424701E-2</v>
      </c>
      <c r="CA120" s="549">
        <f t="shared" si="237"/>
        <v>8.5111111111111137E-2</v>
      </c>
      <c r="CB120" s="147">
        <f t="shared" si="238"/>
        <v>124.06313735979096</v>
      </c>
      <c r="CC120" s="153">
        <f t="shared" si="168"/>
        <v>0.17734263768229314</v>
      </c>
      <c r="CD120" s="5">
        <f t="shared" si="239"/>
        <v>0.91</v>
      </c>
      <c r="CE120" s="153">
        <f t="shared" si="240"/>
        <v>0.83690270983918658</v>
      </c>
      <c r="CF120" s="5">
        <f t="shared" si="241"/>
        <v>83.690270983918651</v>
      </c>
      <c r="CG120">
        <f t="shared" si="242"/>
        <v>10</v>
      </c>
      <c r="CI120" s="59">
        <f t="shared" si="243"/>
        <v>-50</v>
      </c>
      <c r="CJ120">
        <f t="shared" si="244"/>
        <v>-50</v>
      </c>
    </row>
    <row r="121" spans="5:88" x14ac:dyDescent="0.25">
      <c r="E121" s="150">
        <v>11</v>
      </c>
      <c r="F121" s="191">
        <f t="shared" si="245"/>
        <v>5.5E-2</v>
      </c>
      <c r="G121" s="191">
        <f t="shared" si="183"/>
        <v>1.1000000000000001E-2</v>
      </c>
      <c r="H121" s="191">
        <f t="shared" si="184"/>
        <v>0.82499999999999996</v>
      </c>
      <c r="I121" s="191">
        <f t="shared" si="185"/>
        <v>0.17600000000000002</v>
      </c>
      <c r="J121" s="472">
        <f t="shared" si="186"/>
        <v>9</v>
      </c>
      <c r="K121" s="386">
        <f t="shared" si="187"/>
        <v>7.66</v>
      </c>
      <c r="L121" s="386">
        <f t="shared" si="188"/>
        <v>16.66</v>
      </c>
      <c r="M121" s="386"/>
      <c r="N121" s="191">
        <f t="shared" si="189"/>
        <v>0.45978391356542619</v>
      </c>
      <c r="O121" s="152">
        <f t="shared" si="190"/>
        <v>6.2923449599620076</v>
      </c>
      <c r="P121" s="152">
        <f t="shared" si="191"/>
        <v>1.6287385354141657</v>
      </c>
      <c r="Q121" s="191">
        <f t="shared" si="192"/>
        <v>0.41948966399746718</v>
      </c>
      <c r="R121" s="191">
        <f t="shared" si="193"/>
        <v>0.39327155999762548</v>
      </c>
      <c r="S121" s="191">
        <f t="shared" si="194"/>
        <v>15</v>
      </c>
      <c r="T121" s="191">
        <f t="shared" si="195"/>
        <v>0.53755794088257092</v>
      </c>
      <c r="U121" s="191">
        <f t="shared" si="196"/>
        <v>0.53755794088257092</v>
      </c>
      <c r="V121" s="191">
        <f t="shared" si="197"/>
        <v>0.631595491898582</v>
      </c>
      <c r="W121" s="175">
        <f t="shared" si="198"/>
        <v>350</v>
      </c>
      <c r="X121" s="386">
        <f t="shared" si="199"/>
        <v>350</v>
      </c>
      <c r="Z121" s="191">
        <f t="shared" si="200"/>
        <v>1.3136683244726464</v>
      </c>
      <c r="AA121" s="153">
        <f t="shared" si="201"/>
        <v>1.5434745326702111</v>
      </c>
      <c r="AB121" s="153">
        <f t="shared" si="202"/>
        <v>0.14622213484608731</v>
      </c>
      <c r="AC121" s="153"/>
      <c r="AD121" s="153">
        <f t="shared" si="203"/>
        <v>0.96344647519582249</v>
      </c>
      <c r="AE121" s="317">
        <f t="shared" si="204"/>
        <v>278.47180910833498</v>
      </c>
      <c r="AF121" s="463">
        <f t="shared" si="205"/>
        <v>6.9127284595300251E-2</v>
      </c>
      <c r="AH121" s="153">
        <f t="shared" si="206"/>
        <v>0.79721738287342647</v>
      </c>
      <c r="AI121" s="153">
        <f t="shared" si="207"/>
        <v>0.82</v>
      </c>
      <c r="AJ121" s="153">
        <f t="shared" si="208"/>
        <v>1.1591267480619056</v>
      </c>
      <c r="AL121" s="317">
        <f t="shared" si="209"/>
        <v>55</v>
      </c>
      <c r="AM121" s="147">
        <f t="shared" si="210"/>
        <v>278.47180910833498</v>
      </c>
      <c r="AO121" s="147">
        <f t="shared" si="211"/>
        <v>55</v>
      </c>
      <c r="AP121" s="147">
        <f t="shared" si="212"/>
        <v>278.47180910833498</v>
      </c>
      <c r="AR121" s="5">
        <f t="shared" si="160"/>
        <v>3.5910277711844292</v>
      </c>
      <c r="AS121" s="5">
        <f t="shared" si="246"/>
        <v>0.82</v>
      </c>
      <c r="AT121" s="5">
        <f t="shared" si="247"/>
        <v>2.7710277711844293</v>
      </c>
      <c r="AU121" s="153">
        <f t="shared" si="248"/>
        <v>0.22834688346883467</v>
      </c>
      <c r="AW121" s="5">
        <f t="shared" si="216"/>
        <v>0.30066666666666664</v>
      </c>
      <c r="AX121" s="5"/>
      <c r="AY121" s="5">
        <f t="shared" si="217"/>
        <v>5.6375000000000001E-2</v>
      </c>
      <c r="AZ121" s="5"/>
      <c r="BA121" s="5">
        <f t="shared" si="218"/>
        <v>0.50853028833881753</v>
      </c>
      <c r="BB121" s="5"/>
      <c r="BC121" s="5"/>
      <c r="BD121" s="153">
        <f t="shared" si="219"/>
        <v>0.22623029891716126</v>
      </c>
      <c r="BE121" s="153">
        <f t="shared" si="220"/>
        <v>0.20793820307075919</v>
      </c>
      <c r="BF121" s="153">
        <f t="shared" si="221"/>
        <v>4.1642003543059226E-2</v>
      </c>
      <c r="BG121" s="153"/>
      <c r="BH121" s="463">
        <f t="shared" si="222"/>
        <v>5.629816296296295E-3</v>
      </c>
      <c r="BI121" s="463">
        <f t="shared" si="223"/>
        <v>1.9021295392953927E-2</v>
      </c>
      <c r="BJ121" s="463">
        <f t="shared" si="224"/>
        <v>1.3923590455416749E-2</v>
      </c>
      <c r="BK121" s="463">
        <f t="shared" si="225"/>
        <v>1.7390567263533614E-2</v>
      </c>
      <c r="BL121">
        <f t="shared" si="226"/>
        <v>2.6099999999999999E-3</v>
      </c>
      <c r="BM121">
        <f t="shared" si="227"/>
        <v>1.11388723643334E-5</v>
      </c>
      <c r="BN121">
        <f t="shared" si="228"/>
        <v>5.9408140782140337E-2</v>
      </c>
      <c r="BO121" s="147">
        <f t="shared" si="229"/>
        <v>58.57526940820059</v>
      </c>
      <c r="BP121" s="153">
        <f t="shared" si="230"/>
        <v>2.2000000000000002E-2</v>
      </c>
      <c r="BQ121" s="153">
        <f t="shared" si="231"/>
        <v>4.4000000000000003E-3</v>
      </c>
      <c r="BR121" s="463"/>
      <c r="BT121" s="147">
        <f t="shared" si="232"/>
        <v>26.400000000000002</v>
      </c>
      <c r="BU121" s="463">
        <f t="shared" si="233"/>
        <v>4.3503125925925916E-3</v>
      </c>
      <c r="BV121" s="463">
        <f t="shared" si="234"/>
        <v>8.2152762962962953E-3</v>
      </c>
      <c r="BW121" s="463">
        <f t="shared" si="235"/>
        <v>8.6702822954007862E-5</v>
      </c>
      <c r="BX121" s="463">
        <f t="shared" si="236"/>
        <v>0</v>
      </c>
      <c r="BY121" s="463">
        <f t="shared" si="180"/>
        <v>1.4184924461439772E-2</v>
      </c>
      <c r="BZ121" s="463">
        <f t="shared" si="166"/>
        <v>1.2652291711842895E-2</v>
      </c>
      <c r="CA121" s="549">
        <f t="shared" si="237"/>
        <v>9.3622222222222218E-2</v>
      </c>
      <c r="CB121" s="147">
        <f t="shared" si="238"/>
        <v>133.11173010734777</v>
      </c>
      <c r="CC121" s="153">
        <f t="shared" si="168"/>
        <v>0.19361528746580234</v>
      </c>
      <c r="CD121" s="5">
        <f t="shared" si="239"/>
        <v>1.0009999999999999</v>
      </c>
      <c r="CE121" s="153">
        <f t="shared" si="240"/>
        <v>0.83792666183225539</v>
      </c>
      <c r="CF121" s="5">
        <f t="shared" si="241"/>
        <v>83.792666183225535</v>
      </c>
      <c r="CG121">
        <f t="shared" si="242"/>
        <v>11</v>
      </c>
      <c r="CI121" s="59">
        <f t="shared" si="243"/>
        <v>-50</v>
      </c>
      <c r="CJ121">
        <f t="shared" si="244"/>
        <v>-50</v>
      </c>
    </row>
    <row r="122" spans="5:88" x14ac:dyDescent="0.25">
      <c r="E122" s="150">
        <v>12</v>
      </c>
      <c r="F122" s="191">
        <f t="shared" si="245"/>
        <v>0.06</v>
      </c>
      <c r="G122" s="191">
        <f t="shared" si="183"/>
        <v>1.2E-2</v>
      </c>
      <c r="H122" s="191">
        <f t="shared" si="184"/>
        <v>0.89999999999999991</v>
      </c>
      <c r="I122" s="191">
        <f t="shared" si="185"/>
        <v>0.192</v>
      </c>
      <c r="J122" s="472">
        <f t="shared" si="186"/>
        <v>9</v>
      </c>
      <c r="K122" s="386">
        <f t="shared" si="187"/>
        <v>7.66</v>
      </c>
      <c r="L122" s="386">
        <f t="shared" si="188"/>
        <v>16.66</v>
      </c>
      <c r="M122" s="386"/>
      <c r="N122" s="191">
        <f t="shared" si="189"/>
        <v>0.45978391356542619</v>
      </c>
      <c r="O122" s="152">
        <f t="shared" si="190"/>
        <v>6.2923449599620076</v>
      </c>
      <c r="P122" s="152">
        <f t="shared" si="191"/>
        <v>1.6287385354141657</v>
      </c>
      <c r="Q122" s="191">
        <f t="shared" si="192"/>
        <v>0.41948966399746718</v>
      </c>
      <c r="R122" s="191">
        <f t="shared" si="193"/>
        <v>0.39327155999762548</v>
      </c>
      <c r="S122" s="191">
        <f t="shared" si="194"/>
        <v>15</v>
      </c>
      <c r="T122" s="191">
        <f t="shared" si="195"/>
        <v>0.58642684459916827</v>
      </c>
      <c r="U122" s="191">
        <f t="shared" si="196"/>
        <v>0.58642684459916816</v>
      </c>
      <c r="V122" s="191">
        <f t="shared" si="197"/>
        <v>0.68901326388936213</v>
      </c>
      <c r="W122" s="175">
        <f t="shared" si="198"/>
        <v>350</v>
      </c>
      <c r="X122" s="386">
        <f t="shared" si="199"/>
        <v>350</v>
      </c>
      <c r="Z122" s="191">
        <f t="shared" si="200"/>
        <v>1.3136683244726464</v>
      </c>
      <c r="AA122" s="153">
        <f t="shared" si="201"/>
        <v>1.5434745326702111</v>
      </c>
      <c r="AB122" s="153">
        <f t="shared" si="202"/>
        <v>0.14622213484608731</v>
      </c>
      <c r="AC122" s="153"/>
      <c r="AD122" s="153">
        <f t="shared" si="203"/>
        <v>0.96344647519582249</v>
      </c>
      <c r="AE122" s="317">
        <f t="shared" si="204"/>
        <v>303.78742811818364</v>
      </c>
      <c r="AF122" s="463">
        <f t="shared" si="205"/>
        <v>6.9127284595300251E-2</v>
      </c>
      <c r="AH122" s="153">
        <f t="shared" si="206"/>
        <v>0.83266639978645307</v>
      </c>
      <c r="AI122" s="153">
        <f t="shared" si="207"/>
        <v>0.83266639978645307</v>
      </c>
      <c r="AJ122" s="153">
        <f t="shared" si="208"/>
        <v>1.1735928160675335</v>
      </c>
      <c r="AL122" s="317">
        <f t="shared" si="209"/>
        <v>60</v>
      </c>
      <c r="AM122" s="147">
        <f t="shared" si="210"/>
        <v>303.78742811818364</v>
      </c>
      <c r="AO122" s="147">
        <f t="shared" si="211"/>
        <v>60</v>
      </c>
      <c r="AP122" s="147">
        <f t="shared" si="212"/>
        <v>303.78742811818364</v>
      </c>
      <c r="AR122" s="5">
        <f t="shared" si="160"/>
        <v>3.2917754569190598</v>
      </c>
      <c r="AS122" s="5">
        <f t="shared" si="246"/>
        <v>0.83266639978645296</v>
      </c>
      <c r="AT122" s="5">
        <f t="shared" si="247"/>
        <v>2.4591090571326069</v>
      </c>
      <c r="AU122" s="153">
        <f t="shared" si="248"/>
        <v>0.25295358407155383</v>
      </c>
      <c r="AW122" s="5">
        <f t="shared" si="216"/>
        <v>0.33306655991458117</v>
      </c>
      <c r="AX122" s="5"/>
      <c r="AY122" s="5">
        <f t="shared" si="217"/>
        <v>6.2449979983983973E-2</v>
      </c>
      <c r="AZ122" s="5"/>
      <c r="BA122" s="5">
        <f t="shared" si="218"/>
        <v>0.49231412555207338</v>
      </c>
      <c r="BB122" s="5"/>
      <c r="BC122" s="5"/>
      <c r="BD122" s="153">
        <f t="shared" si="219"/>
        <v>0.24178582231866833</v>
      </c>
      <c r="BE122" s="153">
        <f t="shared" si="220"/>
        <v>0.20775630389761729</v>
      </c>
      <c r="BF122" s="153">
        <f t="shared" si="221"/>
        <v>4.1605576153091461E-2</v>
      </c>
      <c r="BG122" s="153"/>
      <c r="BH122" s="463">
        <f t="shared" si="222"/>
        <v>6.4306422261746115E-3</v>
      </c>
      <c r="BI122" s="463">
        <f t="shared" si="223"/>
        <v>2.1071033553160437E-2</v>
      </c>
      <c r="BJ122" s="463">
        <f t="shared" si="224"/>
        <v>1.5189371405909181E-2</v>
      </c>
      <c r="BK122" s="463">
        <f t="shared" si="225"/>
        <v>1.8971527923854852E-2</v>
      </c>
      <c r="BL122">
        <f t="shared" si="226"/>
        <v>2.6099999999999999E-3</v>
      </c>
      <c r="BM122">
        <f t="shared" si="227"/>
        <v>1.2151497124727345E-5</v>
      </c>
      <c r="BN122">
        <f t="shared" si="228"/>
        <v>6.5230255971656104E-2</v>
      </c>
      <c r="BO122" s="147">
        <f t="shared" si="229"/>
        <v>64.272575109099094</v>
      </c>
      <c r="BP122" s="153">
        <f t="shared" si="230"/>
        <v>2.4E-2</v>
      </c>
      <c r="BQ122" s="153">
        <f t="shared" si="231"/>
        <v>4.8000000000000004E-3</v>
      </c>
      <c r="BR122" s="463"/>
      <c r="BT122" s="147">
        <f t="shared" si="232"/>
        <v>28.8</v>
      </c>
      <c r="BU122" s="463">
        <f t="shared" si="233"/>
        <v>4.9691326293167457E-3</v>
      </c>
      <c r="BV122" s="463">
        <f t="shared" si="234"/>
        <v>8.2009095437478308E-3</v>
      </c>
      <c r="BW122" s="463">
        <f t="shared" si="235"/>
        <v>8.6551198351534652E-5</v>
      </c>
      <c r="BX122" s="463">
        <f t="shared" si="236"/>
        <v>0</v>
      </c>
      <c r="BY122" s="463">
        <f t="shared" si="180"/>
        <v>1.486314735203928E-2</v>
      </c>
      <c r="BZ122" s="463">
        <f t="shared" si="166"/>
        <v>1.325659337141611E-2</v>
      </c>
      <c r="CA122" s="549">
        <f t="shared" si="237"/>
        <v>0.10531297508097033</v>
      </c>
      <c r="CB122" s="147">
        <f t="shared" si="238"/>
        <v>146.68930917584183</v>
      </c>
      <c r="CC122" s="153">
        <f t="shared" si="168"/>
        <v>0.21420637840466572</v>
      </c>
      <c r="CD122" s="5">
        <f t="shared" si="239"/>
        <v>1.0919999999999999</v>
      </c>
      <c r="CE122" s="153">
        <f t="shared" si="240"/>
        <v>0.83600877935821549</v>
      </c>
      <c r="CF122" s="5">
        <f t="shared" si="241"/>
        <v>83.600877935821543</v>
      </c>
      <c r="CG122">
        <f t="shared" si="242"/>
        <v>12</v>
      </c>
      <c r="CI122" s="59">
        <f t="shared" si="243"/>
        <v>-50</v>
      </c>
      <c r="CJ122">
        <f t="shared" si="244"/>
        <v>-50</v>
      </c>
    </row>
    <row r="123" spans="5:88" x14ac:dyDescent="0.25">
      <c r="E123" s="150">
        <v>13</v>
      </c>
      <c r="F123" s="191">
        <f t="shared" si="245"/>
        <v>6.5000000000000002E-2</v>
      </c>
      <c r="G123" s="191">
        <f t="shared" si="183"/>
        <v>1.3000000000000001E-2</v>
      </c>
      <c r="H123" s="191">
        <f t="shared" si="184"/>
        <v>0.97500000000000009</v>
      </c>
      <c r="I123" s="191">
        <f t="shared" si="185"/>
        <v>0.20800000000000002</v>
      </c>
      <c r="J123" s="472">
        <f t="shared" si="186"/>
        <v>9</v>
      </c>
      <c r="K123" s="386">
        <f t="shared" si="187"/>
        <v>7.66</v>
      </c>
      <c r="L123" s="386">
        <f t="shared" si="188"/>
        <v>16.66</v>
      </c>
      <c r="M123" s="386"/>
      <c r="N123" s="191">
        <f t="shared" si="189"/>
        <v>0.45978391356542619</v>
      </c>
      <c r="O123" s="152">
        <f t="shared" si="190"/>
        <v>6.2923449599620076</v>
      </c>
      <c r="P123" s="152">
        <f t="shared" si="191"/>
        <v>1.6287385354141657</v>
      </c>
      <c r="Q123" s="191">
        <f t="shared" si="192"/>
        <v>0.41948966399746718</v>
      </c>
      <c r="R123" s="191">
        <f t="shared" si="193"/>
        <v>0.39327155999762548</v>
      </c>
      <c r="S123" s="191">
        <f t="shared" si="194"/>
        <v>15</v>
      </c>
      <c r="T123" s="191">
        <f t="shared" si="195"/>
        <v>0.63529574831576574</v>
      </c>
      <c r="U123" s="191">
        <f t="shared" si="196"/>
        <v>0.63529574831576574</v>
      </c>
      <c r="V123" s="191">
        <f t="shared" si="197"/>
        <v>0.74643103588014259</v>
      </c>
      <c r="W123" s="175">
        <f t="shared" si="198"/>
        <v>350</v>
      </c>
      <c r="X123" s="386">
        <f t="shared" si="199"/>
        <v>350</v>
      </c>
      <c r="Z123" s="191">
        <f t="shared" si="200"/>
        <v>1.3136683244726464</v>
      </c>
      <c r="AA123" s="153">
        <f t="shared" si="201"/>
        <v>1.5434745326702111</v>
      </c>
      <c r="AB123" s="153">
        <f t="shared" si="202"/>
        <v>0.14622213484608731</v>
      </c>
      <c r="AC123" s="153"/>
      <c r="AD123" s="153">
        <f t="shared" si="203"/>
        <v>0.96344647519582249</v>
      </c>
      <c r="AE123" s="317">
        <f t="shared" si="204"/>
        <v>329.1030471280323</v>
      </c>
      <c r="AF123" s="463">
        <f t="shared" si="205"/>
        <v>6.9127284595300251E-2</v>
      </c>
      <c r="AH123" s="153">
        <f t="shared" si="206"/>
        <v>0.8666666666666667</v>
      </c>
      <c r="AI123" s="153">
        <f t="shared" si="207"/>
        <v>0.8666666666666667</v>
      </c>
      <c r="AJ123" s="153">
        <f t="shared" si="208"/>
        <v>1.1880588840731614</v>
      </c>
      <c r="AL123" s="317">
        <f t="shared" si="209"/>
        <v>65</v>
      </c>
      <c r="AM123" s="147">
        <f t="shared" si="210"/>
        <v>329.1030471280323</v>
      </c>
      <c r="AO123" s="147">
        <f t="shared" si="211"/>
        <v>65</v>
      </c>
      <c r="AP123" s="147">
        <f t="shared" si="212"/>
        <v>329.1030471280323</v>
      </c>
      <c r="AR123" s="5">
        <f t="shared" si="160"/>
        <v>3.0385619602329781</v>
      </c>
      <c r="AS123" s="5">
        <f t="shared" si="246"/>
        <v>0.8666666666666667</v>
      </c>
      <c r="AT123" s="5">
        <f t="shared" si="247"/>
        <v>2.1718952935663114</v>
      </c>
      <c r="AU123" s="153">
        <f t="shared" si="248"/>
        <v>0.28522264084429466</v>
      </c>
      <c r="AW123" s="5">
        <f t="shared" si="216"/>
        <v>0.37555555555555559</v>
      </c>
      <c r="AX123" s="5"/>
      <c r="AY123" s="5">
        <f t="shared" si="217"/>
        <v>7.0416666666666683E-2</v>
      </c>
      <c r="AZ123" s="5"/>
      <c r="BA123" s="5">
        <f t="shared" si="218"/>
        <v>0.4710483619680022</v>
      </c>
      <c r="BB123" s="5"/>
      <c r="BC123" s="5"/>
      <c r="BD123" s="153">
        <f t="shared" si="219"/>
        <v>0.26722892475591259</v>
      </c>
      <c r="BE123" s="153">
        <f t="shared" si="220"/>
        <v>0.21151777238814309</v>
      </c>
      <c r="BF123" s="153">
        <f t="shared" si="221"/>
        <v>4.2358853241651666E-2</v>
      </c>
      <c r="BG123" s="153"/>
      <c r="BH123" s="463">
        <f t="shared" si="222"/>
        <v>7.8552428048821316E-3</v>
      </c>
      <c r="BI123" s="463">
        <f t="shared" si="223"/>
        <v>2.3759045982329748E-2</v>
      </c>
      <c r="BJ123" s="463">
        <f t="shared" si="224"/>
        <v>1.6455152356401614E-2</v>
      </c>
      <c r="BK123" s="463">
        <f t="shared" si="225"/>
        <v>2.055248858417609E-2</v>
      </c>
      <c r="BL123">
        <f t="shared" si="226"/>
        <v>2.6099999999999999E-3</v>
      </c>
      <c r="BM123">
        <f t="shared" si="227"/>
        <v>1.3164121885121292E-5</v>
      </c>
      <c r="BN123">
        <f t="shared" si="228"/>
        <v>7.2410495601867783E-2</v>
      </c>
      <c r="BO123" s="147">
        <f t="shared" si="229"/>
        <v>71.231929727789591</v>
      </c>
      <c r="BP123" s="153">
        <f t="shared" si="230"/>
        <v>2.6000000000000002E-2</v>
      </c>
      <c r="BQ123" s="153">
        <f t="shared" si="231"/>
        <v>5.2000000000000006E-3</v>
      </c>
      <c r="BR123" s="463"/>
      <c r="BT123" s="147">
        <f t="shared" si="232"/>
        <v>31.200000000000003</v>
      </c>
      <c r="BU123" s="463">
        <f t="shared" si="233"/>
        <v>6.0699603492271022E-3</v>
      </c>
      <c r="BV123" s="463">
        <f t="shared" si="234"/>
        <v>8.5005559268480392E-3</v>
      </c>
      <c r="BW123" s="463">
        <f t="shared" si="235"/>
        <v>8.9713622397389202E-5</v>
      </c>
      <c r="BX123" s="463">
        <f t="shared" si="236"/>
        <v>0</v>
      </c>
      <c r="BY123" s="463">
        <f t="shared" si="180"/>
        <v>1.6438737139545738E-2</v>
      </c>
      <c r="BZ123" s="463">
        <f t="shared" si="166"/>
        <v>1.4660229898472529E-2</v>
      </c>
      <c r="CA123" s="549">
        <f t="shared" si="237"/>
        <v>0.12359647769919439</v>
      </c>
      <c r="CB123" s="147">
        <f t="shared" si="238"/>
        <v>169.35567463568518</v>
      </c>
      <c r="CC123" s="153">
        <f t="shared" si="168"/>
        <v>0.2436457104406079</v>
      </c>
      <c r="CD123" s="5">
        <f t="shared" si="239"/>
        <v>1.1830000000000001</v>
      </c>
      <c r="CE123" s="153">
        <f t="shared" si="240"/>
        <v>0.82921778780986921</v>
      </c>
      <c r="CF123" s="5">
        <f t="shared" si="241"/>
        <v>82.921778780986926</v>
      </c>
      <c r="CG123">
        <f t="shared" si="242"/>
        <v>13</v>
      </c>
      <c r="CI123" s="59">
        <f t="shared" si="243"/>
        <v>-50</v>
      </c>
      <c r="CJ123">
        <f t="shared" si="244"/>
        <v>-50</v>
      </c>
    </row>
    <row r="124" spans="5:88" x14ac:dyDescent="0.25">
      <c r="E124" s="150">
        <v>14</v>
      </c>
      <c r="F124" s="191">
        <f t="shared" si="245"/>
        <v>7.0000000000000007E-2</v>
      </c>
      <c r="G124" s="191">
        <f t="shared" si="183"/>
        <v>1.4000000000000002E-2</v>
      </c>
      <c r="H124" s="191">
        <f t="shared" si="184"/>
        <v>1.05</v>
      </c>
      <c r="I124" s="191">
        <f t="shared" si="185"/>
        <v>0.22400000000000003</v>
      </c>
      <c r="J124" s="472">
        <f t="shared" si="186"/>
        <v>9</v>
      </c>
      <c r="K124" s="386">
        <f t="shared" si="187"/>
        <v>7.66</v>
      </c>
      <c r="L124" s="386">
        <f t="shared" si="188"/>
        <v>16.66</v>
      </c>
      <c r="M124" s="386"/>
      <c r="N124" s="191">
        <f t="shared" si="189"/>
        <v>0.45978391356542619</v>
      </c>
      <c r="O124" s="152">
        <f t="shared" si="190"/>
        <v>6.2923449599620076</v>
      </c>
      <c r="P124" s="152">
        <f t="shared" si="191"/>
        <v>1.6287385354141657</v>
      </c>
      <c r="Q124" s="191">
        <f t="shared" si="192"/>
        <v>0.41948966399746718</v>
      </c>
      <c r="R124" s="191">
        <f t="shared" si="193"/>
        <v>0.39327155999762548</v>
      </c>
      <c r="S124" s="191">
        <f t="shared" si="194"/>
        <v>15</v>
      </c>
      <c r="T124" s="191">
        <f t="shared" si="195"/>
        <v>0.6841646520323631</v>
      </c>
      <c r="U124" s="191">
        <f t="shared" si="196"/>
        <v>0.68416465203236321</v>
      </c>
      <c r="V124" s="191">
        <f t="shared" si="197"/>
        <v>0.80384880787092272</v>
      </c>
      <c r="W124" s="175">
        <f t="shared" si="198"/>
        <v>350</v>
      </c>
      <c r="X124" s="386">
        <f t="shared" si="199"/>
        <v>350</v>
      </c>
      <c r="Z124" s="191">
        <f t="shared" si="200"/>
        <v>1.3136683244726464</v>
      </c>
      <c r="AA124" s="153">
        <f t="shared" si="201"/>
        <v>1.5434745326702111</v>
      </c>
      <c r="AB124" s="153">
        <f t="shared" si="202"/>
        <v>0.14622213484608731</v>
      </c>
      <c r="AC124" s="153"/>
      <c r="AD124" s="153">
        <f t="shared" si="203"/>
        <v>0.96344647519582249</v>
      </c>
      <c r="AE124" s="317">
        <f t="shared" si="204"/>
        <v>354.41866613788096</v>
      </c>
      <c r="AF124" s="463">
        <f t="shared" si="205"/>
        <v>6.9127284595300251E-2</v>
      </c>
      <c r="AH124" s="153">
        <f t="shared" si="206"/>
        <v>0.89938250421546939</v>
      </c>
      <c r="AI124" s="153">
        <f t="shared" si="207"/>
        <v>0.89938250421546939</v>
      </c>
      <c r="AJ124" s="153">
        <f t="shared" si="208"/>
        <v>1.2588018549744218</v>
      </c>
      <c r="AL124" s="317">
        <f t="shared" si="209"/>
        <v>70</v>
      </c>
      <c r="AM124" s="147">
        <f t="shared" si="210"/>
        <v>350</v>
      </c>
      <c r="AO124" s="147">
        <f t="shared" si="211"/>
        <v>70</v>
      </c>
      <c r="AP124" s="147">
        <f t="shared" si="212"/>
        <v>350</v>
      </c>
      <c r="AR124" s="5">
        <f t="shared" si="160"/>
        <v>2.8571428571428572</v>
      </c>
      <c r="AS124" s="5">
        <f t="shared" si="246"/>
        <v>0.8993825042154695</v>
      </c>
      <c r="AT124" s="5">
        <f t="shared" si="247"/>
        <v>1.9577603529273877</v>
      </c>
      <c r="AU124" s="153">
        <f t="shared" si="248"/>
        <v>0.31478387647541434</v>
      </c>
      <c r="AW124" s="5">
        <f t="shared" si="216"/>
        <v>0.41971183530055245</v>
      </c>
      <c r="AX124" s="5"/>
      <c r="AY124" s="5">
        <f t="shared" si="217"/>
        <v>7.8695969118853598E-2</v>
      </c>
      <c r="AZ124" s="5"/>
      <c r="BA124" s="5">
        <f t="shared" si="218"/>
        <v>0.45726801703342396</v>
      </c>
      <c r="BB124" s="5"/>
      <c r="BC124" s="5"/>
      <c r="BD124" s="153">
        <f t="shared" si="219"/>
        <v>0.2913332456611244</v>
      </c>
      <c r="BE124" s="153">
        <f t="shared" si="220"/>
        <v>0.21491543081069386</v>
      </c>
      <c r="BF124" s="153">
        <f t="shared" si="221"/>
        <v>4.3039273202873603E-2</v>
      </c>
      <c r="BG124" s="153"/>
      <c r="BH124" s="463">
        <f t="shared" si="222"/>
        <v>9.3362566030189571E-3</v>
      </c>
      <c r="BI124" s="463">
        <f t="shared" si="223"/>
        <v>2.6221496910402011E-2</v>
      </c>
      <c r="BJ124" s="463">
        <f t="shared" si="224"/>
        <v>1.7499999999999998E-2</v>
      </c>
      <c r="BK124" s="463">
        <f t="shared" si="225"/>
        <v>2.18575035E-2</v>
      </c>
      <c r="BL124">
        <f t="shared" si="226"/>
        <v>2.6099999999999999E-3</v>
      </c>
      <c r="BM124">
        <f t="shared" si="227"/>
        <v>1.4E-5</v>
      </c>
      <c r="BN124">
        <f t="shared" si="228"/>
        <v>7.893562136821973E-2</v>
      </c>
      <c r="BO124" s="147">
        <f t="shared" si="229"/>
        <v>77.525257013420969</v>
      </c>
      <c r="BP124" s="153">
        <f t="shared" si="230"/>
        <v>2.8000000000000004E-2</v>
      </c>
      <c r="BQ124" s="153">
        <f t="shared" si="231"/>
        <v>5.6000000000000008E-3</v>
      </c>
      <c r="BR124" s="463"/>
      <c r="BT124" s="147">
        <f t="shared" si="232"/>
        <v>33.6</v>
      </c>
      <c r="BU124" s="463">
        <f t="shared" si="233"/>
        <v>7.2143801023328308E-3</v>
      </c>
      <c r="BV124" s="463">
        <f t="shared" si="234"/>
        <v>8.7758420561037664E-3</v>
      </c>
      <c r="BW124" s="463">
        <f t="shared" si="235"/>
        <v>9.2618951891579706E-5</v>
      </c>
      <c r="BX124" s="463">
        <f t="shared" si="236"/>
        <v>0</v>
      </c>
      <c r="BY124" s="463">
        <f t="shared" si="180"/>
        <v>1.8035987637442824E-2</v>
      </c>
      <c r="BZ124" s="463">
        <f t="shared" si="166"/>
        <v>1.6082841110328174E-2</v>
      </c>
      <c r="CA124" s="549">
        <f t="shared" si="237"/>
        <v>0.14155555555555555</v>
      </c>
      <c r="CB124" s="147">
        <f t="shared" si="238"/>
        <v>191.75722541365474</v>
      </c>
      <c r="CC124" s="153">
        <f t="shared" si="168"/>
        <v>0.2721271645612181</v>
      </c>
      <c r="CD124" s="5">
        <f t="shared" si="239"/>
        <v>1.274</v>
      </c>
      <c r="CE124" s="153">
        <f t="shared" si="240"/>
        <v>0.82399431896764697</v>
      </c>
      <c r="CF124" s="5">
        <f t="shared" si="241"/>
        <v>82.399431896764696</v>
      </c>
      <c r="CG124">
        <f t="shared" si="242"/>
        <v>14.000000000000002</v>
      </c>
      <c r="CI124" s="59">
        <f t="shared" si="243"/>
        <v>-50</v>
      </c>
      <c r="CJ124">
        <f t="shared" si="244"/>
        <v>-50</v>
      </c>
    </row>
    <row r="125" spans="5:88" x14ac:dyDescent="0.25">
      <c r="E125" s="150">
        <v>15</v>
      </c>
      <c r="F125" s="191">
        <f t="shared" si="245"/>
        <v>7.4999999999999997E-2</v>
      </c>
      <c r="G125" s="191">
        <f t="shared" si="183"/>
        <v>1.4999999999999999E-2</v>
      </c>
      <c r="H125" s="191">
        <f t="shared" si="184"/>
        <v>1.125</v>
      </c>
      <c r="I125" s="191">
        <f t="shared" si="185"/>
        <v>0.24</v>
      </c>
      <c r="J125" s="472">
        <f t="shared" si="186"/>
        <v>9</v>
      </c>
      <c r="K125" s="386">
        <f t="shared" si="187"/>
        <v>7.66</v>
      </c>
      <c r="L125" s="386">
        <f t="shared" si="188"/>
        <v>16.66</v>
      </c>
      <c r="M125" s="386"/>
      <c r="N125" s="191">
        <f t="shared" si="189"/>
        <v>0.45978391356542619</v>
      </c>
      <c r="O125" s="152">
        <f t="shared" si="190"/>
        <v>6.2923449599620076</v>
      </c>
      <c r="P125" s="152">
        <f t="shared" si="191"/>
        <v>1.6287385354141657</v>
      </c>
      <c r="Q125" s="191">
        <f t="shared" si="192"/>
        <v>0.41948966399746718</v>
      </c>
      <c r="R125" s="191">
        <f t="shared" si="193"/>
        <v>0.39327155999762548</v>
      </c>
      <c r="S125" s="191">
        <f t="shared" si="194"/>
        <v>15</v>
      </c>
      <c r="T125" s="191">
        <f t="shared" si="195"/>
        <v>0.73303355574896045</v>
      </c>
      <c r="U125" s="191">
        <f t="shared" si="196"/>
        <v>0.73303355574896045</v>
      </c>
      <c r="V125" s="191">
        <f t="shared" si="197"/>
        <v>0.86126657986170296</v>
      </c>
      <c r="W125" s="175">
        <f t="shared" si="198"/>
        <v>350</v>
      </c>
      <c r="X125" s="386">
        <f t="shared" si="199"/>
        <v>350</v>
      </c>
      <c r="Z125" s="191">
        <f t="shared" si="200"/>
        <v>1.3136683244726464</v>
      </c>
      <c r="AA125" s="153">
        <f t="shared" si="201"/>
        <v>1.5434745326702111</v>
      </c>
      <c r="AB125" s="153">
        <f t="shared" si="202"/>
        <v>0.14622213484608731</v>
      </c>
      <c r="AC125" s="153"/>
      <c r="AD125" s="153">
        <f t="shared" si="203"/>
        <v>0.96344647519582249</v>
      </c>
      <c r="AE125" s="317">
        <f t="shared" si="204"/>
        <v>379.73428514772957</v>
      </c>
      <c r="AF125" s="463">
        <f t="shared" si="205"/>
        <v>6.9127284595300251E-2</v>
      </c>
      <c r="AH125" s="153">
        <f t="shared" si="206"/>
        <v>0.93094933625126275</v>
      </c>
      <c r="AI125" s="153">
        <f t="shared" si="207"/>
        <v>0.93094933625126275</v>
      </c>
      <c r="AJ125" s="153">
        <f t="shared" si="208"/>
        <v>1.2821846935194539</v>
      </c>
      <c r="AL125" s="317">
        <f t="shared" si="209"/>
        <v>75</v>
      </c>
      <c r="AM125" s="147">
        <f t="shared" si="210"/>
        <v>350</v>
      </c>
      <c r="AO125" s="147">
        <f t="shared" si="211"/>
        <v>75</v>
      </c>
      <c r="AP125" s="147">
        <f t="shared" si="212"/>
        <v>350</v>
      </c>
      <c r="AR125" s="5">
        <f t="shared" si="160"/>
        <v>2.8571428571428572</v>
      </c>
      <c r="AS125" s="5">
        <f t="shared" si="246"/>
        <v>0.93094933625126275</v>
      </c>
      <c r="AT125" s="5">
        <f t="shared" si="247"/>
        <v>1.9261935208915943</v>
      </c>
      <c r="AU125" s="153">
        <f t="shared" si="248"/>
        <v>0.32583226768794193</v>
      </c>
      <c r="AW125" s="5">
        <f t="shared" si="216"/>
        <v>0.46547466812563137</v>
      </c>
      <c r="AX125" s="5"/>
      <c r="AY125" s="5">
        <f t="shared" si="217"/>
        <v>8.7276500273555879E-2</v>
      </c>
      <c r="AZ125" s="5"/>
      <c r="BA125" s="5">
        <f t="shared" si="218"/>
        <v>0.48203041063353208</v>
      </c>
      <c r="BB125" s="5"/>
      <c r="BC125" s="5"/>
      <c r="BD125" s="153">
        <f t="shared" si="219"/>
        <v>0.30680502241084084</v>
      </c>
      <c r="BE125" s="153">
        <f t="shared" si="220"/>
        <v>0.2206578613557493</v>
      </c>
      <c r="BF125" s="153">
        <f t="shared" si="221"/>
        <v>4.4189260600916075E-2</v>
      </c>
      <c r="BG125" s="153"/>
      <c r="BH125" s="463">
        <f t="shared" si="222"/>
        <v>1.0354225395416821E-2</v>
      </c>
      <c r="BI125" s="463">
        <f t="shared" si="223"/>
        <v>2.7141827898405569E-2</v>
      </c>
      <c r="BJ125" s="463">
        <f t="shared" si="224"/>
        <v>1.7499999999999998E-2</v>
      </c>
      <c r="BK125" s="463">
        <f t="shared" si="225"/>
        <v>2.18575035E-2</v>
      </c>
      <c r="BL125">
        <f t="shared" si="226"/>
        <v>2.6099999999999999E-3</v>
      </c>
      <c r="BM125">
        <f t="shared" si="227"/>
        <v>1.4E-5</v>
      </c>
      <c r="BN125">
        <f t="shared" si="228"/>
        <v>8.1030173585873597E-2</v>
      </c>
      <c r="BO125" s="147">
        <f t="shared" si="229"/>
        <v>79.463556793822391</v>
      </c>
      <c r="BP125" s="153">
        <f t="shared" si="230"/>
        <v>0.03</v>
      </c>
      <c r="BQ125" s="153">
        <f t="shared" si="231"/>
        <v>6.0000000000000001E-3</v>
      </c>
      <c r="BR125" s="463"/>
      <c r="BT125" s="147">
        <f t="shared" si="232"/>
        <v>36</v>
      </c>
      <c r="BU125" s="463">
        <f t="shared" si="233"/>
        <v>8.0009923510039067E-3</v>
      </c>
      <c r="BV125" s="463">
        <f t="shared" si="234"/>
        <v>9.2510794378376851E-3</v>
      </c>
      <c r="BW125" s="463">
        <f t="shared" si="235"/>
        <v>9.7634537622783688E-5</v>
      </c>
      <c r="BX125" s="463">
        <f t="shared" si="236"/>
        <v>0</v>
      </c>
      <c r="BY125" s="463">
        <f t="shared" si="180"/>
        <v>1.9458679275314306E-2</v>
      </c>
      <c r="BZ125" s="463">
        <f t="shared" si="166"/>
        <v>1.7349706326464372E-2</v>
      </c>
      <c r="CA125" s="549">
        <f t="shared" si="237"/>
        <v>0.1516666666666667</v>
      </c>
      <c r="CB125" s="147">
        <f t="shared" si="238"/>
        <v>205.82475859490975</v>
      </c>
      <c r="CC125" s="153">
        <f t="shared" si="168"/>
        <v>0.28815551952785456</v>
      </c>
      <c r="CD125" s="5">
        <f t="shared" si="239"/>
        <v>1.365</v>
      </c>
      <c r="CE125" s="153">
        <f t="shared" si="240"/>
        <v>0.82569364096479414</v>
      </c>
      <c r="CF125" s="5">
        <f t="shared" si="241"/>
        <v>82.569364096479418</v>
      </c>
      <c r="CG125">
        <f t="shared" si="242"/>
        <v>15</v>
      </c>
      <c r="CI125" s="59">
        <f t="shared" si="243"/>
        <v>-50</v>
      </c>
      <c r="CJ125">
        <f t="shared" si="244"/>
        <v>-50</v>
      </c>
    </row>
    <row r="126" spans="5:88" x14ac:dyDescent="0.25">
      <c r="E126" s="150">
        <v>16</v>
      </c>
      <c r="F126" s="191">
        <f t="shared" si="245"/>
        <v>0.08</v>
      </c>
      <c r="G126" s="191">
        <f t="shared" si="183"/>
        <v>1.6E-2</v>
      </c>
      <c r="H126" s="191">
        <f t="shared" si="184"/>
        <v>1.2</v>
      </c>
      <c r="I126" s="191">
        <f t="shared" si="185"/>
        <v>0.25600000000000001</v>
      </c>
      <c r="J126" s="472">
        <f t="shared" si="186"/>
        <v>9</v>
      </c>
      <c r="K126" s="386">
        <f t="shared" si="187"/>
        <v>7.66</v>
      </c>
      <c r="L126" s="386">
        <f t="shared" si="188"/>
        <v>16.66</v>
      </c>
      <c r="M126" s="386"/>
      <c r="N126" s="191">
        <f t="shared" si="189"/>
        <v>0.45978391356542619</v>
      </c>
      <c r="O126" s="152">
        <f t="shared" si="190"/>
        <v>6.2923449599620076</v>
      </c>
      <c r="P126" s="152">
        <f t="shared" si="191"/>
        <v>1.6287385354141657</v>
      </c>
      <c r="Q126" s="191">
        <f t="shared" si="192"/>
        <v>0.41948966399746718</v>
      </c>
      <c r="R126" s="191">
        <f t="shared" si="193"/>
        <v>0.39327155999762548</v>
      </c>
      <c r="S126" s="191">
        <f t="shared" si="194"/>
        <v>15</v>
      </c>
      <c r="T126" s="191">
        <f t="shared" si="195"/>
        <v>0.78190245946555781</v>
      </c>
      <c r="U126" s="191">
        <f t="shared" si="196"/>
        <v>0.78190245946555781</v>
      </c>
      <c r="V126" s="191">
        <f t="shared" si="197"/>
        <v>0.91868435185248309</v>
      </c>
      <c r="W126" s="175">
        <f t="shared" si="198"/>
        <v>350</v>
      </c>
      <c r="X126" s="386">
        <f t="shared" si="199"/>
        <v>350</v>
      </c>
      <c r="Z126" s="191">
        <f t="shared" si="200"/>
        <v>1.3136683244726464</v>
      </c>
      <c r="AA126" s="153">
        <f t="shared" si="201"/>
        <v>1.5434745326702111</v>
      </c>
      <c r="AB126" s="153">
        <f t="shared" si="202"/>
        <v>0.14622213484608731</v>
      </c>
      <c r="AC126" s="153"/>
      <c r="AD126" s="153">
        <f t="shared" si="203"/>
        <v>0.96344647519582249</v>
      </c>
      <c r="AE126" s="317">
        <f t="shared" si="204"/>
        <v>405.04990415757817</v>
      </c>
      <c r="AF126" s="463">
        <f t="shared" si="205"/>
        <v>6.9127284595300251E-2</v>
      </c>
      <c r="AH126" s="153">
        <f t="shared" si="206"/>
        <v>0.9614803401237304</v>
      </c>
      <c r="AI126" s="153">
        <f t="shared" si="207"/>
        <v>0.9614803401237304</v>
      </c>
      <c r="AJ126" s="153">
        <f t="shared" si="208"/>
        <v>1.304800251943504</v>
      </c>
      <c r="AL126" s="317">
        <f t="shared" si="209"/>
        <v>80</v>
      </c>
      <c r="AM126" s="147">
        <f t="shared" si="210"/>
        <v>350</v>
      </c>
      <c r="AO126" s="147">
        <f t="shared" si="211"/>
        <v>80</v>
      </c>
      <c r="AP126" s="147">
        <f t="shared" si="212"/>
        <v>350</v>
      </c>
      <c r="AR126" s="5">
        <f t="shared" si="160"/>
        <v>2.8571428571428572</v>
      </c>
      <c r="AS126" s="5">
        <f t="shared" si="246"/>
        <v>0.9614803401237304</v>
      </c>
      <c r="AT126" s="5">
        <f t="shared" si="247"/>
        <v>1.8956625170191268</v>
      </c>
      <c r="AU126" s="153">
        <f t="shared" si="248"/>
        <v>0.33651811904330564</v>
      </c>
      <c r="AW126" s="5">
        <f t="shared" si="216"/>
        <v>0.51278951473265622</v>
      </c>
      <c r="AX126" s="5"/>
      <c r="AY126" s="5">
        <f t="shared" si="217"/>
        <v>9.614803401237304E-2</v>
      </c>
      <c r="AZ126" s="5"/>
      <c r="BA126" s="5">
        <f t="shared" si="218"/>
        <v>0.50601602055899275</v>
      </c>
      <c r="BB126" s="5"/>
      <c r="BC126" s="5"/>
      <c r="BD126" s="153">
        <f t="shared" si="219"/>
        <v>0.32202086143834324</v>
      </c>
      <c r="BE126" s="153">
        <f t="shared" si="220"/>
        <v>0.22608113197846444</v>
      </c>
      <c r="BF126" s="153">
        <f t="shared" si="221"/>
        <v>4.5275332573987914E-2</v>
      </c>
      <c r="BG126" s="153"/>
      <c r="BH126" s="463">
        <f t="shared" si="222"/>
        <v>1.1406717872164194E-2</v>
      </c>
      <c r="BI126" s="463">
        <f t="shared" si="223"/>
        <v>2.8031959316307357E-2</v>
      </c>
      <c r="BJ126" s="463">
        <f t="shared" si="224"/>
        <v>1.7499999999999998E-2</v>
      </c>
      <c r="BK126" s="463">
        <f t="shared" si="225"/>
        <v>2.18575035E-2</v>
      </c>
      <c r="BL126">
        <f t="shared" si="226"/>
        <v>2.6099999999999999E-3</v>
      </c>
      <c r="BM126">
        <f t="shared" si="227"/>
        <v>1.4E-5</v>
      </c>
      <c r="BN126">
        <f t="shared" si="228"/>
        <v>8.3135048590434982E-2</v>
      </c>
      <c r="BO126" s="147">
        <f t="shared" si="229"/>
        <v>81.406180688471551</v>
      </c>
      <c r="BP126" s="153">
        <f t="shared" si="230"/>
        <v>3.2000000000000001E-2</v>
      </c>
      <c r="BQ126" s="153">
        <f t="shared" si="231"/>
        <v>6.4000000000000003E-3</v>
      </c>
      <c r="BR126" s="463"/>
      <c r="BT126" s="147">
        <f t="shared" si="232"/>
        <v>38.400000000000006</v>
      </c>
      <c r="BU126" s="463">
        <f t="shared" si="233"/>
        <v>8.8142819921268774E-3</v>
      </c>
      <c r="BV126" s="463">
        <f t="shared" si="234"/>
        <v>9.7114088649661329E-3</v>
      </c>
      <c r="BW126" s="463">
        <f t="shared" si="235"/>
        <v>1.0249278698426056E-4</v>
      </c>
      <c r="BX126" s="463">
        <f t="shared" si="236"/>
        <v>0</v>
      </c>
      <c r="BY126" s="463">
        <f t="shared" si="180"/>
        <v>2.0894704112197803E-2</v>
      </c>
      <c r="BZ126" s="463">
        <f t="shared" si="166"/>
        <v>1.8628183644077274E-2</v>
      </c>
      <c r="CA126" s="549">
        <f t="shared" si="237"/>
        <v>0.16177777777777777</v>
      </c>
      <c r="CB126" s="147">
        <f t="shared" si="238"/>
        <v>219.92884917813009</v>
      </c>
      <c r="CC126" s="153">
        <f t="shared" si="168"/>
        <v>0.30420753048041055</v>
      </c>
      <c r="CD126" s="5">
        <f t="shared" si="239"/>
        <v>1.456</v>
      </c>
      <c r="CE126" s="153">
        <f t="shared" si="240"/>
        <v>0.82717519087230373</v>
      </c>
      <c r="CF126" s="5">
        <f t="shared" si="241"/>
        <v>82.717519087230372</v>
      </c>
      <c r="CG126">
        <f t="shared" si="242"/>
        <v>16</v>
      </c>
      <c r="CI126" s="59">
        <f t="shared" si="243"/>
        <v>-50</v>
      </c>
      <c r="CJ126">
        <f t="shared" si="244"/>
        <v>-50</v>
      </c>
    </row>
    <row r="127" spans="5:88" x14ac:dyDescent="0.25">
      <c r="E127" s="150">
        <v>17</v>
      </c>
      <c r="F127" s="191">
        <f t="shared" si="245"/>
        <v>8.5000000000000006E-2</v>
      </c>
      <c r="G127" s="191">
        <f t="shared" si="183"/>
        <v>1.7000000000000001E-2</v>
      </c>
      <c r="H127" s="191">
        <f t="shared" si="184"/>
        <v>1.2750000000000001</v>
      </c>
      <c r="I127" s="191">
        <f t="shared" si="185"/>
        <v>0.27200000000000002</v>
      </c>
      <c r="J127" s="472">
        <f t="shared" si="186"/>
        <v>9</v>
      </c>
      <c r="K127" s="386">
        <f t="shared" si="187"/>
        <v>7.66</v>
      </c>
      <c r="L127" s="386">
        <f t="shared" si="188"/>
        <v>16.66</v>
      </c>
      <c r="M127" s="386"/>
      <c r="N127" s="191">
        <f t="shared" si="189"/>
        <v>0.45978391356542619</v>
      </c>
      <c r="O127" s="152">
        <f t="shared" si="190"/>
        <v>6.2923449599620076</v>
      </c>
      <c r="P127" s="152">
        <f t="shared" si="191"/>
        <v>1.6287385354141657</v>
      </c>
      <c r="Q127" s="191">
        <f t="shared" si="192"/>
        <v>0.41948966399746718</v>
      </c>
      <c r="R127" s="191">
        <f t="shared" si="193"/>
        <v>0.39327155999762548</v>
      </c>
      <c r="S127" s="191">
        <f t="shared" si="194"/>
        <v>15</v>
      </c>
      <c r="T127" s="191">
        <f t="shared" si="195"/>
        <v>0.83077136318215528</v>
      </c>
      <c r="U127" s="191">
        <f t="shared" si="196"/>
        <v>0.83077136318215528</v>
      </c>
      <c r="V127" s="191">
        <f t="shared" si="197"/>
        <v>0.97610212384326345</v>
      </c>
      <c r="W127" s="175">
        <f t="shared" si="198"/>
        <v>350</v>
      </c>
      <c r="X127" s="386">
        <f t="shared" si="199"/>
        <v>350</v>
      </c>
      <c r="Z127" s="191">
        <f t="shared" si="200"/>
        <v>1.3136683244726464</v>
      </c>
      <c r="AA127" s="153">
        <f t="shared" si="201"/>
        <v>1.5434745326702111</v>
      </c>
      <c r="AB127" s="153">
        <f t="shared" si="202"/>
        <v>0.14622213484608731</v>
      </c>
      <c r="AC127" s="153"/>
      <c r="AD127" s="153">
        <f t="shared" si="203"/>
        <v>0.96344647519582249</v>
      </c>
      <c r="AE127" s="317">
        <f t="shared" si="204"/>
        <v>430.36552316742689</v>
      </c>
      <c r="AF127" s="463">
        <f t="shared" si="205"/>
        <v>6.9127284595300251E-2</v>
      </c>
      <c r="AH127" s="153">
        <f t="shared" si="206"/>
        <v>0.99107124982123374</v>
      </c>
      <c r="AI127" s="153">
        <f t="shared" si="207"/>
        <v>0.99107124982123374</v>
      </c>
      <c r="AJ127" s="153">
        <f t="shared" si="208"/>
        <v>1.3267194443120249</v>
      </c>
      <c r="AL127" s="317">
        <f t="shared" si="209"/>
        <v>85</v>
      </c>
      <c r="AM127" s="147">
        <f t="shared" si="210"/>
        <v>350</v>
      </c>
      <c r="AO127" s="147">
        <f t="shared" si="211"/>
        <v>85</v>
      </c>
      <c r="AP127" s="147">
        <f t="shared" si="212"/>
        <v>350</v>
      </c>
      <c r="AR127" s="5">
        <f t="shared" si="160"/>
        <v>2.8571428571428572</v>
      </c>
      <c r="AS127" s="5">
        <f t="shared" si="246"/>
        <v>0.99107124982123396</v>
      </c>
      <c r="AT127" s="5">
        <f t="shared" si="247"/>
        <v>1.8660716073216232</v>
      </c>
      <c r="AU127" s="153">
        <f t="shared" si="248"/>
        <v>0.34687493743743186</v>
      </c>
      <c r="AW127" s="5">
        <f t="shared" si="216"/>
        <v>0.56160704156536589</v>
      </c>
      <c r="AX127" s="5"/>
      <c r="AY127" s="5">
        <f t="shared" si="217"/>
        <v>0.10530132029350611</v>
      </c>
      <c r="AZ127" s="5"/>
      <c r="BA127" s="5">
        <f t="shared" si="218"/>
        <v>0.52924953827940602</v>
      </c>
      <c r="BB127" s="5"/>
      <c r="BC127" s="5"/>
      <c r="BD127" s="153">
        <f t="shared" si="219"/>
        <v>0.33700062902166256</v>
      </c>
      <c r="BE127" s="153">
        <f t="shared" si="220"/>
        <v>0.23121309621559677</v>
      </c>
      <c r="BF127" s="153">
        <f t="shared" si="221"/>
        <v>4.6303067111411016E-2</v>
      </c>
      <c r="BG127" s="153"/>
      <c r="BH127" s="463">
        <f t="shared" si="222"/>
        <v>1.2492636635709585E-2</v>
      </c>
      <c r="BI127" s="463">
        <f t="shared" si="223"/>
        <v>2.8894682288538063E-2</v>
      </c>
      <c r="BJ127" s="463">
        <f t="shared" si="224"/>
        <v>1.7499999999999998E-2</v>
      </c>
      <c r="BK127" s="463">
        <f t="shared" si="225"/>
        <v>2.18575035E-2</v>
      </c>
      <c r="BL127">
        <f t="shared" si="226"/>
        <v>2.6099999999999999E-3</v>
      </c>
      <c r="BM127">
        <f t="shared" si="227"/>
        <v>1.4E-5</v>
      </c>
      <c r="BN127">
        <f t="shared" si="228"/>
        <v>8.5251824572414162E-2</v>
      </c>
      <c r="BO127" s="147">
        <f t="shared" si="229"/>
        <v>83.354822424247644</v>
      </c>
      <c r="BP127" s="153">
        <f t="shared" si="230"/>
        <v>3.4000000000000002E-2</v>
      </c>
      <c r="BQ127" s="153">
        <f t="shared" si="231"/>
        <v>6.8000000000000005E-3</v>
      </c>
      <c r="BR127" s="463"/>
      <c r="BT127" s="147">
        <f t="shared" si="232"/>
        <v>40.800000000000004</v>
      </c>
      <c r="BU127" s="463">
        <f t="shared" si="233"/>
        <v>9.6534010366846803E-3</v>
      </c>
      <c r="BV127" s="463">
        <f t="shared" si="234"/>
        <v>1.0157304213704534E-2</v>
      </c>
      <c r="BW127" s="463">
        <f t="shared" si="235"/>
        <v>1.0719870119619163E-4</v>
      </c>
      <c r="BX127" s="463">
        <f t="shared" si="236"/>
        <v>0</v>
      </c>
      <c r="BY127" s="463">
        <f t="shared" si="180"/>
        <v>2.2343655528555263E-2</v>
      </c>
      <c r="BZ127" s="463">
        <f t="shared" si="166"/>
        <v>1.9917903951585405E-2</v>
      </c>
      <c r="CA127" s="549">
        <f t="shared" si="237"/>
        <v>0.17188888888888892</v>
      </c>
      <c r="CB127" s="147">
        <f t="shared" si="238"/>
        <v>234.06835232061502</v>
      </c>
      <c r="CC127" s="153">
        <f t="shared" si="168"/>
        <v>0.32028436898985835</v>
      </c>
      <c r="CD127" s="5">
        <f t="shared" si="239"/>
        <v>1.5470000000000002</v>
      </c>
      <c r="CE127" s="153">
        <f t="shared" si="240"/>
        <v>0.82847584743446334</v>
      </c>
      <c r="CF127" s="5">
        <f t="shared" si="241"/>
        <v>82.847584743446333</v>
      </c>
      <c r="CG127">
        <f t="shared" si="242"/>
        <v>17</v>
      </c>
      <c r="CI127" s="59">
        <f t="shared" si="243"/>
        <v>-50</v>
      </c>
      <c r="CJ127">
        <f t="shared" si="244"/>
        <v>-50</v>
      </c>
    </row>
    <row r="128" spans="5:88" x14ac:dyDescent="0.25">
      <c r="E128" s="150">
        <v>18</v>
      </c>
      <c r="F128" s="191">
        <f t="shared" si="245"/>
        <v>0.09</v>
      </c>
      <c r="G128" s="191">
        <f t="shared" si="183"/>
        <v>1.7999999999999999E-2</v>
      </c>
      <c r="H128" s="191">
        <f t="shared" si="184"/>
        <v>1.3499999999999999</v>
      </c>
      <c r="I128" s="191">
        <f t="shared" si="185"/>
        <v>0.28799999999999998</v>
      </c>
      <c r="J128" s="472">
        <f t="shared" si="186"/>
        <v>9</v>
      </c>
      <c r="K128" s="386">
        <f t="shared" si="187"/>
        <v>7.66</v>
      </c>
      <c r="L128" s="386">
        <f t="shared" si="188"/>
        <v>16.66</v>
      </c>
      <c r="M128" s="386"/>
      <c r="N128" s="191">
        <f t="shared" si="189"/>
        <v>0.45978391356542619</v>
      </c>
      <c r="O128" s="152">
        <f t="shared" si="190"/>
        <v>6.2923449599620076</v>
      </c>
      <c r="P128" s="152">
        <f t="shared" si="191"/>
        <v>1.6287385354141657</v>
      </c>
      <c r="Q128" s="191">
        <f t="shared" si="192"/>
        <v>0.41948966399746718</v>
      </c>
      <c r="R128" s="191">
        <f t="shared" si="193"/>
        <v>0.39327155999762548</v>
      </c>
      <c r="S128" s="191">
        <f t="shared" si="194"/>
        <v>15</v>
      </c>
      <c r="T128" s="191">
        <f t="shared" si="195"/>
        <v>0.87964026689875241</v>
      </c>
      <c r="U128" s="191">
        <f t="shared" si="196"/>
        <v>0.87964026689875252</v>
      </c>
      <c r="V128" s="191">
        <f t="shared" si="197"/>
        <v>1.0335198958340432</v>
      </c>
      <c r="W128" s="175">
        <f t="shared" si="198"/>
        <v>350</v>
      </c>
      <c r="X128" s="386">
        <f t="shared" si="199"/>
        <v>350</v>
      </c>
      <c r="Z128" s="191">
        <f t="shared" si="200"/>
        <v>1.3136683244726464</v>
      </c>
      <c r="AA128" s="153">
        <f t="shared" si="201"/>
        <v>1.5434745326702111</v>
      </c>
      <c r="AB128" s="153">
        <f t="shared" si="202"/>
        <v>0.14622213484608731</v>
      </c>
      <c r="AC128" s="153"/>
      <c r="AD128" s="153">
        <f t="shared" si="203"/>
        <v>0.96344647519582249</v>
      </c>
      <c r="AE128" s="317">
        <f t="shared" si="204"/>
        <v>455.68114217727543</v>
      </c>
      <c r="AF128" s="463">
        <f t="shared" si="205"/>
        <v>6.9127284595300251E-2</v>
      </c>
      <c r="AH128" s="153">
        <f t="shared" si="206"/>
        <v>1.019803902718557</v>
      </c>
      <c r="AI128" s="153">
        <f t="shared" si="207"/>
        <v>1.019803902718557</v>
      </c>
      <c r="AJ128" s="153">
        <f t="shared" si="208"/>
        <v>1.3480028909026349</v>
      </c>
      <c r="AL128" s="317">
        <f t="shared" si="209"/>
        <v>90</v>
      </c>
      <c r="AM128" s="147">
        <f t="shared" si="210"/>
        <v>350</v>
      </c>
      <c r="AO128" s="147">
        <f t="shared" si="211"/>
        <v>90</v>
      </c>
      <c r="AP128" s="147">
        <f t="shared" si="212"/>
        <v>350</v>
      </c>
      <c r="AR128" s="5">
        <f t="shared" si="160"/>
        <v>2.8571428571428572</v>
      </c>
      <c r="AS128" s="5">
        <f t="shared" si="246"/>
        <v>1.019803902718557</v>
      </c>
      <c r="AT128" s="5">
        <f t="shared" si="247"/>
        <v>1.8373389544243002</v>
      </c>
      <c r="AU128" s="153">
        <f t="shared" si="248"/>
        <v>0.35693136595149494</v>
      </c>
      <c r="AW128" s="5">
        <f t="shared" si="216"/>
        <v>0.6118823416311342</v>
      </c>
      <c r="AX128" s="5"/>
      <c r="AY128" s="5">
        <f t="shared" si="217"/>
        <v>0.11472793905583767</v>
      </c>
      <c r="AZ128" s="5"/>
      <c r="BA128" s="5">
        <f t="shared" si="218"/>
        <v>0.55175343976705693</v>
      </c>
      <c r="BB128" s="5"/>
      <c r="BC128" s="5"/>
      <c r="BD128" s="153">
        <f t="shared" si="219"/>
        <v>0.35176157672944458</v>
      </c>
      <c r="BE128" s="153">
        <f t="shared" si="220"/>
        <v>0.23607756130320906</v>
      </c>
      <c r="BF128" s="153">
        <f t="shared" si="221"/>
        <v>4.7277231884511939E-2</v>
      </c>
      <c r="BG128" s="153"/>
      <c r="BH128" s="463">
        <f t="shared" si="222"/>
        <v>1.3610982754950342E-2</v>
      </c>
      <c r="BI128" s="463">
        <f t="shared" si="223"/>
        <v>2.9732382783759531E-2</v>
      </c>
      <c r="BJ128" s="463">
        <f t="shared" si="224"/>
        <v>1.7499999999999998E-2</v>
      </c>
      <c r="BK128" s="463">
        <f t="shared" si="225"/>
        <v>2.18575035E-2</v>
      </c>
      <c r="BL128">
        <f t="shared" si="226"/>
        <v>2.6099999999999999E-3</v>
      </c>
      <c r="BM128">
        <f t="shared" si="227"/>
        <v>1.4E-5</v>
      </c>
      <c r="BN128">
        <f t="shared" si="228"/>
        <v>8.7381787154269044E-2</v>
      </c>
      <c r="BO128" s="147">
        <f t="shared" si="229"/>
        <v>85.310869038709882</v>
      </c>
      <c r="BP128" s="153">
        <f t="shared" si="230"/>
        <v>3.5999999999999997E-2</v>
      </c>
      <c r="BQ128" s="153">
        <f t="shared" si="231"/>
        <v>7.1999999999999998E-3</v>
      </c>
      <c r="BR128" s="463"/>
      <c r="BT128" s="147">
        <f t="shared" si="232"/>
        <v>43.199999999999996</v>
      </c>
      <c r="BU128" s="463">
        <f t="shared" si="233"/>
        <v>1.051757758337072E-2</v>
      </c>
      <c r="BV128" s="463">
        <f t="shared" si="234"/>
        <v>1.0589196840665381E-2</v>
      </c>
      <c r="BW128" s="463">
        <f t="shared" si="235"/>
        <v>1.1175683273309562E-4</v>
      </c>
      <c r="BX128" s="463">
        <f t="shared" si="236"/>
        <v>0</v>
      </c>
      <c r="BY128" s="463">
        <f t="shared" si="180"/>
        <v>2.3805163856650689E-2</v>
      </c>
      <c r="BZ128" s="463">
        <f t="shared" si="166"/>
        <v>2.1218531256769195E-2</v>
      </c>
      <c r="CA128" s="549">
        <f t="shared" si="237"/>
        <v>0.18200000000000002</v>
      </c>
      <c r="CB128" s="147">
        <f t="shared" si="238"/>
        <v>248.24222637018912</v>
      </c>
      <c r="CC128" s="153">
        <f t="shared" si="168"/>
        <v>0.33638695101091975</v>
      </c>
      <c r="CD128" s="5">
        <f t="shared" si="239"/>
        <v>1.6379999999999999</v>
      </c>
      <c r="CE128" s="153">
        <f t="shared" si="240"/>
        <v>0.8296246078618561</v>
      </c>
      <c r="CF128" s="5">
        <f t="shared" si="241"/>
        <v>82.962460786185616</v>
      </c>
      <c r="CG128">
        <f t="shared" si="242"/>
        <v>18</v>
      </c>
      <c r="CI128" s="59">
        <f t="shared" si="243"/>
        <v>-50</v>
      </c>
      <c r="CJ128">
        <f t="shared" si="244"/>
        <v>-50</v>
      </c>
    </row>
    <row r="129" spans="5:88" x14ac:dyDescent="0.25">
      <c r="E129" s="150">
        <v>19</v>
      </c>
      <c r="F129" s="191">
        <f t="shared" si="245"/>
        <v>9.5000000000000001E-2</v>
      </c>
      <c r="G129" s="191">
        <f t="shared" si="183"/>
        <v>1.9000000000000003E-2</v>
      </c>
      <c r="H129" s="191">
        <f t="shared" si="184"/>
        <v>1.425</v>
      </c>
      <c r="I129" s="191">
        <f t="shared" si="185"/>
        <v>0.30400000000000005</v>
      </c>
      <c r="J129" s="472">
        <f t="shared" si="186"/>
        <v>9</v>
      </c>
      <c r="K129" s="386">
        <f t="shared" si="187"/>
        <v>7.66</v>
      </c>
      <c r="L129" s="386">
        <f t="shared" si="188"/>
        <v>16.66</v>
      </c>
      <c r="M129" s="386"/>
      <c r="N129" s="191">
        <f t="shared" si="189"/>
        <v>0.45978391356542619</v>
      </c>
      <c r="O129" s="152">
        <f t="shared" si="190"/>
        <v>6.2923449599620076</v>
      </c>
      <c r="P129" s="152">
        <f t="shared" si="191"/>
        <v>1.6287385354141657</v>
      </c>
      <c r="Q129" s="191">
        <f t="shared" si="192"/>
        <v>0.41948966399746718</v>
      </c>
      <c r="R129" s="191">
        <f t="shared" si="193"/>
        <v>0.39327155999762548</v>
      </c>
      <c r="S129" s="191">
        <f t="shared" si="194"/>
        <v>15</v>
      </c>
      <c r="T129" s="191">
        <f t="shared" si="195"/>
        <v>0.92850917061534988</v>
      </c>
      <c r="U129" s="191">
        <f t="shared" si="196"/>
        <v>0.92850917061534999</v>
      </c>
      <c r="V129" s="191">
        <f t="shared" si="197"/>
        <v>1.0909376678248237</v>
      </c>
      <c r="W129" s="175">
        <f t="shared" si="198"/>
        <v>350</v>
      </c>
      <c r="X129" s="386">
        <f t="shared" si="199"/>
        <v>350</v>
      </c>
      <c r="Z129" s="191">
        <f t="shared" si="200"/>
        <v>1.3136683244726464</v>
      </c>
      <c r="AA129" s="153">
        <f t="shared" si="201"/>
        <v>1.5434745326702111</v>
      </c>
      <c r="AB129" s="153">
        <f t="shared" si="202"/>
        <v>0.14622213484608731</v>
      </c>
      <c r="AC129" s="153"/>
      <c r="AD129" s="153">
        <f t="shared" si="203"/>
        <v>0.96344647519582249</v>
      </c>
      <c r="AE129" s="317">
        <f t="shared" si="204"/>
        <v>480.99676118712415</v>
      </c>
      <c r="AF129" s="463">
        <f t="shared" si="205"/>
        <v>6.9127284595300251E-2</v>
      </c>
      <c r="AH129" s="153">
        <f t="shared" si="206"/>
        <v>1.0477489097001143</v>
      </c>
      <c r="AI129" s="153">
        <f t="shared" si="207"/>
        <v>1.0477489097001143</v>
      </c>
      <c r="AJ129" s="153">
        <f t="shared" si="208"/>
        <v>1.3687028960741587</v>
      </c>
      <c r="AL129" s="317">
        <f t="shared" si="209"/>
        <v>95</v>
      </c>
      <c r="AM129" s="147">
        <f t="shared" si="210"/>
        <v>350</v>
      </c>
      <c r="AO129" s="147">
        <f t="shared" si="211"/>
        <v>95</v>
      </c>
      <c r="AP129" s="147">
        <f t="shared" si="212"/>
        <v>350</v>
      </c>
      <c r="AR129" s="5">
        <f t="shared" si="160"/>
        <v>2.8571428571428572</v>
      </c>
      <c r="AS129" s="5">
        <f t="shared" si="246"/>
        <v>1.0477489097001143</v>
      </c>
      <c r="AT129" s="5">
        <f t="shared" si="247"/>
        <v>1.809393947442743</v>
      </c>
      <c r="AU129" s="153">
        <f t="shared" si="248"/>
        <v>0.36671211839503998</v>
      </c>
      <c r="AW129" s="5">
        <f t="shared" si="216"/>
        <v>0.66357430947673901</v>
      </c>
      <c r="AX129" s="5"/>
      <c r="AY129" s="5">
        <f t="shared" si="217"/>
        <v>0.12442018302688859</v>
      </c>
      <c r="AZ129" s="5"/>
      <c r="BA129" s="5">
        <f t="shared" si="218"/>
        <v>0.57354829832185705</v>
      </c>
      <c r="BB129" s="5"/>
      <c r="BC129" s="5"/>
      <c r="BD129" s="153">
        <f t="shared" si="219"/>
        <v>0.36631881124501758</v>
      </c>
      <c r="BE129" s="153">
        <f t="shared" si="220"/>
        <v>0.24069506354200704</v>
      </c>
      <c r="BF129" s="153">
        <f t="shared" si="221"/>
        <v>4.8201939522399317E-2</v>
      </c>
      <c r="BG129" s="153"/>
      <c r="BH129" s="463">
        <f t="shared" si="222"/>
        <v>1.4760841861915912E-2</v>
      </c>
      <c r="BI129" s="463">
        <f t="shared" si="223"/>
        <v>3.0547119462306826E-2</v>
      </c>
      <c r="BJ129" s="463">
        <f t="shared" si="224"/>
        <v>1.7499999999999998E-2</v>
      </c>
      <c r="BK129" s="463">
        <f t="shared" si="225"/>
        <v>2.18575035E-2</v>
      </c>
      <c r="BL129">
        <f t="shared" si="226"/>
        <v>2.6099999999999999E-3</v>
      </c>
      <c r="BM129">
        <f t="shared" si="227"/>
        <v>1.4E-5</v>
      </c>
      <c r="BN129">
        <f t="shared" si="228"/>
        <v>8.9525991351241327E-2</v>
      </c>
      <c r="BO129" s="147">
        <f t="shared" si="229"/>
        <v>87.275464824222738</v>
      </c>
      <c r="BP129" s="153">
        <f t="shared" si="230"/>
        <v>3.8000000000000006E-2</v>
      </c>
      <c r="BQ129" s="153">
        <f t="shared" si="231"/>
        <v>7.6000000000000017E-3</v>
      </c>
      <c r="BR129" s="463"/>
      <c r="BT129" s="147">
        <f t="shared" si="232"/>
        <v>45.600000000000009</v>
      </c>
      <c r="BU129" s="463">
        <f t="shared" si="233"/>
        <v>1.1406105075116841E-2</v>
      </c>
      <c r="BV129" s="463">
        <f t="shared" si="234"/>
        <v>1.1007481586563252E-2</v>
      </c>
      <c r="BW129" s="463">
        <f t="shared" si="235"/>
        <v>1.1617134868605207E-4</v>
      </c>
      <c r="BX129" s="463">
        <f t="shared" si="236"/>
        <v>0</v>
      </c>
      <c r="BY129" s="463">
        <f t="shared" si="180"/>
        <v>2.5278891155650657E-2</v>
      </c>
      <c r="BZ129" s="463">
        <f t="shared" si="166"/>
        <v>2.2529758010366142E-2</v>
      </c>
      <c r="CA129" s="549">
        <f t="shared" si="237"/>
        <v>0.1921111111111112</v>
      </c>
      <c r="CB129" s="147">
        <f t="shared" si="238"/>
        <v>262.44951828749413</v>
      </c>
      <c r="CC129" s="153">
        <f t="shared" si="168"/>
        <v>0.35251599361800318</v>
      </c>
      <c r="CD129" s="5">
        <f t="shared" si="239"/>
        <v>1.7290000000000001</v>
      </c>
      <c r="CE129" s="153">
        <f t="shared" si="240"/>
        <v>0.83064459043368921</v>
      </c>
      <c r="CF129" s="5">
        <f t="shared" si="241"/>
        <v>83.064459043368927</v>
      </c>
      <c r="CG129">
        <f t="shared" si="242"/>
        <v>19</v>
      </c>
      <c r="CI129" s="59">
        <f t="shared" si="243"/>
        <v>-50</v>
      </c>
      <c r="CJ129">
        <f t="shared" si="244"/>
        <v>-50</v>
      </c>
    </row>
    <row r="130" spans="5:88" x14ac:dyDescent="0.25">
      <c r="E130" s="150">
        <v>20</v>
      </c>
      <c r="F130" s="191">
        <f t="shared" si="245"/>
        <v>0.1</v>
      </c>
      <c r="G130" s="191">
        <f t="shared" si="183"/>
        <v>2.0000000000000004E-2</v>
      </c>
      <c r="H130" s="191">
        <f t="shared" si="184"/>
        <v>1.5</v>
      </c>
      <c r="I130" s="191">
        <f t="shared" si="185"/>
        <v>0.32000000000000006</v>
      </c>
      <c r="J130" s="472">
        <f t="shared" si="186"/>
        <v>9</v>
      </c>
      <c r="K130" s="386">
        <f t="shared" si="187"/>
        <v>7.66</v>
      </c>
      <c r="L130" s="386">
        <f t="shared" si="188"/>
        <v>16.66</v>
      </c>
      <c r="M130" s="386"/>
      <c r="N130" s="191">
        <f t="shared" si="189"/>
        <v>0.45978391356542619</v>
      </c>
      <c r="O130" s="152">
        <f t="shared" si="190"/>
        <v>6.2923449599620076</v>
      </c>
      <c r="P130" s="152">
        <f t="shared" si="191"/>
        <v>1.6287385354141657</v>
      </c>
      <c r="Q130" s="191">
        <f t="shared" si="192"/>
        <v>0.41948966399746718</v>
      </c>
      <c r="R130" s="191">
        <f t="shared" si="193"/>
        <v>0.39327155999762548</v>
      </c>
      <c r="S130" s="191">
        <f t="shared" si="194"/>
        <v>15</v>
      </c>
      <c r="T130" s="191">
        <f t="shared" si="195"/>
        <v>0.97737807433194723</v>
      </c>
      <c r="U130" s="191">
        <f t="shared" si="196"/>
        <v>0.97737807433194712</v>
      </c>
      <c r="V130" s="191">
        <f t="shared" si="197"/>
        <v>1.1483554398156037</v>
      </c>
      <c r="W130" s="175">
        <f t="shared" si="198"/>
        <v>350</v>
      </c>
      <c r="X130" s="386">
        <f t="shared" si="199"/>
        <v>350</v>
      </c>
      <c r="Z130" s="191">
        <f t="shared" si="200"/>
        <v>1.3136683244726464</v>
      </c>
      <c r="AA130" s="153">
        <f t="shared" si="201"/>
        <v>1.5434745326702111</v>
      </c>
      <c r="AB130" s="153">
        <f t="shared" si="202"/>
        <v>0.14622213484608731</v>
      </c>
      <c r="AC130" s="153"/>
      <c r="AD130" s="153">
        <f t="shared" si="203"/>
        <v>0.96344647519582249</v>
      </c>
      <c r="AE130" s="317">
        <f t="shared" si="204"/>
        <v>506.31238019697281</v>
      </c>
      <c r="AF130" s="463">
        <f t="shared" si="205"/>
        <v>6.9127284595300251E-2</v>
      </c>
      <c r="AH130" s="153">
        <f t="shared" si="206"/>
        <v>1.0749676997731401</v>
      </c>
      <c r="AI130" s="153">
        <f t="shared" si="207"/>
        <v>1.0749676997731401</v>
      </c>
      <c r="AJ130" s="153">
        <f t="shared" si="208"/>
        <v>1.3888649627949186</v>
      </c>
      <c r="AL130" s="317">
        <f t="shared" si="209"/>
        <v>100</v>
      </c>
      <c r="AM130" s="147">
        <f t="shared" si="210"/>
        <v>350</v>
      </c>
      <c r="AO130" s="147">
        <f t="shared" si="211"/>
        <v>100</v>
      </c>
      <c r="AP130" s="147">
        <f t="shared" si="212"/>
        <v>350</v>
      </c>
      <c r="AR130" s="5">
        <f t="shared" si="160"/>
        <v>2.8571428571428572</v>
      </c>
      <c r="AS130" s="5">
        <f t="shared" si="246"/>
        <v>1.0749676997731401</v>
      </c>
      <c r="AT130" s="5">
        <f t="shared" si="247"/>
        <v>1.7821751573697171</v>
      </c>
      <c r="AU130" s="153">
        <f t="shared" si="248"/>
        <v>0.37623869492059903</v>
      </c>
      <c r="AW130" s="5">
        <f t="shared" si="216"/>
        <v>0.71664513318209344</v>
      </c>
      <c r="AX130" s="5"/>
      <c r="AY130" s="5">
        <f t="shared" si="217"/>
        <v>0.13437096247164254</v>
      </c>
      <c r="AZ130" s="5"/>
      <c r="BA130" s="5">
        <f t="shared" si="218"/>
        <v>0.59465303882873433</v>
      </c>
      <c r="BB130" s="5"/>
      <c r="BC130" s="5"/>
      <c r="BD130" s="153">
        <f t="shared" si="219"/>
        <v>0.38068565953660949</v>
      </c>
      <c r="BE130" s="153">
        <f t="shared" si="220"/>
        <v>0.24508346221663035</v>
      </c>
      <c r="BF130" s="153">
        <f t="shared" si="221"/>
        <v>4.9080766551095126E-2</v>
      </c>
      <c r="BG130" s="153"/>
      <c r="BH130" s="463">
        <f t="shared" si="222"/>
        <v>1.5941372851450569E-2</v>
      </c>
      <c r="BI130" s="463">
        <f t="shared" si="223"/>
        <v>3.1340683286885898E-2</v>
      </c>
      <c r="BJ130" s="463">
        <f t="shared" si="224"/>
        <v>1.7499999999999998E-2</v>
      </c>
      <c r="BK130" s="463">
        <f t="shared" si="225"/>
        <v>2.18575035E-2</v>
      </c>
      <c r="BL130">
        <f t="shared" si="226"/>
        <v>2.6099999999999999E-3</v>
      </c>
      <c r="BM130">
        <f t="shared" si="227"/>
        <v>1.4E-5</v>
      </c>
      <c r="BN130">
        <f t="shared" si="228"/>
        <v>9.1685308270004706E-2</v>
      </c>
      <c r="BO130" s="147">
        <f t="shared" si="229"/>
        <v>89.249559638336478</v>
      </c>
      <c r="BP130" s="153">
        <f t="shared" si="230"/>
        <v>4.0000000000000008E-2</v>
      </c>
      <c r="BQ130" s="153">
        <f t="shared" si="231"/>
        <v>8.0000000000000019E-3</v>
      </c>
      <c r="BR130" s="463"/>
      <c r="BT130" s="147">
        <f t="shared" si="232"/>
        <v>48.000000000000007</v>
      </c>
      <c r="BU130" s="463">
        <f t="shared" si="233"/>
        <v>1.2318333567029986E-2</v>
      </c>
      <c r="BV130" s="463">
        <f t="shared" si="234"/>
        <v>1.1412521655897191E-2</v>
      </c>
      <c r="BW130" s="463">
        <f t="shared" si="235"/>
        <v>1.2044608226215491E-4</v>
      </c>
      <c r="BX130" s="463">
        <f t="shared" si="236"/>
        <v>0</v>
      </c>
      <c r="BY130" s="463">
        <f t="shared" si="180"/>
        <v>2.6764526965567786E-2</v>
      </c>
      <c r="BZ130" s="463">
        <f t="shared" si="166"/>
        <v>2.3851301305189334E-2</v>
      </c>
      <c r="CA130" s="549">
        <f t="shared" si="237"/>
        <v>0.2022222222222223</v>
      </c>
      <c r="CB130" s="147">
        <f t="shared" si="238"/>
        <v>276.68935179816879</v>
      </c>
      <c r="CC130" s="153">
        <f t="shared" si="168"/>
        <v>0.3686720574577948</v>
      </c>
      <c r="CD130" s="5">
        <f t="shared" si="239"/>
        <v>1.82</v>
      </c>
      <c r="CE130" s="153">
        <f t="shared" si="240"/>
        <v>0.83155445503972947</v>
      </c>
      <c r="CF130" s="5">
        <f t="shared" si="241"/>
        <v>83.155445503972942</v>
      </c>
      <c r="CG130">
        <f t="shared" si="242"/>
        <v>20</v>
      </c>
      <c r="CI130" s="59">
        <f t="shared" si="243"/>
        <v>-50</v>
      </c>
      <c r="CJ130">
        <f t="shared" si="244"/>
        <v>-50</v>
      </c>
    </row>
    <row r="131" spans="5:88" x14ac:dyDescent="0.25">
      <c r="E131" s="150">
        <v>21</v>
      </c>
      <c r="F131" s="191">
        <f t="shared" si="245"/>
        <v>0.105</v>
      </c>
      <c r="G131" s="191">
        <f t="shared" si="183"/>
        <v>2.1000000000000001E-2</v>
      </c>
      <c r="H131" s="191">
        <f t="shared" si="184"/>
        <v>1.575</v>
      </c>
      <c r="I131" s="191">
        <f t="shared" si="185"/>
        <v>0.33600000000000002</v>
      </c>
      <c r="J131" s="472">
        <f t="shared" si="186"/>
        <v>9</v>
      </c>
      <c r="K131" s="386">
        <f t="shared" si="187"/>
        <v>7.66</v>
      </c>
      <c r="L131" s="386">
        <f t="shared" si="188"/>
        <v>16.66</v>
      </c>
      <c r="M131" s="386"/>
      <c r="N131" s="191">
        <f t="shared" si="189"/>
        <v>0.45978391356542619</v>
      </c>
      <c r="O131" s="152">
        <f t="shared" si="190"/>
        <v>6.2923449599620076</v>
      </c>
      <c r="P131" s="152">
        <f t="shared" si="191"/>
        <v>1.6287385354141657</v>
      </c>
      <c r="Q131" s="191">
        <f t="shared" si="192"/>
        <v>0.41948966399746718</v>
      </c>
      <c r="R131" s="191">
        <f t="shared" si="193"/>
        <v>0.39327155999762548</v>
      </c>
      <c r="S131" s="191">
        <f t="shared" si="194"/>
        <v>15</v>
      </c>
      <c r="T131" s="191">
        <f t="shared" si="195"/>
        <v>1.0262469780485446</v>
      </c>
      <c r="U131" s="191">
        <f t="shared" si="196"/>
        <v>1.0262469780485446</v>
      </c>
      <c r="V131" s="191">
        <f t="shared" si="197"/>
        <v>1.205773211806384</v>
      </c>
      <c r="W131" s="175">
        <f t="shared" si="198"/>
        <v>350</v>
      </c>
      <c r="X131" s="386">
        <f t="shared" si="199"/>
        <v>350</v>
      </c>
      <c r="Z131" s="191">
        <f t="shared" si="200"/>
        <v>1.3136683244726464</v>
      </c>
      <c r="AA131" s="153">
        <f t="shared" si="201"/>
        <v>1.5434745326702111</v>
      </c>
      <c r="AB131" s="153">
        <f t="shared" si="202"/>
        <v>0.14622213484608731</v>
      </c>
      <c r="AC131" s="153"/>
      <c r="AD131" s="153">
        <f t="shared" si="203"/>
        <v>0.96344647519582249</v>
      </c>
      <c r="AE131" s="317">
        <f t="shared" si="204"/>
        <v>531.62799920682141</v>
      </c>
      <c r="AF131" s="463">
        <f t="shared" si="205"/>
        <v>6.9127284595300251E-2</v>
      </c>
      <c r="AH131" s="153">
        <f t="shared" si="206"/>
        <v>1.1015141094572205</v>
      </c>
      <c r="AI131" s="153">
        <f t="shared" si="207"/>
        <v>1.1015141094572205</v>
      </c>
      <c r="AJ131" s="153">
        <f t="shared" si="208"/>
        <v>1.4085289699683115</v>
      </c>
      <c r="AL131" s="317">
        <f t="shared" si="209"/>
        <v>105</v>
      </c>
      <c r="AM131" s="147">
        <f t="shared" si="210"/>
        <v>350</v>
      </c>
      <c r="AO131" s="147">
        <f t="shared" si="211"/>
        <v>105</v>
      </c>
      <c r="AP131" s="147">
        <f t="shared" si="212"/>
        <v>350</v>
      </c>
      <c r="AR131" s="5">
        <f t="shared" si="160"/>
        <v>2.8571428571428572</v>
      </c>
      <c r="AS131" s="5">
        <f t="shared" si="246"/>
        <v>1.1015141094572205</v>
      </c>
      <c r="AT131" s="5">
        <f t="shared" si="247"/>
        <v>1.7556287476856367</v>
      </c>
      <c r="AU131" s="153">
        <f t="shared" si="248"/>
        <v>0.38552993831002719</v>
      </c>
      <c r="AW131" s="5">
        <f t="shared" si="216"/>
        <v>0.77105987662005426</v>
      </c>
      <c r="AX131" s="5"/>
      <c r="AY131" s="5">
        <f t="shared" si="217"/>
        <v>0.14457372686626022</v>
      </c>
      <c r="AZ131" s="5"/>
      <c r="BA131" s="5">
        <f t="shared" si="218"/>
        <v>0.61508514683680959</v>
      </c>
      <c r="BB131" s="5"/>
      <c r="BC131" s="5"/>
      <c r="BD131" s="153">
        <f t="shared" si="219"/>
        <v>0.39487395674632669</v>
      </c>
      <c r="BE131" s="153">
        <f t="shared" si="220"/>
        <v>0.24925840142708561</v>
      </c>
      <c r="BF131" s="153">
        <f t="shared" si="221"/>
        <v>4.9916845880561465E-2</v>
      </c>
      <c r="BG131" s="153"/>
      <c r="BH131" s="463">
        <f t="shared" si="222"/>
        <v>1.7151798588814989E-2</v>
      </c>
      <c r="BI131" s="463">
        <f t="shared" si="223"/>
        <v>3.2114643861225263E-2</v>
      </c>
      <c r="BJ131" s="463">
        <f t="shared" si="224"/>
        <v>1.7499999999999998E-2</v>
      </c>
      <c r="BK131" s="463">
        <f t="shared" si="225"/>
        <v>2.18575035E-2</v>
      </c>
      <c r="BL131">
        <f t="shared" si="226"/>
        <v>2.6099999999999999E-3</v>
      </c>
      <c r="BM131">
        <f t="shared" si="227"/>
        <v>1.4E-5</v>
      </c>
      <c r="BN131">
        <f t="shared" si="228"/>
        <v>9.3860460829797585E-2</v>
      </c>
      <c r="BO131" s="147">
        <f t="shared" si="229"/>
        <v>91.233945950040251</v>
      </c>
      <c r="BP131" s="153">
        <f t="shared" si="230"/>
        <v>4.2000000000000003E-2</v>
      </c>
      <c r="BQ131" s="153">
        <f t="shared" si="231"/>
        <v>8.4000000000000012E-3</v>
      </c>
      <c r="BR131" s="463"/>
      <c r="BT131" s="147">
        <f t="shared" si="232"/>
        <v>50.4</v>
      </c>
      <c r="BU131" s="463">
        <f t="shared" si="233"/>
        <v>1.3253662545902491E-2</v>
      </c>
      <c r="BV131" s="463">
        <f t="shared" si="234"/>
        <v>1.180465262957737E-2</v>
      </c>
      <c r="BW131" s="463">
        <f t="shared" si="235"/>
        <v>1.2458457513318631E-4</v>
      </c>
      <c r="BX131" s="463">
        <f t="shared" si="236"/>
        <v>0</v>
      </c>
      <c r="BY131" s="463">
        <f t="shared" si="180"/>
        <v>2.8261784816190575E-2</v>
      </c>
      <c r="BZ131" s="463">
        <f t="shared" si="166"/>
        <v>2.5182899750613046E-2</v>
      </c>
      <c r="CA131" s="549">
        <f t="shared" si="237"/>
        <v>0.2123333333333334</v>
      </c>
      <c r="CB131" s="147">
        <f t="shared" si="238"/>
        <v>290.96091765075005</v>
      </c>
      <c r="CC131" s="153">
        <f t="shared" si="168"/>
        <v>0.38485557897932154</v>
      </c>
      <c r="CD131" s="5">
        <f t="shared" si="239"/>
        <v>1.911</v>
      </c>
      <c r="CE131" s="153">
        <f t="shared" si="240"/>
        <v>0.83236943015796372</v>
      </c>
      <c r="CF131" s="5">
        <f t="shared" si="241"/>
        <v>83.236943015796371</v>
      </c>
      <c r="CG131">
        <f t="shared" si="242"/>
        <v>21</v>
      </c>
      <c r="CI131" s="59">
        <f t="shared" si="243"/>
        <v>-50</v>
      </c>
      <c r="CJ131">
        <f t="shared" si="244"/>
        <v>-50</v>
      </c>
    </row>
    <row r="132" spans="5:88" x14ac:dyDescent="0.25">
      <c r="E132" s="150">
        <v>22</v>
      </c>
      <c r="F132" s="191">
        <f t="shared" si="245"/>
        <v>0.11</v>
      </c>
      <c r="G132" s="191">
        <f t="shared" si="183"/>
        <v>2.2000000000000002E-2</v>
      </c>
      <c r="H132" s="191">
        <f t="shared" si="184"/>
        <v>1.65</v>
      </c>
      <c r="I132" s="191">
        <f t="shared" si="185"/>
        <v>0.35200000000000004</v>
      </c>
      <c r="J132" s="472">
        <f t="shared" si="186"/>
        <v>9</v>
      </c>
      <c r="K132" s="386">
        <f t="shared" si="187"/>
        <v>7.66</v>
      </c>
      <c r="L132" s="386">
        <f t="shared" si="188"/>
        <v>16.66</v>
      </c>
      <c r="M132" s="386"/>
      <c r="N132" s="191">
        <f t="shared" si="189"/>
        <v>0.45978391356542619</v>
      </c>
      <c r="O132" s="152">
        <f t="shared" si="190"/>
        <v>6.2923449599620076</v>
      </c>
      <c r="P132" s="152">
        <f t="shared" si="191"/>
        <v>1.6287385354141657</v>
      </c>
      <c r="Q132" s="191">
        <f t="shared" si="192"/>
        <v>0.41948966399746718</v>
      </c>
      <c r="R132" s="191">
        <f t="shared" si="193"/>
        <v>0.39327155999762548</v>
      </c>
      <c r="S132" s="191">
        <f t="shared" si="194"/>
        <v>15</v>
      </c>
      <c r="T132" s="191">
        <f t="shared" si="195"/>
        <v>1.0751158817651418</v>
      </c>
      <c r="U132" s="191">
        <f t="shared" si="196"/>
        <v>1.0751158817651418</v>
      </c>
      <c r="V132" s="191">
        <f t="shared" si="197"/>
        <v>1.263190983797164</v>
      </c>
      <c r="W132" s="175">
        <f t="shared" si="198"/>
        <v>350</v>
      </c>
      <c r="X132" s="386">
        <f t="shared" si="199"/>
        <v>350</v>
      </c>
      <c r="Z132" s="191">
        <f t="shared" si="200"/>
        <v>1.3136683244726464</v>
      </c>
      <c r="AA132" s="153">
        <f t="shared" si="201"/>
        <v>1.5434745326702111</v>
      </c>
      <c r="AB132" s="153">
        <f t="shared" si="202"/>
        <v>0.14622213484608731</v>
      </c>
      <c r="AC132" s="153"/>
      <c r="AD132" s="153">
        <f t="shared" si="203"/>
        <v>0.96344647519582249</v>
      </c>
      <c r="AE132" s="317">
        <f t="shared" si="204"/>
        <v>556.94361821666996</v>
      </c>
      <c r="AF132" s="463">
        <f t="shared" si="205"/>
        <v>6.9127284595300251E-2</v>
      </c>
      <c r="AH132" s="153">
        <f t="shared" si="206"/>
        <v>1.1274356350191841</v>
      </c>
      <c r="AI132" s="153">
        <f t="shared" si="207"/>
        <v>1.1274356350191841</v>
      </c>
      <c r="AJ132" s="153">
        <f t="shared" si="208"/>
        <v>1.4277301000142104</v>
      </c>
      <c r="AL132" s="317">
        <f t="shared" si="209"/>
        <v>110</v>
      </c>
      <c r="AM132" s="147">
        <f t="shared" si="210"/>
        <v>350</v>
      </c>
      <c r="AO132" s="147">
        <f t="shared" si="211"/>
        <v>110</v>
      </c>
      <c r="AP132" s="147">
        <f t="shared" si="212"/>
        <v>350</v>
      </c>
      <c r="AR132" s="5">
        <f t="shared" si="160"/>
        <v>2.8571428571428572</v>
      </c>
      <c r="AS132" s="5">
        <f t="shared" si="246"/>
        <v>1.1274356350191843</v>
      </c>
      <c r="AT132" s="5">
        <f t="shared" si="247"/>
        <v>1.7297072221236729</v>
      </c>
      <c r="AU132" s="153">
        <f t="shared" si="248"/>
        <v>0.39460247225671452</v>
      </c>
      <c r="AW132" s="5">
        <f t="shared" si="216"/>
        <v>0.82678613234740184</v>
      </c>
      <c r="AX132" s="5"/>
      <c r="AY132" s="5">
        <f t="shared" si="217"/>
        <v>0.15502239981513785</v>
      </c>
      <c r="AZ132" s="5"/>
      <c r="BA132" s="5">
        <f t="shared" si="218"/>
        <v>0.63486084228763429</v>
      </c>
      <c r="BB132" s="5"/>
      <c r="BC132" s="5"/>
      <c r="BD132" s="153">
        <f t="shared" si="219"/>
        <v>0.40889427604921047</v>
      </c>
      <c r="BE132" s="153">
        <f t="shared" si="220"/>
        <v>0.25323367406305569</v>
      </c>
      <c r="BF132" s="153">
        <f t="shared" si="221"/>
        <v>5.0712939694719128E-2</v>
      </c>
      <c r="BG132" s="153"/>
      <c r="BH132" s="463">
        <f t="shared" si="222"/>
        <v>1.8391398188438875E-2</v>
      </c>
      <c r="BI132" s="463">
        <f t="shared" si="223"/>
        <v>3.2870385938984309E-2</v>
      </c>
      <c r="BJ132" s="463">
        <f t="shared" si="224"/>
        <v>1.7499999999999998E-2</v>
      </c>
      <c r="BK132" s="463">
        <f t="shared" si="225"/>
        <v>2.18575035E-2</v>
      </c>
      <c r="BL132">
        <f t="shared" si="226"/>
        <v>2.6099999999999999E-3</v>
      </c>
      <c r="BM132">
        <f t="shared" si="227"/>
        <v>1.4E-5</v>
      </c>
      <c r="BN132">
        <f t="shared" si="228"/>
        <v>9.6052051449228473E-2</v>
      </c>
      <c r="BO132" s="147">
        <f t="shared" si="229"/>
        <v>93.22928762742319</v>
      </c>
      <c r="BP132" s="153">
        <f t="shared" si="230"/>
        <v>4.4000000000000004E-2</v>
      </c>
      <c r="BQ132" s="153">
        <f t="shared" si="231"/>
        <v>8.8000000000000005E-3</v>
      </c>
      <c r="BR132" s="463"/>
      <c r="BT132" s="147">
        <f t="shared" si="232"/>
        <v>52.800000000000004</v>
      </c>
      <c r="BU132" s="463">
        <f t="shared" si="233"/>
        <v>1.4211534963793676E-2</v>
      </c>
      <c r="BV132" s="463">
        <f t="shared" si="234"/>
        <v>1.2184185799100045E-2</v>
      </c>
      <c r="BW132" s="463">
        <f t="shared" si="235"/>
        <v>1.2859011262401093E-4</v>
      </c>
      <c r="BX132" s="463">
        <f t="shared" si="236"/>
        <v>0</v>
      </c>
      <c r="BY132" s="463">
        <f t="shared" si="180"/>
        <v>2.9770399326710266E-2</v>
      </c>
      <c r="BZ132" s="463">
        <f t="shared" si="166"/>
        <v>2.6524310875517734E-2</v>
      </c>
      <c r="CA132" s="549">
        <f t="shared" si="237"/>
        <v>0.22244444444444444</v>
      </c>
      <c r="CB132" s="147">
        <f t="shared" si="238"/>
        <v>305.26346552219019</v>
      </c>
      <c r="CC132" s="153">
        <f t="shared" si="168"/>
        <v>0.40106689522038319</v>
      </c>
      <c r="CD132" s="5">
        <f t="shared" si="239"/>
        <v>2.0019999999999998</v>
      </c>
      <c r="CE132" s="153">
        <f t="shared" si="240"/>
        <v>0.83310206802062337</v>
      </c>
      <c r="CF132" s="5">
        <f t="shared" si="241"/>
        <v>83.310206802062339</v>
      </c>
      <c r="CG132">
        <f t="shared" si="242"/>
        <v>22</v>
      </c>
      <c r="CI132" s="59">
        <f t="shared" si="243"/>
        <v>-50</v>
      </c>
      <c r="CJ132">
        <f t="shared" si="244"/>
        <v>-50</v>
      </c>
    </row>
    <row r="133" spans="5:88" x14ac:dyDescent="0.25">
      <c r="E133" s="150">
        <v>23</v>
      </c>
      <c r="F133" s="191">
        <f t="shared" si="245"/>
        <v>0.115</v>
      </c>
      <c r="G133" s="191">
        <f t="shared" si="183"/>
        <v>2.3000000000000003E-2</v>
      </c>
      <c r="H133" s="191">
        <f t="shared" si="184"/>
        <v>1.7250000000000001</v>
      </c>
      <c r="I133" s="191">
        <f t="shared" si="185"/>
        <v>0.36800000000000005</v>
      </c>
      <c r="J133" s="472">
        <f t="shared" si="186"/>
        <v>9</v>
      </c>
      <c r="K133" s="386">
        <f t="shared" si="187"/>
        <v>7.66</v>
      </c>
      <c r="L133" s="386">
        <f t="shared" si="188"/>
        <v>16.66</v>
      </c>
      <c r="M133" s="386"/>
      <c r="N133" s="191">
        <f t="shared" si="189"/>
        <v>0.45978391356542619</v>
      </c>
      <c r="O133" s="152">
        <f t="shared" si="190"/>
        <v>6.2923449599620076</v>
      </c>
      <c r="P133" s="152">
        <f t="shared" si="191"/>
        <v>1.6287385354141657</v>
      </c>
      <c r="Q133" s="191">
        <f t="shared" si="192"/>
        <v>0.41948966399746718</v>
      </c>
      <c r="R133" s="191">
        <f t="shared" si="193"/>
        <v>0.39327155999762548</v>
      </c>
      <c r="S133" s="191">
        <f t="shared" si="194"/>
        <v>15</v>
      </c>
      <c r="T133" s="191">
        <f t="shared" si="195"/>
        <v>1.1239847854817393</v>
      </c>
      <c r="U133" s="191">
        <f t="shared" si="196"/>
        <v>1.1239847854817393</v>
      </c>
      <c r="V133" s="191">
        <f t="shared" si="197"/>
        <v>1.3206087557879445</v>
      </c>
      <c r="W133" s="175">
        <f t="shared" si="198"/>
        <v>350</v>
      </c>
      <c r="X133" s="386">
        <f t="shared" si="199"/>
        <v>350</v>
      </c>
      <c r="Z133" s="191">
        <f t="shared" si="200"/>
        <v>1.3136683244726464</v>
      </c>
      <c r="AA133" s="153">
        <f t="shared" si="201"/>
        <v>1.5434745326702111</v>
      </c>
      <c r="AB133" s="153">
        <f t="shared" si="202"/>
        <v>0.14622213484608731</v>
      </c>
      <c r="AC133" s="153"/>
      <c r="AD133" s="153">
        <f t="shared" si="203"/>
        <v>0.96344647519582249</v>
      </c>
      <c r="AE133" s="317">
        <f t="shared" si="204"/>
        <v>582.25923722651874</v>
      </c>
      <c r="AF133" s="463">
        <f t="shared" si="205"/>
        <v>6.9127284595300251E-2</v>
      </c>
      <c r="AH133" s="153">
        <f t="shared" si="206"/>
        <v>1.1527744310527055</v>
      </c>
      <c r="AI133" s="153">
        <f t="shared" si="207"/>
        <v>1.1527744310527055</v>
      </c>
      <c r="AJ133" s="153">
        <f t="shared" si="208"/>
        <v>1.4464995785575596</v>
      </c>
      <c r="AL133" s="317">
        <f t="shared" si="209"/>
        <v>115</v>
      </c>
      <c r="AM133" s="147">
        <f t="shared" si="210"/>
        <v>350</v>
      </c>
      <c r="AO133" s="147">
        <f t="shared" si="211"/>
        <v>115</v>
      </c>
      <c r="AP133" s="147">
        <f t="shared" si="212"/>
        <v>350</v>
      </c>
      <c r="AR133" s="5">
        <f t="shared" si="160"/>
        <v>2.8571428571428572</v>
      </c>
      <c r="AS133" s="5">
        <f t="shared" si="246"/>
        <v>1.1527744310527055</v>
      </c>
      <c r="AT133" s="5">
        <f t="shared" si="247"/>
        <v>1.7043684260901517</v>
      </c>
      <c r="AU133" s="153">
        <f t="shared" si="248"/>
        <v>0.40347105086844692</v>
      </c>
      <c r="AW133" s="5">
        <f t="shared" si="216"/>
        <v>0.88379373047374088</v>
      </c>
      <c r="AX133" s="5"/>
      <c r="AY133" s="5">
        <f t="shared" si="217"/>
        <v>0.16571132446382644</v>
      </c>
      <c r="AZ133" s="5"/>
      <c r="BA133" s="5">
        <f t="shared" si="218"/>
        <v>0.65399522522645126</v>
      </c>
      <c r="BB133" s="5"/>
      <c r="BC133" s="5"/>
      <c r="BD133" s="153">
        <f t="shared" si="219"/>
        <v>0.4227561142815886</v>
      </c>
      <c r="BE133" s="153">
        <f t="shared" si="220"/>
        <v>0.25702151213492586</v>
      </c>
      <c r="BF133" s="153">
        <f t="shared" si="221"/>
        <v>5.1471497593556396E-2</v>
      </c>
      <c r="BG133" s="153"/>
      <c r="BH133" s="463">
        <f t="shared" si="222"/>
        <v>1.9659500537871435E-2</v>
      </c>
      <c r="BI133" s="463">
        <f t="shared" si="223"/>
        <v>3.3609138537341626E-2</v>
      </c>
      <c r="BJ133" s="463">
        <f t="shared" si="224"/>
        <v>1.7499999999999998E-2</v>
      </c>
      <c r="BK133" s="463">
        <f t="shared" si="225"/>
        <v>2.18575035E-2</v>
      </c>
      <c r="BL133">
        <f t="shared" si="226"/>
        <v>2.6099999999999999E-3</v>
      </c>
      <c r="BM133">
        <f t="shared" si="227"/>
        <v>1.4E-5</v>
      </c>
      <c r="BN133">
        <f t="shared" si="228"/>
        <v>9.826058376069563E-2</v>
      </c>
      <c r="BO133" s="147">
        <f t="shared" si="229"/>
        <v>95.236142575213066</v>
      </c>
      <c r="BP133" s="153">
        <f t="shared" si="230"/>
        <v>4.6000000000000006E-2</v>
      </c>
      <c r="BQ133" s="153">
        <f t="shared" si="231"/>
        <v>9.2000000000000016E-3</v>
      </c>
      <c r="BR133" s="463"/>
      <c r="BT133" s="147">
        <f t="shared" si="232"/>
        <v>55.2</v>
      </c>
      <c r="BU133" s="463">
        <f t="shared" si="233"/>
        <v>1.5191432233809747E-2</v>
      </c>
      <c r="BV133" s="463">
        <f t="shared" si="234"/>
        <v>1.255141096302353E-2</v>
      </c>
      <c r="BW133" s="463">
        <f t="shared" si="235"/>
        <v>1.324657532261741E-4</v>
      </c>
      <c r="BX133" s="463">
        <f t="shared" si="236"/>
        <v>0</v>
      </c>
      <c r="BY133" s="463">
        <f t="shared" si="180"/>
        <v>3.1290123773448225E-2</v>
      </c>
      <c r="BZ133" s="463">
        <f t="shared" si="166"/>
        <v>2.7875308950059449E-2</v>
      </c>
      <c r="CA133" s="549">
        <f t="shared" si="237"/>
        <v>0.2325555555555556</v>
      </c>
      <c r="CB133" s="147">
        <f t="shared" si="238"/>
        <v>319.59629722912274</v>
      </c>
      <c r="CC133" s="153">
        <f t="shared" si="168"/>
        <v>0.41730626308969948</v>
      </c>
      <c r="CD133" s="5">
        <f t="shared" si="239"/>
        <v>2.093</v>
      </c>
      <c r="CE133" s="153">
        <f t="shared" si="240"/>
        <v>0.83376280845665562</v>
      </c>
      <c r="CF133" s="5">
        <f t="shared" si="241"/>
        <v>83.376280845665562</v>
      </c>
      <c r="CG133">
        <f t="shared" si="242"/>
        <v>23</v>
      </c>
      <c r="CI133" s="59">
        <f t="shared" si="243"/>
        <v>-50</v>
      </c>
      <c r="CJ133">
        <f t="shared" si="244"/>
        <v>-50</v>
      </c>
    </row>
    <row r="134" spans="5:88" x14ac:dyDescent="0.25">
      <c r="E134" s="150">
        <v>24</v>
      </c>
      <c r="F134" s="191">
        <f t="shared" si="245"/>
        <v>0.12</v>
      </c>
      <c r="G134" s="191">
        <f t="shared" si="183"/>
        <v>2.4E-2</v>
      </c>
      <c r="H134" s="191">
        <f t="shared" si="184"/>
        <v>1.7999999999999998</v>
      </c>
      <c r="I134" s="191">
        <f t="shared" si="185"/>
        <v>0.38400000000000001</v>
      </c>
      <c r="J134" s="472">
        <f t="shared" si="186"/>
        <v>9</v>
      </c>
      <c r="K134" s="386">
        <f t="shared" si="187"/>
        <v>7.66</v>
      </c>
      <c r="L134" s="386">
        <f t="shared" si="188"/>
        <v>16.66</v>
      </c>
      <c r="M134" s="386"/>
      <c r="N134" s="191">
        <f t="shared" si="189"/>
        <v>0.45978391356542619</v>
      </c>
      <c r="O134" s="152">
        <f t="shared" si="190"/>
        <v>6.2923449599620076</v>
      </c>
      <c r="P134" s="152">
        <f t="shared" si="191"/>
        <v>1.6287385354141657</v>
      </c>
      <c r="Q134" s="191">
        <f t="shared" si="192"/>
        <v>0.41948966399746718</v>
      </c>
      <c r="R134" s="191">
        <f t="shared" si="193"/>
        <v>0.39327155999762548</v>
      </c>
      <c r="S134" s="191">
        <f t="shared" si="194"/>
        <v>15</v>
      </c>
      <c r="T134" s="191">
        <f t="shared" si="195"/>
        <v>1.1728536891983365</v>
      </c>
      <c r="U134" s="191">
        <f t="shared" si="196"/>
        <v>1.1728536891983363</v>
      </c>
      <c r="V134" s="191">
        <f t="shared" si="197"/>
        <v>1.3780265277787243</v>
      </c>
      <c r="W134" s="175">
        <f t="shared" si="198"/>
        <v>350</v>
      </c>
      <c r="X134" s="386">
        <f t="shared" si="199"/>
        <v>350</v>
      </c>
      <c r="Z134" s="191">
        <f t="shared" si="200"/>
        <v>1.3136683244726464</v>
      </c>
      <c r="AA134" s="153">
        <f t="shared" si="201"/>
        <v>1.5434745326702111</v>
      </c>
      <c r="AB134" s="153">
        <f t="shared" si="202"/>
        <v>0.14622213484608731</v>
      </c>
      <c r="AC134" s="153"/>
      <c r="AD134" s="153">
        <f t="shared" si="203"/>
        <v>0.96344647519582249</v>
      </c>
      <c r="AE134" s="317">
        <f t="shared" si="204"/>
        <v>607.57485623636728</v>
      </c>
      <c r="AF134" s="463">
        <f t="shared" si="205"/>
        <v>6.9127284595300251E-2</v>
      </c>
      <c r="AH134" s="153">
        <f t="shared" si="206"/>
        <v>1.1775681155103794</v>
      </c>
      <c r="AI134" s="153">
        <f t="shared" si="207"/>
        <v>1.1775681155103794</v>
      </c>
      <c r="AJ134" s="153">
        <f t="shared" si="208"/>
        <v>1.4648652707484291</v>
      </c>
      <c r="AL134" s="317">
        <f t="shared" si="209"/>
        <v>120</v>
      </c>
      <c r="AM134" s="147">
        <f t="shared" si="210"/>
        <v>350</v>
      </c>
      <c r="AO134" s="147">
        <f t="shared" si="211"/>
        <v>120</v>
      </c>
      <c r="AP134" s="147">
        <f t="shared" si="212"/>
        <v>350</v>
      </c>
      <c r="AR134" s="5">
        <f t="shared" ref="AR134:AR197" si="249">1/AM134*1000</f>
        <v>2.8571428571428572</v>
      </c>
      <c r="AS134" s="5">
        <f t="shared" si="246"/>
        <v>1.1775681155103794</v>
      </c>
      <c r="AT134" s="5">
        <f t="shared" si="247"/>
        <v>1.6795747416324778</v>
      </c>
      <c r="AU134" s="153">
        <f t="shared" si="248"/>
        <v>0.41214884042863281</v>
      </c>
      <c r="AW134" s="5">
        <f t="shared" si="216"/>
        <v>0.94205449240830352</v>
      </c>
      <c r="AX134" s="5"/>
      <c r="AY134" s="5">
        <f t="shared" si="217"/>
        <v>0.1766352173265569</v>
      </c>
      <c r="AZ134" s="5"/>
      <c r="BA134" s="5">
        <f t="shared" si="218"/>
        <v>0.67250239905204301</v>
      </c>
      <c r="BB134" s="5"/>
      <c r="BC134" s="5"/>
      <c r="BD134" s="153">
        <f t="shared" si="219"/>
        <v>0.43646804339978279</v>
      </c>
      <c r="BE134" s="153">
        <f t="shared" si="220"/>
        <v>0.26063282089607759</v>
      </c>
      <c r="BF134" s="153">
        <f t="shared" si="221"/>
        <v>5.2194703478796192E-2</v>
      </c>
      <c r="BG134" s="153"/>
      <c r="BH134" s="463">
        <f t="shared" si="222"/>
        <v>2.0955478820015815E-2</v>
      </c>
      <c r="BI134" s="463">
        <f t="shared" si="223"/>
        <v>3.4331998407705115E-2</v>
      </c>
      <c r="BJ134" s="463">
        <f t="shared" si="224"/>
        <v>1.7499999999999998E-2</v>
      </c>
      <c r="BK134" s="463">
        <f t="shared" si="225"/>
        <v>2.18575035E-2</v>
      </c>
      <c r="BL134">
        <f t="shared" si="226"/>
        <v>2.6099999999999999E-3</v>
      </c>
      <c r="BM134">
        <f t="shared" si="227"/>
        <v>1.4E-5</v>
      </c>
      <c r="BN134">
        <f t="shared" si="228"/>
        <v>0.10048647982270344</v>
      </c>
      <c r="BO134" s="147">
        <f t="shared" si="229"/>
        <v>97.254980727720934</v>
      </c>
      <c r="BP134" s="153">
        <f t="shared" si="230"/>
        <v>4.8000000000000001E-2</v>
      </c>
      <c r="BQ134" s="153">
        <f t="shared" si="231"/>
        <v>9.6000000000000009E-3</v>
      </c>
      <c r="BR134" s="463"/>
      <c r="BT134" s="147">
        <f t="shared" si="232"/>
        <v>57.6</v>
      </c>
      <c r="BU134" s="463">
        <f t="shared" si="233"/>
        <v>1.6192869997284948E-2</v>
      </c>
      <c r="BV134" s="463">
        <f t="shared" si="234"/>
        <v>1.2906598792366903E-2</v>
      </c>
      <c r="BW134" s="463">
        <f t="shared" si="235"/>
        <v>1.3621435356197297E-4</v>
      </c>
      <c r="BX134" s="463">
        <f t="shared" si="236"/>
        <v>0</v>
      </c>
      <c r="BY134" s="463">
        <f t="shared" si="180"/>
        <v>3.2820728032823265E-2</v>
      </c>
      <c r="BZ134" s="463">
        <f t="shared" ref="BZ134:BZ197" si="250">SUM(BU134:BX134)</f>
        <v>2.9235683143213825E-2</v>
      </c>
      <c r="CA134" s="549">
        <f t="shared" si="237"/>
        <v>0.24266666666666667</v>
      </c>
      <c r="CB134" s="147">
        <f t="shared" si="238"/>
        <v>333.95876098591759</v>
      </c>
      <c r="CC134" s="153">
        <f t="shared" ref="CC134:CC197" si="251">SUM(BN134,BP134:BS134,BY134, CA134)</f>
        <v>0.43357387452219337</v>
      </c>
      <c r="CD134" s="5">
        <f t="shared" si="239"/>
        <v>2.1839999999999997</v>
      </c>
      <c r="CE134" s="153">
        <f t="shared" si="240"/>
        <v>0.83436040573970927</v>
      </c>
      <c r="CF134" s="5">
        <f t="shared" si="241"/>
        <v>83.436040573970928</v>
      </c>
      <c r="CG134">
        <f t="shared" si="242"/>
        <v>24</v>
      </c>
      <c r="CI134" s="59">
        <f t="shared" si="243"/>
        <v>-50</v>
      </c>
      <c r="CJ134">
        <f t="shared" si="244"/>
        <v>-50</v>
      </c>
    </row>
    <row r="135" spans="5:88" x14ac:dyDescent="0.25">
      <c r="E135" s="150">
        <v>25</v>
      </c>
      <c r="F135" s="191">
        <f t="shared" si="245"/>
        <v>0.125</v>
      </c>
      <c r="G135" s="191">
        <f t="shared" si="183"/>
        <v>2.5000000000000001E-2</v>
      </c>
      <c r="H135" s="191">
        <f t="shared" si="184"/>
        <v>1.875</v>
      </c>
      <c r="I135" s="191">
        <f t="shared" si="185"/>
        <v>0.4</v>
      </c>
      <c r="J135" s="472">
        <f t="shared" si="186"/>
        <v>9</v>
      </c>
      <c r="K135" s="386">
        <f t="shared" si="187"/>
        <v>7.66</v>
      </c>
      <c r="L135" s="386">
        <f t="shared" si="188"/>
        <v>16.66</v>
      </c>
      <c r="M135" s="386"/>
      <c r="N135" s="191">
        <f t="shared" si="189"/>
        <v>0.45978391356542619</v>
      </c>
      <c r="O135" s="152">
        <f t="shared" si="190"/>
        <v>6.2923449599620076</v>
      </c>
      <c r="P135" s="152">
        <f t="shared" si="191"/>
        <v>1.6287385354141657</v>
      </c>
      <c r="Q135" s="191">
        <f t="shared" si="192"/>
        <v>0.41948966399746718</v>
      </c>
      <c r="R135" s="191">
        <f t="shared" si="193"/>
        <v>0.39327155999762548</v>
      </c>
      <c r="S135" s="191">
        <f t="shared" si="194"/>
        <v>15</v>
      </c>
      <c r="T135" s="191">
        <f t="shared" si="195"/>
        <v>1.221722592914934</v>
      </c>
      <c r="U135" s="191">
        <f t="shared" si="196"/>
        <v>1.221722592914934</v>
      </c>
      <c r="V135" s="191">
        <f t="shared" si="197"/>
        <v>1.4354442997695045</v>
      </c>
      <c r="W135" s="175">
        <f t="shared" si="198"/>
        <v>350</v>
      </c>
      <c r="X135" s="386">
        <f t="shared" si="199"/>
        <v>350</v>
      </c>
      <c r="Z135" s="191">
        <f t="shared" si="200"/>
        <v>1.3136683244726464</v>
      </c>
      <c r="AA135" s="153">
        <f t="shared" si="201"/>
        <v>1.5434745326702111</v>
      </c>
      <c r="AB135" s="153">
        <f t="shared" si="202"/>
        <v>0.14622213484608731</v>
      </c>
      <c r="AC135" s="153"/>
      <c r="AD135" s="153">
        <f t="shared" si="203"/>
        <v>0.96344647519582249</v>
      </c>
      <c r="AE135" s="317">
        <f t="shared" si="204"/>
        <v>632.89047524621594</v>
      </c>
      <c r="AF135" s="463">
        <f t="shared" si="205"/>
        <v>6.9127284595300251E-2</v>
      </c>
      <c r="AH135" s="153">
        <f t="shared" si="206"/>
        <v>1.2018504251546631</v>
      </c>
      <c r="AI135" s="153">
        <f t="shared" si="207"/>
        <v>1.2018504251546631</v>
      </c>
      <c r="AJ135" s="153">
        <f t="shared" si="208"/>
        <v>1.482852166781232</v>
      </c>
      <c r="AL135" s="317">
        <f t="shared" si="209"/>
        <v>125</v>
      </c>
      <c r="AM135" s="147">
        <f t="shared" si="210"/>
        <v>350</v>
      </c>
      <c r="AO135" s="147">
        <f t="shared" si="211"/>
        <v>125</v>
      </c>
      <c r="AP135" s="147">
        <f t="shared" si="212"/>
        <v>350</v>
      </c>
      <c r="AR135" s="5">
        <f t="shared" si="249"/>
        <v>2.8571428571428572</v>
      </c>
      <c r="AS135" s="5">
        <f t="shared" si="246"/>
        <v>1.2018504251546631</v>
      </c>
      <c r="AT135" s="5">
        <f t="shared" si="247"/>
        <v>1.6552924319881941</v>
      </c>
      <c r="AU135" s="153">
        <f t="shared" si="248"/>
        <v>0.42064764880413208</v>
      </c>
      <c r="AW135" s="5">
        <f t="shared" si="216"/>
        <v>1.0015420209622192</v>
      </c>
      <c r="AX135" s="5"/>
      <c r="AY135" s="5">
        <f t="shared" si="217"/>
        <v>0.18778912893041613</v>
      </c>
      <c r="AZ135" s="5"/>
      <c r="BA135" s="5">
        <f t="shared" si="218"/>
        <v>0.69039557557065157</v>
      </c>
      <c r="BB135" s="5"/>
      <c r="BC135" s="5"/>
      <c r="BD135" s="153">
        <f t="shared" si="219"/>
        <v>0.4500378352182352</v>
      </c>
      <c r="BE135" s="153">
        <f t="shared" si="220"/>
        <v>0.26407736951202676</v>
      </c>
      <c r="BF135" s="153">
        <f t="shared" si="221"/>
        <v>5.28845137375719E-2</v>
      </c>
      <c r="BG135" s="153"/>
      <c r="BH135" s="463">
        <f t="shared" si="222"/>
        <v>2.2278745844070698E-2</v>
      </c>
      <c r="BI135" s="463">
        <f t="shared" si="223"/>
        <v>3.5039949145384205E-2</v>
      </c>
      <c r="BJ135" s="463">
        <f t="shared" si="224"/>
        <v>1.7499999999999998E-2</v>
      </c>
      <c r="BK135" s="463">
        <f t="shared" si="225"/>
        <v>2.18575035E-2</v>
      </c>
      <c r="BL135">
        <f t="shared" si="226"/>
        <v>2.6099999999999999E-3</v>
      </c>
      <c r="BM135">
        <f t="shared" si="227"/>
        <v>1.4E-5</v>
      </c>
      <c r="BN135">
        <f t="shared" si="228"/>
        <v>0.10273009389527786</v>
      </c>
      <c r="BO135" s="147">
        <f t="shared" si="229"/>
        <v>99.286198489454904</v>
      </c>
      <c r="BP135" s="153">
        <f t="shared" si="230"/>
        <v>0.05</v>
      </c>
      <c r="BQ135" s="153">
        <f t="shared" si="231"/>
        <v>1.0000000000000002E-2</v>
      </c>
      <c r="BR135" s="463"/>
      <c r="BT135" s="147">
        <f t="shared" si="232"/>
        <v>60.000000000000007</v>
      </c>
      <c r="BU135" s="463">
        <f t="shared" si="233"/>
        <v>1.7215394515872812E-2</v>
      </c>
      <c r="BV135" s="463">
        <f t="shared" si="234"/>
        <v>1.3250002846794388E-2</v>
      </c>
      <c r="BW135" s="463">
        <f t="shared" si="235"/>
        <v>1.3983858966297157E-4</v>
      </c>
      <c r="BX135" s="463">
        <f t="shared" si="236"/>
        <v>0</v>
      </c>
      <c r="BY135" s="463">
        <f t="shared" si="180"/>
        <v>3.4361996828267585E-2</v>
      </c>
      <c r="BZ135" s="463">
        <f t="shared" si="250"/>
        <v>3.0605235952330171E-2</v>
      </c>
      <c r="CA135" s="549">
        <f t="shared" si="237"/>
        <v>0.25277777777777782</v>
      </c>
      <c r="CB135" s="147">
        <f t="shared" si="238"/>
        <v>348.35024651070574</v>
      </c>
      <c r="CC135" s="153">
        <f t="shared" si="251"/>
        <v>0.44986986850132327</v>
      </c>
      <c r="CD135" s="5">
        <f t="shared" si="239"/>
        <v>2.2749999999999999</v>
      </c>
      <c r="CE135" s="153">
        <f t="shared" si="240"/>
        <v>0.83490225580983379</v>
      </c>
      <c r="CF135" s="5">
        <f t="shared" si="241"/>
        <v>83.490225580983378</v>
      </c>
      <c r="CG135">
        <f t="shared" si="242"/>
        <v>25</v>
      </c>
      <c r="CI135" s="59">
        <f t="shared" si="243"/>
        <v>-50</v>
      </c>
      <c r="CJ135">
        <f t="shared" si="244"/>
        <v>-50</v>
      </c>
    </row>
    <row r="136" spans="5:88" x14ac:dyDescent="0.25">
      <c r="E136" s="150">
        <v>26</v>
      </c>
      <c r="F136" s="191">
        <f t="shared" si="245"/>
        <v>0.13</v>
      </c>
      <c r="G136" s="191">
        <f t="shared" si="183"/>
        <v>2.6000000000000002E-2</v>
      </c>
      <c r="H136" s="191">
        <f t="shared" si="184"/>
        <v>1.9500000000000002</v>
      </c>
      <c r="I136" s="191">
        <f t="shared" si="185"/>
        <v>0.41600000000000004</v>
      </c>
      <c r="J136" s="472">
        <f t="shared" si="186"/>
        <v>9</v>
      </c>
      <c r="K136" s="386">
        <f t="shared" si="187"/>
        <v>7.66</v>
      </c>
      <c r="L136" s="386">
        <f t="shared" si="188"/>
        <v>16.66</v>
      </c>
      <c r="M136" s="386"/>
      <c r="N136" s="191">
        <f t="shared" si="189"/>
        <v>0.45978391356542619</v>
      </c>
      <c r="O136" s="152">
        <f t="shared" si="190"/>
        <v>6.2923449599620076</v>
      </c>
      <c r="P136" s="152">
        <f t="shared" si="191"/>
        <v>1.6287385354141657</v>
      </c>
      <c r="Q136" s="191">
        <f t="shared" si="192"/>
        <v>0.41948966399746718</v>
      </c>
      <c r="R136" s="191">
        <f t="shared" si="193"/>
        <v>0.39327155999762548</v>
      </c>
      <c r="S136" s="191">
        <f t="shared" si="194"/>
        <v>15</v>
      </c>
      <c r="T136" s="191">
        <f t="shared" si="195"/>
        <v>1.2705914966315315</v>
      </c>
      <c r="U136" s="191">
        <f t="shared" si="196"/>
        <v>1.2705914966315315</v>
      </c>
      <c r="V136" s="191">
        <f t="shared" si="197"/>
        <v>1.4928620717602852</v>
      </c>
      <c r="W136" s="175">
        <f t="shared" si="198"/>
        <v>350</v>
      </c>
      <c r="X136" s="386">
        <f t="shared" si="199"/>
        <v>350</v>
      </c>
      <c r="Z136" s="191">
        <f t="shared" si="200"/>
        <v>1.3136683244726464</v>
      </c>
      <c r="AA136" s="153">
        <f t="shared" si="201"/>
        <v>1.5434745326702111</v>
      </c>
      <c r="AB136" s="153">
        <f t="shared" si="202"/>
        <v>0.14622213484608731</v>
      </c>
      <c r="AC136" s="153"/>
      <c r="AD136" s="153">
        <f t="shared" si="203"/>
        <v>0.96344647519582249</v>
      </c>
      <c r="AE136" s="317">
        <f t="shared" si="204"/>
        <v>658.2060942560646</v>
      </c>
      <c r="AF136" s="463">
        <f t="shared" si="205"/>
        <v>6.9127284595300251E-2</v>
      </c>
      <c r="AH136" s="153">
        <f t="shared" si="206"/>
        <v>1.2256517540566825</v>
      </c>
      <c r="AI136" s="153">
        <f t="shared" si="207"/>
        <v>1.2256517540566825</v>
      </c>
      <c r="AJ136" s="153">
        <f t="shared" si="208"/>
        <v>1.5004827807827277</v>
      </c>
      <c r="AL136" s="317">
        <f t="shared" si="209"/>
        <v>130</v>
      </c>
      <c r="AM136" s="147">
        <f t="shared" si="210"/>
        <v>350</v>
      </c>
      <c r="AO136" s="147">
        <f t="shared" si="211"/>
        <v>130</v>
      </c>
      <c r="AP136" s="147">
        <f t="shared" si="212"/>
        <v>350</v>
      </c>
      <c r="AR136" s="5">
        <f t="shared" si="249"/>
        <v>2.8571428571428572</v>
      </c>
      <c r="AS136" s="5">
        <f t="shared" si="246"/>
        <v>1.2256517540566827</v>
      </c>
      <c r="AT136" s="5">
        <f t="shared" si="247"/>
        <v>1.6314911030861745</v>
      </c>
      <c r="AU136" s="153">
        <f t="shared" si="248"/>
        <v>0.42897811391983892</v>
      </c>
      <c r="AW136" s="5">
        <f t="shared" si="216"/>
        <v>1.0622315201824584</v>
      </c>
      <c r="AX136" s="5"/>
      <c r="AY136" s="5">
        <f t="shared" si="217"/>
        <v>0.19916841003421096</v>
      </c>
      <c r="AZ136" s="5"/>
      <c r="BA136" s="5">
        <f t="shared" si="218"/>
        <v>0.70768716516917818</v>
      </c>
      <c r="BB136" s="5"/>
      <c r="BC136" s="5"/>
      <c r="BD136" s="153">
        <f t="shared" si="219"/>
        <v>0.46347256501953388</v>
      </c>
      <c r="BE136" s="153">
        <f t="shared" si="220"/>
        <v>0.26736394774490196</v>
      </c>
      <c r="BF136" s="153">
        <f t="shared" si="221"/>
        <v>5.3542688620286258E-2</v>
      </c>
      <c r="BG136" s="153"/>
      <c r="BH136" s="463">
        <f t="shared" si="222"/>
        <v>2.3628750037836467E-2</v>
      </c>
      <c r="BI136" s="463">
        <f t="shared" si="223"/>
        <v>3.5733876889522571E-2</v>
      </c>
      <c r="BJ136" s="463">
        <f t="shared" si="224"/>
        <v>1.7499999999999998E-2</v>
      </c>
      <c r="BK136" s="463">
        <f t="shared" si="225"/>
        <v>2.18575035E-2</v>
      </c>
      <c r="BL136">
        <f t="shared" si="226"/>
        <v>2.6099999999999999E-3</v>
      </c>
      <c r="BM136">
        <f t="shared" si="227"/>
        <v>1.4E-5</v>
      </c>
      <c r="BN136">
        <f t="shared" si="228"/>
        <v>0.10499172356140463</v>
      </c>
      <c r="BO136" s="147">
        <f t="shared" si="229"/>
        <v>101.33013042735904</v>
      </c>
      <c r="BP136" s="153">
        <f t="shared" si="230"/>
        <v>5.2000000000000005E-2</v>
      </c>
      <c r="BQ136" s="153">
        <f t="shared" si="231"/>
        <v>1.0400000000000001E-2</v>
      </c>
      <c r="BR136" s="463"/>
      <c r="BT136" s="147">
        <f t="shared" si="232"/>
        <v>62.400000000000006</v>
      </c>
      <c r="BU136" s="463">
        <f t="shared" si="233"/>
        <v>1.8258579574691815E-2</v>
      </c>
      <c r="BV136" s="463">
        <f t="shared" si="234"/>
        <v>1.3581861305210347E-2</v>
      </c>
      <c r="BW136" s="463">
        <f t="shared" si="235"/>
        <v>1.4334097523444658E-4</v>
      </c>
      <c r="BX136" s="463">
        <f t="shared" si="236"/>
        <v>0</v>
      </c>
      <c r="BY136" s="463">
        <f t="shared" si="180"/>
        <v>3.5913728225687017E-2</v>
      </c>
      <c r="BZ136" s="463">
        <f t="shared" si="250"/>
        <v>3.198378185513661E-2</v>
      </c>
      <c r="CA136" s="549">
        <f t="shared" si="237"/>
        <v>0.26288888888888901</v>
      </c>
      <c r="CB136" s="147">
        <f t="shared" si="238"/>
        <v>362.77018082484926</v>
      </c>
      <c r="CC136" s="153">
        <f t="shared" si="251"/>
        <v>0.46619434067598065</v>
      </c>
      <c r="CD136" s="5">
        <f t="shared" si="239"/>
        <v>2.3660000000000001</v>
      </c>
      <c r="CE136" s="153">
        <f t="shared" si="240"/>
        <v>0.83539465001377322</v>
      </c>
      <c r="CF136" s="5">
        <f t="shared" si="241"/>
        <v>83.539465001377323</v>
      </c>
      <c r="CG136">
        <f t="shared" si="242"/>
        <v>26</v>
      </c>
      <c r="CI136" s="59">
        <f t="shared" si="243"/>
        <v>-50</v>
      </c>
      <c r="CJ136">
        <f t="shared" si="244"/>
        <v>-50</v>
      </c>
    </row>
    <row r="137" spans="5:88" x14ac:dyDescent="0.25">
      <c r="E137" s="150">
        <v>27</v>
      </c>
      <c r="F137" s="191">
        <f t="shared" si="245"/>
        <v>0.13500000000000001</v>
      </c>
      <c r="G137" s="191">
        <f t="shared" si="183"/>
        <v>2.7000000000000003E-2</v>
      </c>
      <c r="H137" s="191">
        <f t="shared" si="184"/>
        <v>2.0250000000000004</v>
      </c>
      <c r="I137" s="191">
        <f t="shared" si="185"/>
        <v>0.43200000000000005</v>
      </c>
      <c r="J137" s="472">
        <f t="shared" si="186"/>
        <v>9</v>
      </c>
      <c r="K137" s="386">
        <f t="shared" si="187"/>
        <v>7.66</v>
      </c>
      <c r="L137" s="386">
        <f t="shared" si="188"/>
        <v>16.66</v>
      </c>
      <c r="M137" s="386"/>
      <c r="N137" s="191">
        <f t="shared" si="189"/>
        <v>0.45978391356542619</v>
      </c>
      <c r="O137" s="152">
        <f t="shared" si="190"/>
        <v>6.2923449599620076</v>
      </c>
      <c r="P137" s="152">
        <f t="shared" si="191"/>
        <v>1.6287385354141657</v>
      </c>
      <c r="Q137" s="191">
        <f t="shared" si="192"/>
        <v>0.41948966399746718</v>
      </c>
      <c r="R137" s="191">
        <f t="shared" si="193"/>
        <v>0.39327155999762548</v>
      </c>
      <c r="S137" s="191">
        <f t="shared" si="194"/>
        <v>15</v>
      </c>
      <c r="T137" s="191">
        <f t="shared" si="195"/>
        <v>1.3194604003481289</v>
      </c>
      <c r="U137" s="191">
        <f t="shared" si="196"/>
        <v>1.3194604003481289</v>
      </c>
      <c r="V137" s="191">
        <f t="shared" si="197"/>
        <v>1.5502798437510654</v>
      </c>
      <c r="W137" s="175">
        <f t="shared" si="198"/>
        <v>350</v>
      </c>
      <c r="X137" s="386">
        <f t="shared" si="199"/>
        <v>348.46359424209766</v>
      </c>
      <c r="Z137" s="191">
        <f t="shared" si="200"/>
        <v>1.3136683244726464</v>
      </c>
      <c r="AA137" s="153">
        <f t="shared" si="201"/>
        <v>1.5434745326702111</v>
      </c>
      <c r="AB137" s="153">
        <f t="shared" si="202"/>
        <v>0.14622213484608731</v>
      </c>
      <c r="AC137" s="153"/>
      <c r="AD137" s="153">
        <f t="shared" si="203"/>
        <v>0.96344647519582249</v>
      </c>
      <c r="AE137" s="317">
        <f t="shared" si="204"/>
        <v>683.52171326591326</v>
      </c>
      <c r="AF137" s="463">
        <f t="shared" si="205"/>
        <v>6.9127284595300251E-2</v>
      </c>
      <c r="AH137" s="153">
        <f t="shared" si="206"/>
        <v>1.2489995996796797</v>
      </c>
      <c r="AI137" s="153">
        <f t="shared" si="207"/>
        <v>1.2489995996796797</v>
      </c>
      <c r="AJ137" s="153">
        <f t="shared" si="208"/>
        <v>1.5177774812442071</v>
      </c>
      <c r="AL137" s="317">
        <f t="shared" si="209"/>
        <v>135</v>
      </c>
      <c r="AM137" s="147">
        <f t="shared" si="210"/>
        <v>348.46359424209766</v>
      </c>
      <c r="AO137" s="147">
        <f t="shared" si="211"/>
        <v>135</v>
      </c>
      <c r="AP137" s="147">
        <f t="shared" si="212"/>
        <v>348.46359424209766</v>
      </c>
      <c r="AR137" s="5">
        <f t="shared" si="249"/>
        <v>2.8697402440991944</v>
      </c>
      <c r="AS137" s="5">
        <f t="shared" si="246"/>
        <v>1.2489995996796797</v>
      </c>
      <c r="AT137" s="5">
        <f t="shared" si="247"/>
        <v>1.6207406444195147</v>
      </c>
      <c r="AU137" s="153">
        <f t="shared" si="248"/>
        <v>0.43523088971132234</v>
      </c>
      <c r="AW137" s="5">
        <f t="shared" si="216"/>
        <v>1.124099639711712</v>
      </c>
      <c r="AX137" s="5"/>
      <c r="AY137" s="5">
        <f t="shared" si="217"/>
        <v>0.21076868244594596</v>
      </c>
      <c r="AZ137" s="5"/>
      <c r="BA137" s="5">
        <f t="shared" si="218"/>
        <v>0.73006335334212391</v>
      </c>
      <c r="BB137" s="5"/>
      <c r="BC137" s="5"/>
      <c r="BD137" s="153">
        <f t="shared" si="219"/>
        <v>0.47573108228271949</v>
      </c>
      <c r="BE137" s="153">
        <f t="shared" si="220"/>
        <v>0.27096122294071545</v>
      </c>
      <c r="BF137" s="153">
        <f t="shared" si="221"/>
        <v>5.4263084123552428E-2</v>
      </c>
      <c r="BG137" s="153"/>
      <c r="BH137" s="463">
        <f t="shared" si="222"/>
        <v>2.4895206891487637E-2</v>
      </c>
      <c r="BI137" s="463">
        <f t="shared" si="223"/>
        <v>3.6254733112953151E-2</v>
      </c>
      <c r="BJ137" s="463">
        <f t="shared" si="224"/>
        <v>1.7423179712104882E-2</v>
      </c>
      <c r="BK137" s="463">
        <f t="shared" si="225"/>
        <v>2.1761554945054943E-2</v>
      </c>
      <c r="BL137">
        <f t="shared" si="226"/>
        <v>2.6099999999999999E-3</v>
      </c>
      <c r="BM137">
        <f t="shared" si="227"/>
        <v>1.3938543769683906E-5</v>
      </c>
      <c r="BN137">
        <f t="shared" si="228"/>
        <v>0.10681006244792553</v>
      </c>
      <c r="BO137" s="147">
        <f t="shared" si="229"/>
        <v>102.9446746616006</v>
      </c>
      <c r="BP137" s="153">
        <f t="shared" si="230"/>
        <v>5.4000000000000006E-2</v>
      </c>
      <c r="BQ137" s="153">
        <f t="shared" si="231"/>
        <v>1.0800000000000002E-2</v>
      </c>
      <c r="BR137" s="463"/>
      <c r="BT137" s="147">
        <f t="shared" si="232"/>
        <v>64.800000000000011</v>
      </c>
      <c r="BU137" s="463">
        <f t="shared" si="233"/>
        <v>1.9237205325240449E-2</v>
      </c>
      <c r="BV137" s="463">
        <f t="shared" si="234"/>
        <v>1.3949797024130338E-2</v>
      </c>
      <c r="BW137" s="463">
        <f t="shared" si="235"/>
        <v>1.4722411492998637E-4</v>
      </c>
      <c r="BX137" s="463">
        <f t="shared" si="236"/>
        <v>0</v>
      </c>
      <c r="BY137" s="463">
        <f t="shared" si="180"/>
        <v>3.7434160743354469E-2</v>
      </c>
      <c r="BZ137" s="463">
        <f t="shared" si="250"/>
        <v>3.3334226464300773E-2</v>
      </c>
      <c r="CA137" s="549">
        <f t="shared" si="237"/>
        <v>0.27180160350883625</v>
      </c>
      <c r="CB137" s="147">
        <f t="shared" si="238"/>
        <v>375.90421718079227</v>
      </c>
      <c r="CC137" s="153">
        <f t="shared" si="251"/>
        <v>0.48084582670011627</v>
      </c>
      <c r="CD137" s="5">
        <f t="shared" si="239"/>
        <v>2.4570000000000003</v>
      </c>
      <c r="CE137" s="153">
        <f t="shared" si="240"/>
        <v>0.83632707260196226</v>
      </c>
      <c r="CF137" s="5">
        <f t="shared" si="241"/>
        <v>83.632707260196227</v>
      </c>
      <c r="CG137">
        <f t="shared" si="242"/>
        <v>27</v>
      </c>
      <c r="CI137" s="59">
        <f t="shared" si="243"/>
        <v>-50</v>
      </c>
      <c r="CJ137">
        <f t="shared" si="244"/>
        <v>-50</v>
      </c>
    </row>
    <row r="138" spans="5:88" x14ac:dyDescent="0.25">
      <c r="E138" s="150">
        <v>28</v>
      </c>
      <c r="F138" s="191">
        <f t="shared" si="245"/>
        <v>0.14000000000000001</v>
      </c>
      <c r="G138" s="191">
        <f t="shared" si="183"/>
        <v>2.8000000000000004E-2</v>
      </c>
      <c r="H138" s="191">
        <f t="shared" si="184"/>
        <v>2.1</v>
      </c>
      <c r="I138" s="191">
        <f t="shared" si="185"/>
        <v>0.44800000000000006</v>
      </c>
      <c r="J138" s="472">
        <f t="shared" si="186"/>
        <v>9</v>
      </c>
      <c r="K138" s="386">
        <f t="shared" si="187"/>
        <v>7.66</v>
      </c>
      <c r="L138" s="386">
        <f t="shared" si="188"/>
        <v>16.66</v>
      </c>
      <c r="M138" s="386"/>
      <c r="N138" s="191">
        <f t="shared" si="189"/>
        <v>0.45978391356542619</v>
      </c>
      <c r="O138" s="152">
        <f t="shared" si="190"/>
        <v>6.2923449599620076</v>
      </c>
      <c r="P138" s="152">
        <f t="shared" si="191"/>
        <v>1.6287385354141657</v>
      </c>
      <c r="Q138" s="191">
        <f t="shared" si="192"/>
        <v>0.41948966399746718</v>
      </c>
      <c r="R138" s="191">
        <f t="shared" si="193"/>
        <v>0.39327155999762548</v>
      </c>
      <c r="S138" s="191">
        <f t="shared" si="194"/>
        <v>15</v>
      </c>
      <c r="T138" s="191">
        <f t="shared" si="195"/>
        <v>1.3683293040647262</v>
      </c>
      <c r="U138" s="191">
        <f t="shared" si="196"/>
        <v>1.3683293040647264</v>
      </c>
      <c r="V138" s="191">
        <f t="shared" si="197"/>
        <v>1.6076976157418454</v>
      </c>
      <c r="W138" s="175">
        <f t="shared" si="198"/>
        <v>350</v>
      </c>
      <c r="X138" s="386">
        <f t="shared" si="199"/>
        <v>336.01846587630848</v>
      </c>
      <c r="Z138" s="191">
        <f t="shared" si="200"/>
        <v>1.3136683244726464</v>
      </c>
      <c r="AA138" s="153">
        <f t="shared" si="201"/>
        <v>1.5434745326702111</v>
      </c>
      <c r="AB138" s="153">
        <f t="shared" si="202"/>
        <v>0.14622213484608731</v>
      </c>
      <c r="AC138" s="153"/>
      <c r="AD138" s="153">
        <f t="shared" si="203"/>
        <v>0.96344647519582249</v>
      </c>
      <c r="AE138" s="317">
        <f t="shared" si="204"/>
        <v>708.83733227576192</v>
      </c>
      <c r="AF138" s="463">
        <f t="shared" si="205"/>
        <v>6.9127284595300251E-2</v>
      </c>
      <c r="AH138" s="153">
        <f t="shared" si="206"/>
        <v>1.2719189352225941</v>
      </c>
      <c r="AI138" s="153">
        <f t="shared" si="207"/>
        <v>1.2719189352225941</v>
      </c>
      <c r="AJ138" s="153">
        <f t="shared" si="208"/>
        <v>1.5347547668315511</v>
      </c>
      <c r="AL138" s="317">
        <f t="shared" si="209"/>
        <v>140</v>
      </c>
      <c r="AM138" s="147">
        <f t="shared" si="210"/>
        <v>336.01846587630848</v>
      </c>
      <c r="AO138" s="147">
        <f t="shared" si="211"/>
        <v>140</v>
      </c>
      <c r="AP138" s="147">
        <f t="shared" si="212"/>
        <v>336.01846587630848</v>
      </c>
      <c r="AR138" s="5">
        <f t="shared" si="249"/>
        <v>2.9760269198065719</v>
      </c>
      <c r="AS138" s="5">
        <f t="shared" si="246"/>
        <v>1.2719189352225941</v>
      </c>
      <c r="AT138" s="5">
        <f t="shared" si="247"/>
        <v>1.7041079845839777</v>
      </c>
      <c r="AU138" s="153">
        <f t="shared" si="248"/>
        <v>0.42738824933252384</v>
      </c>
      <c r="AW138" s="5">
        <f t="shared" si="216"/>
        <v>1.187124339541088</v>
      </c>
      <c r="AX138" s="5"/>
      <c r="AY138" s="5">
        <f t="shared" si="217"/>
        <v>0.22258581366395402</v>
      </c>
      <c r="AZ138" s="5"/>
      <c r="BA138" s="5">
        <f t="shared" si="218"/>
        <v>0.79604643924510143</v>
      </c>
      <c r="BB138" s="5"/>
      <c r="BC138" s="5"/>
      <c r="BD138" s="153">
        <f t="shared" si="219"/>
        <v>0.48007610933181044</v>
      </c>
      <c r="BE138" s="153">
        <f t="shared" si="220"/>
        <v>0.2778426661386309</v>
      </c>
      <c r="BF138" s="153">
        <f t="shared" si="221"/>
        <v>5.5641171833252623E-2</v>
      </c>
      <c r="BG138" s="153"/>
      <c r="BH138" s="463">
        <f t="shared" si="222"/>
        <v>2.5352037782628525E-2</v>
      </c>
      <c r="BI138" s="463">
        <f t="shared" si="223"/>
        <v>3.5601441169399242E-2</v>
      </c>
      <c r="BJ138" s="463">
        <f t="shared" si="224"/>
        <v>1.6800923293815426E-2</v>
      </c>
      <c r="BK138" s="463">
        <f t="shared" si="225"/>
        <v>2.0984356554160123E-2</v>
      </c>
      <c r="BL138">
        <f t="shared" si="226"/>
        <v>2.6099999999999999E-3</v>
      </c>
      <c r="BM138">
        <f t="shared" si="227"/>
        <v>1.3440738635052339E-5</v>
      </c>
      <c r="BN138">
        <f t="shared" si="228"/>
        <v>0.10527715336250171</v>
      </c>
      <c r="BO138" s="147">
        <f t="shared" si="229"/>
        <v>101.34875880000332</v>
      </c>
      <c r="BP138" s="153">
        <f t="shared" si="230"/>
        <v>5.6000000000000008E-2</v>
      </c>
      <c r="BQ138" s="153">
        <f t="shared" si="231"/>
        <v>1.1200000000000002E-2</v>
      </c>
      <c r="BR138" s="463"/>
      <c r="BT138" s="147">
        <f t="shared" si="232"/>
        <v>67.2</v>
      </c>
      <c r="BU138" s="463">
        <f t="shared" si="233"/>
        <v>1.9590211013849317E-2</v>
      </c>
      <c r="BV138" s="463">
        <f t="shared" si="234"/>
        <v>1.4667343954134316E-2</v>
      </c>
      <c r="BW138" s="463">
        <f t="shared" si="235"/>
        <v>1.5479700014887725E-4</v>
      </c>
      <c r="BX138" s="463">
        <f t="shared" si="236"/>
        <v>0</v>
      </c>
      <c r="BY138" s="463">
        <f t="shared" si="180"/>
        <v>3.8648232330219912E-2</v>
      </c>
      <c r="BZ138" s="463">
        <f t="shared" si="250"/>
        <v>3.4412351968132512E-2</v>
      </c>
      <c r="CA138" s="549">
        <f t="shared" si="237"/>
        <v>0.2718016035088362</v>
      </c>
      <c r="CB138" s="147">
        <f t="shared" si="238"/>
        <v>379.2745397753211</v>
      </c>
      <c r="CC138" s="153">
        <f t="shared" si="251"/>
        <v>0.4829269892015578</v>
      </c>
      <c r="CD138" s="5">
        <f t="shared" si="239"/>
        <v>2.548</v>
      </c>
      <c r="CE138" s="153">
        <f t="shared" si="240"/>
        <v>0.84066690127406329</v>
      </c>
      <c r="CF138" s="5">
        <f t="shared" si="241"/>
        <v>84.066690127406332</v>
      </c>
      <c r="CG138">
        <f t="shared" si="242"/>
        <v>28.000000000000004</v>
      </c>
      <c r="CI138" s="59">
        <f t="shared" si="243"/>
        <v>-50</v>
      </c>
      <c r="CJ138">
        <f t="shared" si="244"/>
        <v>-50</v>
      </c>
    </row>
    <row r="139" spans="5:88" x14ac:dyDescent="0.25">
      <c r="E139" s="150">
        <v>29</v>
      </c>
      <c r="F139" s="191">
        <f t="shared" si="245"/>
        <v>0.14499999999999999</v>
      </c>
      <c r="G139" s="191">
        <f t="shared" si="183"/>
        <v>2.8999999999999998E-2</v>
      </c>
      <c r="H139" s="191">
        <f t="shared" si="184"/>
        <v>2.1749999999999998</v>
      </c>
      <c r="I139" s="191">
        <f t="shared" si="185"/>
        <v>0.46399999999999997</v>
      </c>
      <c r="J139" s="472">
        <f t="shared" si="186"/>
        <v>9</v>
      </c>
      <c r="K139" s="386">
        <f t="shared" si="187"/>
        <v>7.66</v>
      </c>
      <c r="L139" s="386">
        <f t="shared" si="188"/>
        <v>16.66</v>
      </c>
      <c r="M139" s="386"/>
      <c r="N139" s="191">
        <f t="shared" si="189"/>
        <v>0.45978391356542619</v>
      </c>
      <c r="O139" s="152">
        <f t="shared" si="190"/>
        <v>6.2923449599620076</v>
      </c>
      <c r="P139" s="152">
        <f t="shared" si="191"/>
        <v>1.6287385354141657</v>
      </c>
      <c r="Q139" s="191">
        <f t="shared" si="192"/>
        <v>0.41948966399746718</v>
      </c>
      <c r="R139" s="191">
        <f t="shared" si="193"/>
        <v>0.39327155999762548</v>
      </c>
      <c r="S139" s="191">
        <f t="shared" si="194"/>
        <v>15</v>
      </c>
      <c r="T139" s="191">
        <f t="shared" si="195"/>
        <v>1.4171982077813234</v>
      </c>
      <c r="U139" s="191">
        <f t="shared" si="196"/>
        <v>1.4171982077813234</v>
      </c>
      <c r="V139" s="191">
        <f t="shared" si="197"/>
        <v>1.6651153877326255</v>
      </c>
      <c r="W139" s="175">
        <f t="shared" si="198"/>
        <v>350</v>
      </c>
      <c r="X139" s="386">
        <f t="shared" si="199"/>
        <v>324.43162222540133</v>
      </c>
      <c r="Z139" s="191">
        <f t="shared" si="200"/>
        <v>1.3136683244726464</v>
      </c>
      <c r="AA139" s="153">
        <f t="shared" si="201"/>
        <v>1.5434745326702111</v>
      </c>
      <c r="AB139" s="153">
        <f t="shared" si="202"/>
        <v>0.14622213484608731</v>
      </c>
      <c r="AC139" s="153"/>
      <c r="AD139" s="153">
        <f t="shared" si="203"/>
        <v>0.96344647519582249</v>
      </c>
      <c r="AE139" s="317">
        <f t="shared" si="204"/>
        <v>734.15295128561047</v>
      </c>
      <c r="AF139" s="463">
        <f t="shared" si="205"/>
        <v>6.9127284595300251E-2</v>
      </c>
      <c r="AH139" s="153">
        <f t="shared" si="206"/>
        <v>1.2944325225965065</v>
      </c>
      <c r="AI139" s="153">
        <f t="shared" si="207"/>
        <v>1.2944325225965065</v>
      </c>
      <c r="AJ139" s="153">
        <f t="shared" si="208"/>
        <v>1.5514314982196344</v>
      </c>
      <c r="AL139" s="317">
        <f t="shared" si="209"/>
        <v>145</v>
      </c>
      <c r="AM139" s="147">
        <f t="shared" si="210"/>
        <v>324.43162222540133</v>
      </c>
      <c r="AO139" s="147">
        <f t="shared" si="211"/>
        <v>145</v>
      </c>
      <c r="AP139" s="147">
        <f t="shared" si="212"/>
        <v>324.43162222540133</v>
      </c>
      <c r="AR139" s="5">
        <f t="shared" si="249"/>
        <v>3.0823135955139489</v>
      </c>
      <c r="AS139" s="5">
        <f t="shared" si="246"/>
        <v>1.2944325225965068</v>
      </c>
      <c r="AT139" s="5">
        <f t="shared" si="247"/>
        <v>1.7878810729174421</v>
      </c>
      <c r="AU139" s="153">
        <f t="shared" si="248"/>
        <v>0.41995484316730319</v>
      </c>
      <c r="AW139" s="5">
        <f t="shared" si="216"/>
        <v>1.2512847718432896</v>
      </c>
      <c r="AX139" s="5"/>
      <c r="AY139" s="5">
        <f t="shared" si="217"/>
        <v>0.23461589472061684</v>
      </c>
      <c r="AZ139" s="5"/>
      <c r="BA139" s="5">
        <f t="shared" si="218"/>
        <v>0.86500752610286646</v>
      </c>
      <c r="BB139" s="5"/>
      <c r="BC139" s="5"/>
      <c r="BD139" s="153">
        <f t="shared" si="219"/>
        <v>0.48430626348466621</v>
      </c>
      <c r="BE139" s="153">
        <f t="shared" si="220"/>
        <v>0.28459003920905218</v>
      </c>
      <c r="BF139" s="153">
        <f t="shared" si="221"/>
        <v>5.6992410466440255E-2</v>
      </c>
      <c r="BG139" s="153"/>
      <c r="BH139" s="463">
        <f t="shared" si="222"/>
        <v>2.5800781253552684E-2</v>
      </c>
      <c r="BI139" s="463">
        <f t="shared" si="223"/>
        <v>3.4982238435836345E-2</v>
      </c>
      <c r="BJ139" s="463">
        <f t="shared" si="224"/>
        <v>1.6221581111270065E-2</v>
      </c>
      <c r="BK139" s="463">
        <f t="shared" si="225"/>
        <v>2.0260758052292539E-2</v>
      </c>
      <c r="BL139">
        <f t="shared" si="226"/>
        <v>2.6099999999999999E-3</v>
      </c>
      <c r="BM139">
        <f t="shared" si="227"/>
        <v>1.2977264889016054E-5</v>
      </c>
      <c r="BN139">
        <f t="shared" si="228"/>
        <v>0.10386586847897632</v>
      </c>
      <c r="BO139" s="147">
        <f t="shared" si="229"/>
        <v>99.875358852951621</v>
      </c>
      <c r="BP139" s="153">
        <f t="shared" si="230"/>
        <v>5.7999999999999996E-2</v>
      </c>
      <c r="BQ139" s="153">
        <f t="shared" si="231"/>
        <v>1.1599999999999999E-2</v>
      </c>
      <c r="BR139" s="463"/>
      <c r="BT139" s="147">
        <f t="shared" si="232"/>
        <v>69.599999999999994</v>
      </c>
      <c r="BU139" s="463">
        <f t="shared" si="233"/>
        <v>1.9936967332290712E-2</v>
      </c>
      <c r="BV139" s="463">
        <f t="shared" si="234"/>
        <v>1.5388383179231873E-2</v>
      </c>
      <c r="BW139" s="463">
        <f t="shared" si="235"/>
        <v>1.6240674253876044E-4</v>
      </c>
      <c r="BX139" s="463">
        <f t="shared" si="236"/>
        <v>0</v>
      </c>
      <c r="BY139" s="463">
        <f t="shared" si="180"/>
        <v>3.9859449923201118E-2</v>
      </c>
      <c r="BZ139" s="463">
        <f t="shared" si="250"/>
        <v>3.548775725406135E-2</v>
      </c>
      <c r="CA139" s="549">
        <f t="shared" si="237"/>
        <v>0.27180160350883625</v>
      </c>
      <c r="CB139" s="147">
        <f t="shared" si="238"/>
        <v>382.63656794016009</v>
      </c>
      <c r="CC139" s="153">
        <f t="shared" si="251"/>
        <v>0.4851269219110137</v>
      </c>
      <c r="CD139" s="5">
        <f t="shared" si="239"/>
        <v>2.6389999999999998</v>
      </c>
      <c r="CE139" s="153">
        <f t="shared" si="240"/>
        <v>0.84471600097019617</v>
      </c>
      <c r="CF139" s="5">
        <f t="shared" si="241"/>
        <v>84.471600097019618</v>
      </c>
      <c r="CG139">
        <f t="shared" si="242"/>
        <v>28.999999999999996</v>
      </c>
      <c r="CI139" s="59">
        <f t="shared" si="243"/>
        <v>-50</v>
      </c>
      <c r="CJ139">
        <f t="shared" si="244"/>
        <v>-50</v>
      </c>
    </row>
    <row r="140" spans="5:88" x14ac:dyDescent="0.25">
      <c r="E140" s="150">
        <v>30</v>
      </c>
      <c r="F140" s="191">
        <f t="shared" si="245"/>
        <v>0.15</v>
      </c>
      <c r="G140" s="191">
        <f t="shared" si="183"/>
        <v>0.03</v>
      </c>
      <c r="H140" s="191">
        <f t="shared" si="184"/>
        <v>2.25</v>
      </c>
      <c r="I140" s="191">
        <f t="shared" si="185"/>
        <v>0.48</v>
      </c>
      <c r="J140" s="472">
        <f t="shared" si="186"/>
        <v>9</v>
      </c>
      <c r="K140" s="386">
        <f t="shared" si="187"/>
        <v>7.66</v>
      </c>
      <c r="L140" s="386">
        <f t="shared" si="188"/>
        <v>16.66</v>
      </c>
      <c r="M140" s="386"/>
      <c r="N140" s="191">
        <f t="shared" si="189"/>
        <v>0.45978391356542619</v>
      </c>
      <c r="O140" s="152">
        <f t="shared" si="190"/>
        <v>6.2923449599620076</v>
      </c>
      <c r="P140" s="152">
        <f t="shared" si="191"/>
        <v>1.6287385354141657</v>
      </c>
      <c r="Q140" s="191">
        <f t="shared" si="192"/>
        <v>0.41948966399746718</v>
      </c>
      <c r="R140" s="191">
        <f t="shared" si="193"/>
        <v>0.39327155999762548</v>
      </c>
      <c r="S140" s="191">
        <f t="shared" si="194"/>
        <v>15</v>
      </c>
      <c r="T140" s="191">
        <f t="shared" si="195"/>
        <v>1.4660671114979209</v>
      </c>
      <c r="U140" s="191">
        <f t="shared" si="196"/>
        <v>1.4660671114979209</v>
      </c>
      <c r="V140" s="191">
        <f t="shared" si="197"/>
        <v>1.7225331597234059</v>
      </c>
      <c r="W140" s="175">
        <f t="shared" si="198"/>
        <v>350</v>
      </c>
      <c r="X140" s="386">
        <f t="shared" si="199"/>
        <v>313.61723481788795</v>
      </c>
      <c r="Z140" s="191">
        <f t="shared" si="200"/>
        <v>1.3136683244726464</v>
      </c>
      <c r="AA140" s="153">
        <f t="shared" si="201"/>
        <v>1.5434745326702111</v>
      </c>
      <c r="AB140" s="153">
        <f t="shared" si="202"/>
        <v>0.14622213484608731</v>
      </c>
      <c r="AC140" s="153"/>
      <c r="AD140" s="153">
        <f t="shared" si="203"/>
        <v>0.96344647519582249</v>
      </c>
      <c r="AE140" s="317">
        <f t="shared" si="204"/>
        <v>759.46857029545913</v>
      </c>
      <c r="AF140" s="463">
        <f t="shared" si="205"/>
        <v>6.9127284595300251E-2</v>
      </c>
      <c r="AH140" s="153">
        <f t="shared" si="206"/>
        <v>1.3165611772087666</v>
      </c>
      <c r="AI140" s="153">
        <f t="shared" si="207"/>
        <v>1.4660671114979209</v>
      </c>
      <c r="AJ140" s="153">
        <f t="shared" si="208"/>
        <v>1.6785682307392007</v>
      </c>
      <c r="AL140" s="317">
        <f t="shared" si="209"/>
        <v>150</v>
      </c>
      <c r="AM140" s="147">
        <f t="shared" si="210"/>
        <v>313.61723481788795</v>
      </c>
      <c r="AO140" s="147">
        <f t="shared" si="211"/>
        <v>150</v>
      </c>
      <c r="AP140" s="147">
        <f t="shared" si="212"/>
        <v>313.61723481788795</v>
      </c>
      <c r="AR140" s="5">
        <f t="shared" si="249"/>
        <v>3.1886002712213268</v>
      </c>
      <c r="AS140" s="5">
        <f t="shared" si="246"/>
        <v>1.4660671114979209</v>
      </c>
      <c r="AT140" s="5">
        <f t="shared" si="247"/>
        <v>1.7225331597234059</v>
      </c>
      <c r="AU140" s="153">
        <f t="shared" si="248"/>
        <v>0.45978391356542614</v>
      </c>
      <c r="AW140" s="5">
        <f t="shared" si="216"/>
        <v>1.4660671114979209</v>
      </c>
      <c r="AX140" s="5"/>
      <c r="AY140" s="5">
        <f t="shared" si="217"/>
        <v>0.27488758340586017</v>
      </c>
      <c r="AZ140" s="5"/>
      <c r="BA140" s="5">
        <f t="shared" si="218"/>
        <v>0.86212870857027324</v>
      </c>
      <c r="BB140" s="5"/>
      <c r="BC140" s="5"/>
      <c r="BD140" s="153">
        <f t="shared" si="219"/>
        <v>0.57394477978095104</v>
      </c>
      <c r="BE140" s="153">
        <f t="shared" si="220"/>
        <v>0.31106201749040924</v>
      </c>
      <c r="BF140" s="153">
        <f t="shared" si="221"/>
        <v>6.2293726901347331E-2</v>
      </c>
      <c r="BG140" s="153"/>
      <c r="BH140" s="463">
        <f t="shared" si="222"/>
        <v>3.623538712615848E-2</v>
      </c>
      <c r="BI140" s="463">
        <f t="shared" si="223"/>
        <v>3.8300000000000001E-2</v>
      </c>
      <c r="BJ140" s="463">
        <f t="shared" si="224"/>
        <v>1.5680861740894399E-2</v>
      </c>
      <c r="BK140" s="463">
        <f t="shared" si="225"/>
        <v>1.9585399450549448E-2</v>
      </c>
      <c r="BL140">
        <f t="shared" si="226"/>
        <v>2.6099999999999999E-3</v>
      </c>
      <c r="BM140">
        <f t="shared" si="227"/>
        <v>1.2544689392715518E-5</v>
      </c>
      <c r="BN140">
        <f t="shared" si="228"/>
        <v>0.11810555657311715</v>
      </c>
      <c r="BO140" s="147">
        <f t="shared" si="229"/>
        <v>112.41164831760233</v>
      </c>
      <c r="BP140" s="153">
        <f t="shared" si="230"/>
        <v>0.06</v>
      </c>
      <c r="BQ140" s="153">
        <f t="shared" si="231"/>
        <v>1.2E-2</v>
      </c>
      <c r="BR140" s="463"/>
      <c r="BT140" s="147">
        <f t="shared" si="232"/>
        <v>72</v>
      </c>
      <c r="BU140" s="463">
        <f t="shared" si="233"/>
        <v>2.8000071870213375E-2</v>
      </c>
      <c r="BV140" s="463">
        <f t="shared" si="234"/>
        <v>1.8384319957788695E-2</v>
      </c>
      <c r="BW140" s="463">
        <f t="shared" si="235"/>
        <v>1.9402542056298221E-4</v>
      </c>
      <c r="BX140" s="463">
        <f t="shared" si="236"/>
        <v>0</v>
      </c>
      <c r="BY140" s="463">
        <f t="shared" si="180"/>
        <v>5.2362945970053434E-2</v>
      </c>
      <c r="BZ140" s="463">
        <f t="shared" si="250"/>
        <v>4.6578417248565047E-2</v>
      </c>
      <c r="CA140" s="549">
        <f t="shared" si="237"/>
        <v>0.33703703703703713</v>
      </c>
      <c r="CB140" s="147">
        <f t="shared" si="238"/>
        <v>482.55681750422065</v>
      </c>
      <c r="CC140" s="153">
        <f t="shared" si="251"/>
        <v>0.57950553958020778</v>
      </c>
      <c r="CD140" s="5">
        <f t="shared" si="239"/>
        <v>2.73</v>
      </c>
      <c r="CE140" s="153">
        <f t="shared" si="240"/>
        <v>0.82489664010240182</v>
      </c>
      <c r="CF140" s="5">
        <f t="shared" si="241"/>
        <v>82.489664010240176</v>
      </c>
      <c r="CG140">
        <f t="shared" si="242"/>
        <v>30</v>
      </c>
      <c r="CI140" s="59">
        <f t="shared" si="243"/>
        <v>-50</v>
      </c>
      <c r="CJ140">
        <f t="shared" si="244"/>
        <v>-50</v>
      </c>
    </row>
    <row r="141" spans="5:88" x14ac:dyDescent="0.25">
      <c r="E141" s="150">
        <v>31</v>
      </c>
      <c r="F141" s="191">
        <f t="shared" si="245"/>
        <v>0.155</v>
      </c>
      <c r="G141" s="191">
        <f t="shared" si="183"/>
        <v>3.1E-2</v>
      </c>
      <c r="H141" s="191">
        <f t="shared" si="184"/>
        <v>2.3250000000000002</v>
      </c>
      <c r="I141" s="191">
        <f t="shared" si="185"/>
        <v>0.496</v>
      </c>
      <c r="J141" s="472">
        <f t="shared" si="186"/>
        <v>9</v>
      </c>
      <c r="K141" s="386">
        <f t="shared" si="187"/>
        <v>7.66</v>
      </c>
      <c r="L141" s="386">
        <f t="shared" si="188"/>
        <v>16.66</v>
      </c>
      <c r="M141" s="386"/>
      <c r="N141" s="191">
        <f t="shared" si="189"/>
        <v>0.45978391356542619</v>
      </c>
      <c r="O141" s="152">
        <f t="shared" si="190"/>
        <v>6.2923449599620076</v>
      </c>
      <c r="P141" s="152">
        <f t="shared" si="191"/>
        <v>1.6287385354141657</v>
      </c>
      <c r="Q141" s="191">
        <f t="shared" si="192"/>
        <v>0.41948966399746718</v>
      </c>
      <c r="R141" s="191">
        <f t="shared" si="193"/>
        <v>0.39327155999762548</v>
      </c>
      <c r="S141" s="191">
        <f t="shared" si="194"/>
        <v>15</v>
      </c>
      <c r="T141" s="191">
        <f t="shared" si="195"/>
        <v>1.5149360152145184</v>
      </c>
      <c r="U141" s="191">
        <f t="shared" si="196"/>
        <v>1.5149360152145184</v>
      </c>
      <c r="V141" s="191">
        <f t="shared" si="197"/>
        <v>1.7799509317141862</v>
      </c>
      <c r="W141" s="175">
        <f t="shared" si="198"/>
        <v>350</v>
      </c>
      <c r="X141" s="386">
        <f t="shared" si="199"/>
        <v>303.50054982376253</v>
      </c>
      <c r="Z141" s="191">
        <f t="shared" si="200"/>
        <v>1.3136683244726464</v>
      </c>
      <c r="AA141" s="153">
        <f t="shared" si="201"/>
        <v>1.5434745326702111</v>
      </c>
      <c r="AB141" s="153">
        <f t="shared" si="202"/>
        <v>0.14622213484608731</v>
      </c>
      <c r="AC141" s="153"/>
      <c r="AD141" s="153">
        <f t="shared" si="203"/>
        <v>0.96344647519582249</v>
      </c>
      <c r="AE141" s="317">
        <f t="shared" si="204"/>
        <v>784.78418930530779</v>
      </c>
      <c r="AF141" s="463">
        <f t="shared" si="205"/>
        <v>6.9127284595300251E-2</v>
      </c>
      <c r="AH141" s="153">
        <f t="shared" si="206"/>
        <v>1.3383239933256488</v>
      </c>
      <c r="AI141" s="153">
        <f t="shared" si="207"/>
        <v>1.5149360152145184</v>
      </c>
      <c r="AJ141" s="153">
        <f t="shared" si="208"/>
        <v>1.7147674186774209</v>
      </c>
      <c r="AL141" s="317">
        <f t="shared" si="209"/>
        <v>155</v>
      </c>
      <c r="AM141" s="147">
        <f t="shared" si="210"/>
        <v>303.50054982376253</v>
      </c>
      <c r="AO141" s="147">
        <f t="shared" si="211"/>
        <v>155</v>
      </c>
      <c r="AP141" s="147">
        <f t="shared" si="212"/>
        <v>303.50054982376253</v>
      </c>
      <c r="AR141" s="5">
        <f t="shared" si="249"/>
        <v>3.2948869469287043</v>
      </c>
      <c r="AS141" s="5">
        <f t="shared" si="246"/>
        <v>1.5149360152145184</v>
      </c>
      <c r="AT141" s="5">
        <f t="shared" si="247"/>
        <v>1.7799509317141859</v>
      </c>
      <c r="AU141" s="153">
        <f t="shared" si="248"/>
        <v>0.45978391356542619</v>
      </c>
      <c r="AW141" s="5">
        <f t="shared" si="216"/>
        <v>1.5654338823883358</v>
      </c>
      <c r="AX141" s="5"/>
      <c r="AY141" s="5">
        <f t="shared" si="217"/>
        <v>0.29351885294781294</v>
      </c>
      <c r="AZ141" s="5"/>
      <c r="BA141" s="5">
        <f t="shared" si="218"/>
        <v>0.92056187659559152</v>
      </c>
      <c r="BB141" s="5"/>
      <c r="BC141" s="5"/>
      <c r="BD141" s="153">
        <f t="shared" si="219"/>
        <v>0.59307627244031613</v>
      </c>
      <c r="BE141" s="153">
        <f t="shared" si="220"/>
        <v>0.3214307514067562</v>
      </c>
      <c r="BF141" s="153">
        <f t="shared" si="221"/>
        <v>6.4370184464725561E-2</v>
      </c>
      <c r="BG141" s="153"/>
      <c r="BH141" s="463">
        <f t="shared" si="222"/>
        <v>3.8691341142487012E-2</v>
      </c>
      <c r="BI141" s="463">
        <f t="shared" si="223"/>
        <v>3.8300000000000008E-2</v>
      </c>
      <c r="BJ141" s="463">
        <f t="shared" si="224"/>
        <v>1.5175027491188126E-2</v>
      </c>
      <c r="BK141" s="463">
        <f t="shared" si="225"/>
        <v>1.8953612371499468E-2</v>
      </c>
      <c r="BL141">
        <f t="shared" si="226"/>
        <v>2.6099999999999999E-3</v>
      </c>
      <c r="BM141">
        <f t="shared" si="227"/>
        <v>1.2140021992950501E-5</v>
      </c>
      <c r="BN141">
        <f t="shared" si="228"/>
        <v>0.1198207991395583</v>
      </c>
      <c r="BO141" s="147">
        <f t="shared" si="229"/>
        <v>113.72998100517461</v>
      </c>
      <c r="BP141" s="153">
        <f t="shared" si="230"/>
        <v>6.2E-2</v>
      </c>
      <c r="BQ141" s="153">
        <f t="shared" si="231"/>
        <v>1.2400000000000001E-2</v>
      </c>
      <c r="BR141" s="463"/>
      <c r="BT141" s="147">
        <f t="shared" si="232"/>
        <v>74.399999999999991</v>
      </c>
      <c r="BU141" s="463">
        <f t="shared" si="233"/>
        <v>2.9897854519194512E-2</v>
      </c>
      <c r="BV141" s="463">
        <f t="shared" si="234"/>
        <v>1.9630368310483259E-2</v>
      </c>
      <c r="BW141" s="463">
        <f t="shared" si="235"/>
        <v>2.0717603240113979E-4</v>
      </c>
      <c r="BX141" s="463">
        <f t="shared" si="236"/>
        <v>0</v>
      </c>
      <c r="BY141" s="463">
        <f t="shared" si="180"/>
        <v>5.5926167545504633E-2</v>
      </c>
      <c r="BZ141" s="463">
        <f t="shared" si="250"/>
        <v>4.9735398862078908E-2</v>
      </c>
      <c r="CA141" s="549">
        <f t="shared" si="237"/>
        <v>0.34827160493827169</v>
      </c>
      <c r="CB141" s="147">
        <f t="shared" si="238"/>
        <v>503.66857020793418</v>
      </c>
      <c r="CC141" s="153">
        <f t="shared" si="251"/>
        <v>0.59841857162333456</v>
      </c>
      <c r="CD141" s="5">
        <f t="shared" si="239"/>
        <v>2.8210000000000002</v>
      </c>
      <c r="CE141" s="153">
        <f t="shared" si="240"/>
        <v>0.82499405700448036</v>
      </c>
      <c r="CF141" s="5">
        <f t="shared" si="241"/>
        <v>82.499405700448037</v>
      </c>
      <c r="CG141">
        <f t="shared" si="242"/>
        <v>31</v>
      </c>
      <c r="CI141" s="59">
        <f t="shared" si="243"/>
        <v>-50</v>
      </c>
      <c r="CJ141">
        <f t="shared" si="244"/>
        <v>-50</v>
      </c>
    </row>
    <row r="142" spans="5:88" x14ac:dyDescent="0.25">
      <c r="E142" s="150">
        <v>32</v>
      </c>
      <c r="F142" s="191">
        <f t="shared" si="245"/>
        <v>0.16</v>
      </c>
      <c r="G142" s="191">
        <f t="shared" ref="G142:G173" si="252">IF(PLOT_TYPE=1, E142/100*Iout2, min_I*EXP(Q142*rr/100))</f>
        <v>3.2000000000000001E-2</v>
      </c>
      <c r="H142" s="191">
        <f t="shared" ref="H142:H173" si="253">F142*Vout</f>
        <v>2.4</v>
      </c>
      <c r="I142" s="191">
        <f t="shared" ref="I142:I173" si="254">Vout2*G142</f>
        <v>0.51200000000000001</v>
      </c>
      <c r="J142" s="472">
        <f t="shared" si="186"/>
        <v>9</v>
      </c>
      <c r="K142" s="386">
        <f t="shared" si="187"/>
        <v>7.66</v>
      </c>
      <c r="L142" s="386">
        <f t="shared" si="188"/>
        <v>16.66</v>
      </c>
      <c r="M142" s="386"/>
      <c r="N142" s="191">
        <f t="shared" si="189"/>
        <v>0.45978391356542619</v>
      </c>
      <c r="O142" s="152">
        <f t="shared" ref="O142:O173" si="255">N142*J142*Isw_max*0.5*Efficiency*Pout/(Pout+Pout2)</f>
        <v>6.2923449599620076</v>
      </c>
      <c r="P142" s="152">
        <f t="shared" ref="P142:P173" si="256">N142*J142*Isw_max*0.5*Efficiency*(Pout2/Pout_total)</f>
        <v>1.6287385354141657</v>
      </c>
      <c r="Q142" s="191">
        <f t="shared" si="192"/>
        <v>0.41948966399746718</v>
      </c>
      <c r="R142" s="191">
        <f t="shared" ref="R142:R173" si="257">O142/Vout2</f>
        <v>0.39327155999762548</v>
      </c>
      <c r="S142" s="191">
        <f t="shared" ref="S142:S173" si="258">MIN(Vout,O142/F142)</f>
        <v>15</v>
      </c>
      <c r="T142" s="191">
        <f t="shared" ref="T142:T173" si="259">MIN(2*(Vout*F142+Vout2*G142)/(Efficiency*J142*N142), Isw_max)</f>
        <v>1.5638049189311156</v>
      </c>
      <c r="U142" s="191">
        <f t="shared" si="196"/>
        <v>1.5638049189311156</v>
      </c>
      <c r="V142" s="191">
        <f t="shared" si="197"/>
        <v>1.8373687037049662</v>
      </c>
      <c r="W142" s="175">
        <f t="shared" si="198"/>
        <v>350</v>
      </c>
      <c r="X142" s="386">
        <f t="shared" si="199"/>
        <v>294.01615764176995</v>
      </c>
      <c r="Z142" s="191">
        <f t="shared" si="200"/>
        <v>1.3136683244726464</v>
      </c>
      <c r="AA142" s="153">
        <f t="shared" si="201"/>
        <v>1.5434745326702111</v>
      </c>
      <c r="AB142" s="153">
        <f t="shared" ref="AB142:AB173" si="260">0.5*AA142*Z142*Nps*W142/1000*(Pout/(Pout+Pout2))</f>
        <v>0.14622213484608731</v>
      </c>
      <c r="AC142" s="153"/>
      <c r="AD142" s="153">
        <f t="shared" si="203"/>
        <v>0.96344647519582249</v>
      </c>
      <c r="AE142" s="317">
        <f t="shared" ref="AE142:AE173" si="261">MAX(10, F142/(0.5*AD142/1000000*Isw_min*Nps)/1000*Pout_total/Pout)</f>
        <v>810.09980831515634</v>
      </c>
      <c r="AF142" s="463">
        <f t="shared" ref="AF142:AF173" si="262">0.5*AD142/1000000*Isw_min*Nps*W142*1000*(Pout/Pout_total)</f>
        <v>6.9127284595300251E-2</v>
      </c>
      <c r="AH142" s="153">
        <f t="shared" ref="AH142:AH173" si="263">SQRT((H142+I142)/(0.5*L*Fsw_DCM))</f>
        <v>1.3597385369580759</v>
      </c>
      <c r="AI142" s="153">
        <f t="shared" ref="AI142:AI173" si="264">MAX(IF(F142&gt;AB142,T142,AH142),Isw_min)</f>
        <v>1.5638049189311156</v>
      </c>
      <c r="AJ142" s="153">
        <f t="shared" ref="AJ142:AJ173" si="265">IF(F142&gt;AF142, (AI142-Isw_min)/1.08*0.8+1.2, AE142*0.2/350+1)</f>
        <v>1.7509666066156413</v>
      </c>
      <c r="AL142" s="317">
        <f t="shared" ref="AL142:AL173" si="266">F142*1000</f>
        <v>160</v>
      </c>
      <c r="AM142" s="147">
        <f t="shared" ref="AM142:AM173" si="267">IF(F142&gt;AF142, X142, AE142)</f>
        <v>294.01615764176995</v>
      </c>
      <c r="AO142" s="147">
        <f t="shared" si="211"/>
        <v>160</v>
      </c>
      <c r="AP142" s="147">
        <f t="shared" si="212"/>
        <v>294.01615764176995</v>
      </c>
      <c r="AR142" s="5">
        <f t="shared" si="249"/>
        <v>3.4011736226360818</v>
      </c>
      <c r="AS142" s="5">
        <f t="shared" si="246"/>
        <v>1.5638049189311156</v>
      </c>
      <c r="AT142" s="5">
        <f t="shared" si="247"/>
        <v>1.8373687037049662</v>
      </c>
      <c r="AU142" s="153">
        <f t="shared" si="248"/>
        <v>0.45978391356542614</v>
      </c>
      <c r="AW142" s="5">
        <f t="shared" si="216"/>
        <v>1.6680585801931902</v>
      </c>
      <c r="AX142" s="5"/>
      <c r="AY142" s="5">
        <f t="shared" si="217"/>
        <v>0.31276098378622313</v>
      </c>
      <c r="AZ142" s="5"/>
      <c r="BA142" s="5">
        <f t="shared" si="218"/>
        <v>0.98091088619551059</v>
      </c>
      <c r="BB142" s="5"/>
      <c r="BC142" s="5"/>
      <c r="BD142" s="153">
        <f t="shared" si="219"/>
        <v>0.61220776509968111</v>
      </c>
      <c r="BE142" s="153">
        <f t="shared" si="220"/>
        <v>0.33179948532310322</v>
      </c>
      <c r="BF142" s="153">
        <f t="shared" si="221"/>
        <v>6.6446642028103811E-2</v>
      </c>
      <c r="BG142" s="153"/>
      <c r="BH142" s="463">
        <f t="shared" si="222"/>
        <v>4.1227818241318097E-2</v>
      </c>
      <c r="BI142" s="463">
        <f t="shared" si="223"/>
        <v>3.8300000000000001E-2</v>
      </c>
      <c r="BJ142" s="463">
        <f t="shared" si="224"/>
        <v>1.4700807882088497E-2</v>
      </c>
      <c r="BK142" s="463">
        <f t="shared" si="225"/>
        <v>1.8361311984890112E-2</v>
      </c>
      <c r="BL142">
        <f t="shared" si="226"/>
        <v>2.6099999999999999E-3</v>
      </c>
      <c r="BM142">
        <f t="shared" ref="BM142:BM173" si="268">(J142-Vdd)*Qg*AM142</f>
        <v>1.1760646305670799E-5</v>
      </c>
      <c r="BN142">
        <f t="shared" ref="BN142:BN173" si="269">(BI142+BJ142+BK142+BL142+BM142+BH142*(1+RdsonTC*(Ta-25)))/(1-BH142*RdsonTC*ThetaJA)</f>
        <v>0.12170319350977024</v>
      </c>
      <c r="BO142" s="147">
        <f t="shared" si="229"/>
        <v>115.19993810829671</v>
      </c>
      <c r="BP142" s="153">
        <f t="shared" si="230"/>
        <v>6.4000000000000001E-2</v>
      </c>
      <c r="BQ142" s="153">
        <f t="shared" si="231"/>
        <v>1.2800000000000001E-2</v>
      </c>
      <c r="BR142" s="463"/>
      <c r="BT142" s="147">
        <f t="shared" si="232"/>
        <v>76.800000000000011</v>
      </c>
      <c r="BU142" s="463">
        <f t="shared" si="233"/>
        <v>3.1857859550109439E-2</v>
      </c>
      <c r="BV142" s="463">
        <f t="shared" si="234"/>
        <v>2.0917270707528475E-2</v>
      </c>
      <c r="BW142" s="463">
        <f t="shared" si="235"/>
        <v>2.2075781184054859E-4</v>
      </c>
      <c r="BX142" s="463">
        <f t="shared" si="236"/>
        <v>0</v>
      </c>
      <c r="BY142" s="463">
        <f t="shared" si="180"/>
        <v>5.9608113430407131E-2</v>
      </c>
      <c r="BZ142" s="463">
        <f t="shared" si="250"/>
        <v>5.2995888069478463E-2</v>
      </c>
      <c r="CA142" s="549">
        <f t="shared" ref="CA142:CA173" si="270">0.5*Lleak*0.000000001*AI142^2*AM142*1000</f>
        <v>0.3595061728395062</v>
      </c>
      <c r="CB142" s="147">
        <f t="shared" si="238"/>
        <v>525.10606240887023</v>
      </c>
      <c r="CC142" s="153">
        <f t="shared" si="251"/>
        <v>0.61761747977968362</v>
      </c>
      <c r="CD142" s="5">
        <f t="shared" si="239"/>
        <v>2.9119999999999999</v>
      </c>
      <c r="CE142" s="153">
        <f t="shared" si="240"/>
        <v>0.82501857968523129</v>
      </c>
      <c r="CF142" s="5">
        <f t="shared" si="241"/>
        <v>82.501857968523126</v>
      </c>
      <c r="CG142">
        <f t="shared" si="242"/>
        <v>32</v>
      </c>
      <c r="CI142" s="59">
        <f t="shared" ref="CI142:CI173" si="271">IF(ABS(F142-Ioutmax_Vinmin)&lt;Iout/200, AM142, -50)</f>
        <v>-50</v>
      </c>
      <c r="CJ142">
        <f t="shared" ref="CJ142:CJ173" si="272">IF(ABS(F142-Ioutmax_Vinmin)&lt;Iout/200, (O142+P142)*CE142, -50)</f>
        <v>-50</v>
      </c>
    </row>
    <row r="143" spans="5:88" x14ac:dyDescent="0.25">
      <c r="E143" s="150">
        <v>33</v>
      </c>
      <c r="F143" s="191">
        <f t="shared" ref="F143:F174" si="273">IF(PLOT_TYPE=1, E143/100*Iout_max, min_I*EXP(O143*rr/100))</f>
        <v>0.16500000000000001</v>
      </c>
      <c r="G143" s="191">
        <f t="shared" si="252"/>
        <v>3.3000000000000002E-2</v>
      </c>
      <c r="H143" s="191">
        <f t="shared" si="253"/>
        <v>2.4750000000000001</v>
      </c>
      <c r="I143" s="191">
        <f t="shared" si="254"/>
        <v>0.52800000000000002</v>
      </c>
      <c r="J143" s="472">
        <f t="shared" si="186"/>
        <v>9</v>
      </c>
      <c r="K143" s="386">
        <f t="shared" si="187"/>
        <v>7.66</v>
      </c>
      <c r="L143" s="386">
        <f t="shared" si="188"/>
        <v>16.66</v>
      </c>
      <c r="M143" s="386"/>
      <c r="N143" s="191">
        <f t="shared" si="189"/>
        <v>0.45978391356542619</v>
      </c>
      <c r="O143" s="152">
        <f t="shared" si="255"/>
        <v>6.2923449599620076</v>
      </c>
      <c r="P143" s="152">
        <f t="shared" si="256"/>
        <v>1.6287385354141657</v>
      </c>
      <c r="Q143" s="191">
        <f t="shared" si="192"/>
        <v>0.41948966399746718</v>
      </c>
      <c r="R143" s="191">
        <f t="shared" si="257"/>
        <v>0.39327155999762548</v>
      </c>
      <c r="S143" s="191">
        <f t="shared" si="258"/>
        <v>15</v>
      </c>
      <c r="T143" s="191">
        <f t="shared" si="259"/>
        <v>1.6126738226477131</v>
      </c>
      <c r="U143" s="191">
        <f t="shared" si="196"/>
        <v>1.6126738226477131</v>
      </c>
      <c r="V143" s="191">
        <f t="shared" si="197"/>
        <v>1.8947864756957462</v>
      </c>
      <c r="W143" s="175">
        <f t="shared" si="198"/>
        <v>350</v>
      </c>
      <c r="X143" s="386">
        <f t="shared" si="199"/>
        <v>285.10657710717084</v>
      </c>
      <c r="Z143" s="191">
        <f t="shared" si="200"/>
        <v>1.3136683244726464</v>
      </c>
      <c r="AA143" s="153">
        <f t="shared" si="201"/>
        <v>1.5434745326702111</v>
      </c>
      <c r="AB143" s="153">
        <f t="shared" si="260"/>
        <v>0.14622213484608731</v>
      </c>
      <c r="AC143" s="153"/>
      <c r="AD143" s="153">
        <f t="shared" si="203"/>
        <v>0.96344647519582249</v>
      </c>
      <c r="AE143" s="317">
        <f t="shared" si="261"/>
        <v>835.415427325005</v>
      </c>
      <c r="AF143" s="463">
        <f t="shared" si="262"/>
        <v>6.9127284595300251E-2</v>
      </c>
      <c r="AH143" s="153">
        <f t="shared" si="263"/>
        <v>1.3808210118138653</v>
      </c>
      <c r="AI143" s="153">
        <f t="shared" si="264"/>
        <v>1.6126738226477131</v>
      </c>
      <c r="AJ143" s="153">
        <f t="shared" si="265"/>
        <v>1.7871657945538615</v>
      </c>
      <c r="AL143" s="317">
        <f t="shared" si="266"/>
        <v>165</v>
      </c>
      <c r="AM143" s="147">
        <f t="shared" si="267"/>
        <v>285.10657710717084</v>
      </c>
      <c r="AO143" s="147">
        <f t="shared" si="211"/>
        <v>165</v>
      </c>
      <c r="AP143" s="147">
        <f t="shared" si="212"/>
        <v>285.10657710717084</v>
      </c>
      <c r="AR143" s="5">
        <f t="shared" si="249"/>
        <v>3.5074602983434597</v>
      </c>
      <c r="AS143" s="5">
        <f t="shared" si="246"/>
        <v>1.6126738226477131</v>
      </c>
      <c r="AT143" s="5">
        <f t="shared" si="247"/>
        <v>1.8947864756957467</v>
      </c>
      <c r="AU143" s="153">
        <f t="shared" si="248"/>
        <v>0.45978391356542614</v>
      </c>
      <c r="AW143" s="5">
        <f t="shared" si="216"/>
        <v>1.7739412049124843</v>
      </c>
      <c r="AX143" s="5"/>
      <c r="AY143" s="5">
        <f t="shared" si="217"/>
        <v>0.33261397592109082</v>
      </c>
      <c r="AZ143" s="5"/>
      <c r="BA143" s="5">
        <f t="shared" si="218"/>
        <v>1.0431757373700306</v>
      </c>
      <c r="BB143" s="5"/>
      <c r="BC143" s="5"/>
      <c r="BD143" s="153">
        <f t="shared" si="219"/>
        <v>0.6313392577590462</v>
      </c>
      <c r="BE143" s="153">
        <f t="shared" si="220"/>
        <v>0.34216821923945018</v>
      </c>
      <c r="BF143" s="153">
        <f t="shared" si="221"/>
        <v>6.8523099591482062E-2</v>
      </c>
      <c r="BG143" s="153"/>
      <c r="BH143" s="463">
        <f t="shared" si="222"/>
        <v>4.3844818422651775E-2</v>
      </c>
      <c r="BI143" s="463">
        <f t="shared" si="223"/>
        <v>3.8300000000000001E-2</v>
      </c>
      <c r="BJ143" s="463">
        <f t="shared" si="224"/>
        <v>1.4255328855358542E-2</v>
      </c>
      <c r="BK143" s="463">
        <f t="shared" si="225"/>
        <v>1.780490859140859E-2</v>
      </c>
      <c r="BL143">
        <f t="shared" si="226"/>
        <v>2.6099999999999999E-3</v>
      </c>
      <c r="BM143">
        <f t="shared" si="268"/>
        <v>1.1404263084286833E-5</v>
      </c>
      <c r="BN143">
        <f t="shared" si="269"/>
        <v>0.1237465420606374</v>
      </c>
      <c r="BO143" s="147">
        <f t="shared" si="229"/>
        <v>116.81505586941893</v>
      </c>
      <c r="BP143" s="153">
        <f t="shared" si="230"/>
        <v>6.6000000000000003E-2</v>
      </c>
      <c r="BQ143" s="153">
        <f t="shared" si="231"/>
        <v>1.3200000000000002E-2</v>
      </c>
      <c r="BR143" s="463"/>
      <c r="BT143" s="147">
        <f t="shared" si="232"/>
        <v>79.2</v>
      </c>
      <c r="BU143" s="463">
        <f t="shared" si="233"/>
        <v>3.3880086962958189E-2</v>
      </c>
      <c r="BV143" s="463">
        <f t="shared" si="234"/>
        <v>2.2245027148924325E-2</v>
      </c>
      <c r="BW143" s="463">
        <f t="shared" si="235"/>
        <v>2.3477075888120847E-4</v>
      </c>
      <c r="BX143" s="463">
        <f t="shared" si="236"/>
        <v>0</v>
      </c>
      <c r="BY143" s="463">
        <f t="shared" si="180"/>
        <v>6.3408968829897522E-2</v>
      </c>
      <c r="BZ143" s="463">
        <f t="shared" si="250"/>
        <v>5.6359884870763724E-2</v>
      </c>
      <c r="CA143" s="549">
        <f t="shared" si="270"/>
        <v>0.37074074074074076</v>
      </c>
      <c r="CB143" s="147">
        <f t="shared" si="238"/>
        <v>546.86947931216582</v>
      </c>
      <c r="CC143" s="153">
        <f t="shared" si="251"/>
        <v>0.6370962516312757</v>
      </c>
      <c r="CD143" s="5">
        <f t="shared" si="239"/>
        <v>3.0030000000000001</v>
      </c>
      <c r="CE143" s="153">
        <f t="shared" si="240"/>
        <v>0.82497818530326861</v>
      </c>
      <c r="CF143" s="5">
        <f t="shared" si="241"/>
        <v>82.497818530326867</v>
      </c>
      <c r="CG143">
        <f t="shared" si="242"/>
        <v>33</v>
      </c>
      <c r="CI143" s="59">
        <f t="shared" si="271"/>
        <v>-50</v>
      </c>
      <c r="CJ143">
        <f t="shared" si="272"/>
        <v>-50</v>
      </c>
    </row>
    <row r="144" spans="5:88" x14ac:dyDescent="0.25">
      <c r="E144" s="150">
        <v>34</v>
      </c>
      <c r="F144" s="191">
        <f t="shared" si="273"/>
        <v>0.17</v>
      </c>
      <c r="G144" s="191">
        <f t="shared" si="252"/>
        <v>3.4000000000000002E-2</v>
      </c>
      <c r="H144" s="191">
        <f t="shared" si="253"/>
        <v>2.5500000000000003</v>
      </c>
      <c r="I144" s="191">
        <f t="shared" si="254"/>
        <v>0.54400000000000004</v>
      </c>
      <c r="J144" s="472">
        <f t="shared" si="186"/>
        <v>9</v>
      </c>
      <c r="K144" s="386">
        <f t="shared" si="187"/>
        <v>7.66</v>
      </c>
      <c r="L144" s="386">
        <f t="shared" si="188"/>
        <v>16.66</v>
      </c>
      <c r="M144" s="386"/>
      <c r="N144" s="191">
        <f t="shared" si="189"/>
        <v>0.45978391356542619</v>
      </c>
      <c r="O144" s="152">
        <f t="shared" si="255"/>
        <v>6.2923449599620076</v>
      </c>
      <c r="P144" s="152">
        <f t="shared" si="256"/>
        <v>1.6287385354141657</v>
      </c>
      <c r="Q144" s="191">
        <f t="shared" si="192"/>
        <v>0.41948966399746718</v>
      </c>
      <c r="R144" s="191">
        <f t="shared" si="257"/>
        <v>0.39327155999762548</v>
      </c>
      <c r="S144" s="191">
        <f t="shared" si="258"/>
        <v>15</v>
      </c>
      <c r="T144" s="191">
        <f t="shared" si="259"/>
        <v>1.6615427263643106</v>
      </c>
      <c r="U144" s="191">
        <f t="shared" si="196"/>
        <v>1.6615427263643106</v>
      </c>
      <c r="V144" s="191">
        <f t="shared" si="197"/>
        <v>1.9522042476865269</v>
      </c>
      <c r="W144" s="175">
        <f t="shared" si="198"/>
        <v>350</v>
      </c>
      <c r="X144" s="386">
        <f t="shared" si="199"/>
        <v>276.72108954519518</v>
      </c>
      <c r="Z144" s="191">
        <f t="shared" si="200"/>
        <v>1.3136683244726464</v>
      </c>
      <c r="AA144" s="153">
        <f t="shared" si="201"/>
        <v>1.5434745326702111</v>
      </c>
      <c r="AB144" s="153">
        <f t="shared" si="260"/>
        <v>0.14622213484608731</v>
      </c>
      <c r="AC144" s="153"/>
      <c r="AD144" s="153">
        <f t="shared" si="203"/>
        <v>0.96344647519582249</v>
      </c>
      <c r="AE144" s="317">
        <f t="shared" si="261"/>
        <v>860.73104633485377</v>
      </c>
      <c r="AF144" s="463">
        <f t="shared" si="262"/>
        <v>6.9127284595300251E-2</v>
      </c>
      <c r="AH144" s="153">
        <f t="shared" si="263"/>
        <v>1.4015864027752427</v>
      </c>
      <c r="AI144" s="153">
        <f t="shared" si="264"/>
        <v>1.6615427263643106</v>
      </c>
      <c r="AJ144" s="153">
        <f t="shared" si="265"/>
        <v>1.8233649824920819</v>
      </c>
      <c r="AL144" s="317">
        <f t="shared" si="266"/>
        <v>170</v>
      </c>
      <c r="AM144" s="147">
        <f t="shared" si="267"/>
        <v>276.72108954519518</v>
      </c>
      <c r="AO144" s="147">
        <f t="shared" si="211"/>
        <v>170</v>
      </c>
      <c r="AP144" s="147">
        <f t="shared" si="212"/>
        <v>276.72108954519518</v>
      </c>
      <c r="AR144" s="5">
        <f t="shared" si="249"/>
        <v>3.6137469740508377</v>
      </c>
      <c r="AS144" s="5">
        <f t="shared" si="246"/>
        <v>1.6615427263643106</v>
      </c>
      <c r="AT144" s="5">
        <f t="shared" si="247"/>
        <v>1.9522042476865271</v>
      </c>
      <c r="AU144" s="153">
        <f t="shared" si="248"/>
        <v>0.45978391356542614</v>
      </c>
      <c r="AW144" s="5">
        <f t="shared" si="216"/>
        <v>1.8830817565462188</v>
      </c>
      <c r="AX144" s="5"/>
      <c r="AY144" s="5">
        <f t="shared" si="217"/>
        <v>0.35307782935241605</v>
      </c>
      <c r="AZ144" s="5"/>
      <c r="BA144" s="5">
        <f t="shared" si="218"/>
        <v>1.1073564301191512</v>
      </c>
      <c r="BB144" s="5"/>
      <c r="BC144" s="5"/>
      <c r="BD144" s="153">
        <f t="shared" si="219"/>
        <v>0.65047075041841129</v>
      </c>
      <c r="BE144" s="153">
        <f t="shared" si="220"/>
        <v>0.35253695315579719</v>
      </c>
      <c r="BF144" s="153">
        <f t="shared" si="221"/>
        <v>7.0599557154860298E-2</v>
      </c>
      <c r="BG144" s="153"/>
      <c r="BH144" s="463">
        <f t="shared" si="222"/>
        <v>4.6542341686488027E-2</v>
      </c>
      <c r="BI144" s="463">
        <f t="shared" si="223"/>
        <v>3.8299999999999994E-2</v>
      </c>
      <c r="BJ144" s="463">
        <f t="shared" si="224"/>
        <v>1.383605447725976E-2</v>
      </c>
      <c r="BK144" s="463">
        <f t="shared" si="225"/>
        <v>1.7281234809308335E-2</v>
      </c>
      <c r="BL144">
        <f t="shared" si="226"/>
        <v>2.6099999999999999E-3</v>
      </c>
      <c r="BM144">
        <f t="shared" si="268"/>
        <v>1.1068843581807808E-5</v>
      </c>
      <c r="BN144">
        <f t="shared" si="269"/>
        <v>0.12594541705435899</v>
      </c>
      <c r="BO144" s="147">
        <f t="shared" si="229"/>
        <v>118.56963097305612</v>
      </c>
      <c r="BP144" s="153">
        <f t="shared" si="230"/>
        <v>6.8000000000000005E-2</v>
      </c>
      <c r="BQ144" s="153">
        <f t="shared" si="231"/>
        <v>1.3600000000000001E-2</v>
      </c>
      <c r="BR144" s="463"/>
      <c r="BT144" s="147">
        <f t="shared" si="232"/>
        <v>81.600000000000009</v>
      </c>
      <c r="BU144" s="463">
        <f t="shared" si="233"/>
        <v>3.596453675774075E-2</v>
      </c>
      <c r="BV144" s="463">
        <f t="shared" si="234"/>
        <v>2.3613637634670823E-2</v>
      </c>
      <c r="BW144" s="463">
        <f t="shared" si="235"/>
        <v>2.4921487352311928E-4</v>
      </c>
      <c r="BX144" s="463">
        <f t="shared" si="236"/>
        <v>0</v>
      </c>
      <c r="BY144" s="463">
        <f t="shared" si="180"/>
        <v>6.7328925082628888E-2</v>
      </c>
      <c r="BZ144" s="463">
        <f t="shared" si="250"/>
        <v>5.9827389265934693E-2</v>
      </c>
      <c r="CA144" s="549">
        <f t="shared" si="270"/>
        <v>0.38197530864197538</v>
      </c>
      <c r="CB144" s="147">
        <f t="shared" si="238"/>
        <v>568.95901225647356</v>
      </c>
      <c r="CC144" s="153">
        <f t="shared" si="251"/>
        <v>0.65684965077896329</v>
      </c>
      <c r="CD144" s="5">
        <f t="shared" si="239"/>
        <v>3.0940000000000003</v>
      </c>
      <c r="CE144" s="153">
        <f t="shared" si="240"/>
        <v>0.82487977073606478</v>
      </c>
      <c r="CF144" s="5">
        <f t="shared" si="241"/>
        <v>82.487977073606473</v>
      </c>
      <c r="CG144">
        <f t="shared" si="242"/>
        <v>34</v>
      </c>
      <c r="CI144" s="59">
        <f t="shared" si="271"/>
        <v>-50</v>
      </c>
      <c r="CJ144">
        <f t="shared" si="272"/>
        <v>-50</v>
      </c>
    </row>
    <row r="145" spans="5:88" x14ac:dyDescent="0.25">
      <c r="E145" s="150">
        <v>35</v>
      </c>
      <c r="F145" s="191">
        <f t="shared" si="273"/>
        <v>0.17499999999999999</v>
      </c>
      <c r="G145" s="191">
        <f t="shared" si="252"/>
        <v>3.4999999999999996E-2</v>
      </c>
      <c r="H145" s="191">
        <f t="shared" si="253"/>
        <v>2.625</v>
      </c>
      <c r="I145" s="191">
        <f t="shared" si="254"/>
        <v>0.55999999999999994</v>
      </c>
      <c r="J145" s="472">
        <f t="shared" si="186"/>
        <v>9</v>
      </c>
      <c r="K145" s="386">
        <f t="shared" si="187"/>
        <v>7.66</v>
      </c>
      <c r="L145" s="386">
        <f t="shared" si="188"/>
        <v>16.66</v>
      </c>
      <c r="M145" s="386"/>
      <c r="N145" s="191">
        <f t="shared" si="189"/>
        <v>0.45978391356542619</v>
      </c>
      <c r="O145" s="152">
        <f t="shared" si="255"/>
        <v>6.2923449599620076</v>
      </c>
      <c r="P145" s="152">
        <f t="shared" si="256"/>
        <v>1.6287385354141657</v>
      </c>
      <c r="Q145" s="191">
        <f t="shared" si="192"/>
        <v>0.41948966399746718</v>
      </c>
      <c r="R145" s="191">
        <f t="shared" si="257"/>
        <v>0.39327155999762548</v>
      </c>
      <c r="S145" s="191">
        <f t="shared" si="258"/>
        <v>15</v>
      </c>
      <c r="T145" s="191">
        <f t="shared" si="259"/>
        <v>1.7104116300809076</v>
      </c>
      <c r="U145" s="191">
        <f t="shared" si="196"/>
        <v>1.7104116300809076</v>
      </c>
      <c r="V145" s="191">
        <f t="shared" si="197"/>
        <v>2.0096220196773062</v>
      </c>
      <c r="W145" s="175">
        <f t="shared" si="198"/>
        <v>350</v>
      </c>
      <c r="X145" s="386">
        <f t="shared" si="199"/>
        <v>268.81477270104688</v>
      </c>
      <c r="Z145" s="191">
        <f t="shared" si="200"/>
        <v>1.3136683244726464</v>
      </c>
      <c r="AA145" s="153">
        <f t="shared" si="201"/>
        <v>1.5434745326702111</v>
      </c>
      <c r="AB145" s="153">
        <f t="shared" si="260"/>
        <v>0.14622213484608731</v>
      </c>
      <c r="AC145" s="153"/>
      <c r="AD145" s="153">
        <f t="shared" si="203"/>
        <v>0.96344647519582249</v>
      </c>
      <c r="AE145" s="317">
        <f t="shared" si="261"/>
        <v>886.04666534470232</v>
      </c>
      <c r="AF145" s="463">
        <f t="shared" si="262"/>
        <v>6.9127284595300251E-2</v>
      </c>
      <c r="AH145" s="153">
        <f t="shared" si="263"/>
        <v>1.4220486005134361</v>
      </c>
      <c r="AI145" s="153">
        <f t="shared" si="264"/>
        <v>1.7104116300809076</v>
      </c>
      <c r="AJ145" s="153">
        <f t="shared" si="265"/>
        <v>1.8595641704303019</v>
      </c>
      <c r="AL145" s="317">
        <f t="shared" si="266"/>
        <v>175</v>
      </c>
      <c r="AM145" s="147">
        <f t="shared" si="267"/>
        <v>268.81477270104688</v>
      </c>
      <c r="AO145" s="147">
        <f t="shared" si="211"/>
        <v>175</v>
      </c>
      <c r="AP145" s="147">
        <f t="shared" si="212"/>
        <v>268.81477270104688</v>
      </c>
      <c r="AR145" s="5">
        <f t="shared" si="249"/>
        <v>3.7200336497582134</v>
      </c>
      <c r="AS145" s="5">
        <f t="shared" si="246"/>
        <v>1.7104116300809076</v>
      </c>
      <c r="AT145" s="5">
        <f t="shared" si="247"/>
        <v>2.0096220196773058</v>
      </c>
      <c r="AU145" s="153">
        <f t="shared" si="248"/>
        <v>0.45978391356542625</v>
      </c>
      <c r="AW145" s="5">
        <f t="shared" si="216"/>
        <v>1.9954802350943919</v>
      </c>
      <c r="AX145" s="5"/>
      <c r="AY145" s="5">
        <f t="shared" si="217"/>
        <v>0.37415254408019855</v>
      </c>
      <c r="AZ145" s="5"/>
      <c r="BA145" s="5">
        <f t="shared" si="218"/>
        <v>1.1734529644428711</v>
      </c>
      <c r="BB145" s="5"/>
      <c r="BC145" s="5"/>
      <c r="BD145" s="153">
        <f t="shared" si="219"/>
        <v>0.66960224307777627</v>
      </c>
      <c r="BE145" s="153">
        <f t="shared" si="220"/>
        <v>0.36290568707214405</v>
      </c>
      <c r="BF145" s="153">
        <f t="shared" si="221"/>
        <v>7.2676014718238521E-2</v>
      </c>
      <c r="BG145" s="153"/>
      <c r="BH145" s="463">
        <f t="shared" si="222"/>
        <v>4.9320388032826831E-2</v>
      </c>
      <c r="BI145" s="463">
        <f t="shared" si="223"/>
        <v>3.8300000000000008E-2</v>
      </c>
      <c r="BJ145" s="463">
        <f t="shared" si="224"/>
        <v>1.3440738635052343E-2</v>
      </c>
      <c r="BK145" s="463">
        <f t="shared" si="225"/>
        <v>1.6787485243328105E-2</v>
      </c>
      <c r="BL145">
        <f t="shared" si="226"/>
        <v>2.6099999999999999E-3</v>
      </c>
      <c r="BM145">
        <f t="shared" si="268"/>
        <v>1.0752590908041875E-5</v>
      </c>
      <c r="BN145">
        <f t="shared" si="269"/>
        <v>0.12829505202919531</v>
      </c>
      <c r="BO145" s="147">
        <f t="shared" si="229"/>
        <v>120.4586119112073</v>
      </c>
      <c r="BP145" s="153">
        <f t="shared" si="230"/>
        <v>6.9999999999999993E-2</v>
      </c>
      <c r="BQ145" s="153">
        <f t="shared" si="231"/>
        <v>1.3999999999999999E-2</v>
      </c>
      <c r="BR145" s="463"/>
      <c r="BT145" s="147">
        <f t="shared" si="232"/>
        <v>83.999999999999986</v>
      </c>
      <c r="BU145" s="463">
        <f t="shared" si="233"/>
        <v>3.8111208934457103E-2</v>
      </c>
      <c r="BV145" s="463">
        <f t="shared" si="234"/>
        <v>2.5023102164767937E-2</v>
      </c>
      <c r="BW145" s="463">
        <f t="shared" si="235"/>
        <v>2.6409015576628114E-4</v>
      </c>
      <c r="BX145" s="463">
        <f t="shared" si="236"/>
        <v>0</v>
      </c>
      <c r="BY145" s="463">
        <f t="shared" si="180"/>
        <v>7.1368179684990887E-2</v>
      </c>
      <c r="BZ145" s="463">
        <f t="shared" si="250"/>
        <v>6.3398401254991327E-2</v>
      </c>
      <c r="CA145" s="549">
        <f t="shared" si="270"/>
        <v>0.39320987654320999</v>
      </c>
      <c r="CB145" s="147">
        <f t="shared" si="238"/>
        <v>591.37485873818355</v>
      </c>
      <c r="CC145" s="153">
        <f t="shared" si="251"/>
        <v>0.67687310825739622</v>
      </c>
      <c r="CD145" s="5">
        <f t="shared" si="239"/>
        <v>3.1850000000000001</v>
      </c>
      <c r="CE145" s="153">
        <f t="shared" si="240"/>
        <v>0.82472932453163295</v>
      </c>
      <c r="CF145" s="5">
        <f t="shared" si="241"/>
        <v>82.472932453163295</v>
      </c>
      <c r="CG145">
        <f t="shared" si="242"/>
        <v>35</v>
      </c>
      <c r="CI145" s="59">
        <f t="shared" si="271"/>
        <v>-50</v>
      </c>
      <c r="CJ145">
        <f t="shared" si="272"/>
        <v>-50</v>
      </c>
    </row>
    <row r="146" spans="5:88" x14ac:dyDescent="0.25">
      <c r="E146" s="150">
        <v>36</v>
      </c>
      <c r="F146" s="191">
        <f t="shared" si="273"/>
        <v>0.18</v>
      </c>
      <c r="G146" s="191">
        <f t="shared" si="252"/>
        <v>3.5999999999999997E-2</v>
      </c>
      <c r="H146" s="191">
        <f t="shared" si="253"/>
        <v>2.6999999999999997</v>
      </c>
      <c r="I146" s="191">
        <f t="shared" si="254"/>
        <v>0.57599999999999996</v>
      </c>
      <c r="J146" s="472">
        <f t="shared" si="186"/>
        <v>9</v>
      </c>
      <c r="K146" s="386">
        <f t="shared" si="187"/>
        <v>7.66</v>
      </c>
      <c r="L146" s="386">
        <f t="shared" si="188"/>
        <v>16.66</v>
      </c>
      <c r="M146" s="386"/>
      <c r="N146" s="191">
        <f t="shared" si="189"/>
        <v>0.45978391356542619</v>
      </c>
      <c r="O146" s="152">
        <f t="shared" si="255"/>
        <v>6.2923449599620076</v>
      </c>
      <c r="P146" s="152">
        <f t="shared" si="256"/>
        <v>1.6287385354141657</v>
      </c>
      <c r="Q146" s="191">
        <f t="shared" si="192"/>
        <v>0.41948966399746718</v>
      </c>
      <c r="R146" s="191">
        <f t="shared" si="257"/>
        <v>0.39327155999762548</v>
      </c>
      <c r="S146" s="191">
        <f t="shared" si="258"/>
        <v>15</v>
      </c>
      <c r="T146" s="191">
        <f t="shared" si="259"/>
        <v>1.7592805337975048</v>
      </c>
      <c r="U146" s="191">
        <f t="shared" si="196"/>
        <v>1.759280533797505</v>
      </c>
      <c r="V146" s="191">
        <f t="shared" si="197"/>
        <v>2.0670397916680865</v>
      </c>
      <c r="W146" s="175">
        <f t="shared" si="198"/>
        <v>350</v>
      </c>
      <c r="X146" s="386">
        <f t="shared" si="199"/>
        <v>261.34769568157333</v>
      </c>
      <c r="Z146" s="191">
        <f t="shared" si="200"/>
        <v>1.3136683244726464</v>
      </c>
      <c r="AA146" s="153">
        <f t="shared" si="201"/>
        <v>1.5434745326702111</v>
      </c>
      <c r="AB146" s="153">
        <f t="shared" si="260"/>
        <v>0.14622213484608731</v>
      </c>
      <c r="AC146" s="153"/>
      <c r="AD146" s="153">
        <f t="shared" si="203"/>
        <v>0.96344647519582249</v>
      </c>
      <c r="AE146" s="317">
        <f t="shared" si="261"/>
        <v>911.36228435455087</v>
      </c>
      <c r="AF146" s="463">
        <f t="shared" si="262"/>
        <v>6.9127284595300251E-2</v>
      </c>
      <c r="AH146" s="153">
        <f t="shared" si="263"/>
        <v>1.4422205101855958</v>
      </c>
      <c r="AI146" s="153">
        <f t="shared" si="264"/>
        <v>1.7592805337975048</v>
      </c>
      <c r="AJ146" s="153">
        <f t="shared" si="265"/>
        <v>1.8957633583685221</v>
      </c>
      <c r="AL146" s="317">
        <f t="shared" si="266"/>
        <v>180</v>
      </c>
      <c r="AM146" s="147">
        <f t="shared" si="267"/>
        <v>261.34769568157333</v>
      </c>
      <c r="AO146" s="147">
        <f t="shared" si="211"/>
        <v>180</v>
      </c>
      <c r="AP146" s="147">
        <f t="shared" si="212"/>
        <v>261.34769568157333</v>
      </c>
      <c r="AR146" s="5">
        <f t="shared" si="249"/>
        <v>3.8263203254655913</v>
      </c>
      <c r="AS146" s="5">
        <f t="shared" si="246"/>
        <v>1.759280533797505</v>
      </c>
      <c r="AT146" s="5">
        <f t="shared" si="247"/>
        <v>2.067039791668086</v>
      </c>
      <c r="AU146" s="153">
        <f t="shared" si="248"/>
        <v>0.45978391356542625</v>
      </c>
      <c r="AW146" s="5">
        <f t="shared" si="216"/>
        <v>2.1111366405570058</v>
      </c>
      <c r="AX146" s="5"/>
      <c r="AY146" s="5">
        <f t="shared" si="217"/>
        <v>0.39583812010443864</v>
      </c>
      <c r="AZ146" s="5"/>
      <c r="BA146" s="5">
        <f t="shared" si="218"/>
        <v>1.2414653403411926</v>
      </c>
      <c r="BB146" s="5"/>
      <c r="BC146" s="5"/>
      <c r="BD146" s="153">
        <f t="shared" si="219"/>
        <v>0.68873373573714125</v>
      </c>
      <c r="BE146" s="153">
        <f t="shared" si="220"/>
        <v>0.37327442098849101</v>
      </c>
      <c r="BF146" s="153">
        <f t="shared" si="221"/>
        <v>7.4752472281616772E-2</v>
      </c>
      <c r="BG146" s="153"/>
      <c r="BH146" s="463">
        <f t="shared" si="222"/>
        <v>5.2178957461668216E-2</v>
      </c>
      <c r="BI146" s="463">
        <f t="shared" si="223"/>
        <v>3.8300000000000001E-2</v>
      </c>
      <c r="BJ146" s="463">
        <f t="shared" si="224"/>
        <v>1.3067384784078666E-2</v>
      </c>
      <c r="BK146" s="463">
        <f t="shared" si="225"/>
        <v>1.6321166208791212E-2</v>
      </c>
      <c r="BL146">
        <f t="shared" si="226"/>
        <v>2.6099999999999999E-3</v>
      </c>
      <c r="BM146">
        <f t="shared" si="268"/>
        <v>1.0453907827262933E-5</v>
      </c>
      <c r="BN146">
        <f t="shared" si="269"/>
        <v>0.13079125130468583</v>
      </c>
      <c r="BO146" s="147">
        <f t="shared" si="229"/>
        <v>122.47750845453808</v>
      </c>
      <c r="BP146" s="153">
        <f t="shared" si="230"/>
        <v>7.1999999999999995E-2</v>
      </c>
      <c r="BQ146" s="153">
        <f t="shared" si="231"/>
        <v>1.44E-2</v>
      </c>
      <c r="BR146" s="463"/>
      <c r="BT146" s="147">
        <f t="shared" si="232"/>
        <v>86.399999999999991</v>
      </c>
      <c r="BU146" s="463">
        <f t="shared" si="233"/>
        <v>4.0320103493107259E-2</v>
      </c>
      <c r="BV146" s="463">
        <f t="shared" si="234"/>
        <v>2.647342073921571E-2</v>
      </c>
      <c r="BW146" s="463">
        <f t="shared" si="235"/>
        <v>2.7939660561069419E-4</v>
      </c>
      <c r="BX146" s="463">
        <f t="shared" si="236"/>
        <v>0</v>
      </c>
      <c r="BY146" s="463">
        <f t="shared" si="180"/>
        <v>7.552693631613884E-2</v>
      </c>
      <c r="BZ146" s="463">
        <f t="shared" si="250"/>
        <v>6.7072920837933661E-2</v>
      </c>
      <c r="CA146" s="549">
        <f t="shared" si="270"/>
        <v>0.40444444444444444</v>
      </c>
      <c r="CB146" s="147">
        <f t="shared" si="238"/>
        <v>614.11722243645056</v>
      </c>
      <c r="CC146" s="153">
        <f t="shared" si="251"/>
        <v>0.69716263206526907</v>
      </c>
      <c r="CD146" s="5">
        <f t="shared" si="239"/>
        <v>3.2759999999999998</v>
      </c>
      <c r="CE146" s="153">
        <f t="shared" si="240"/>
        <v>0.82453206761816322</v>
      </c>
      <c r="CF146" s="5">
        <f t="shared" si="241"/>
        <v>82.453206761816318</v>
      </c>
      <c r="CG146">
        <f t="shared" si="242"/>
        <v>36</v>
      </c>
      <c r="CI146" s="59">
        <f t="shared" si="271"/>
        <v>-50</v>
      </c>
      <c r="CJ146">
        <f t="shared" si="272"/>
        <v>-50</v>
      </c>
    </row>
    <row r="147" spans="5:88" x14ac:dyDescent="0.25">
      <c r="E147" s="150">
        <v>37</v>
      </c>
      <c r="F147" s="191">
        <f t="shared" si="273"/>
        <v>0.185</v>
      </c>
      <c r="G147" s="191">
        <f t="shared" si="252"/>
        <v>3.6999999999999998E-2</v>
      </c>
      <c r="H147" s="191">
        <f t="shared" si="253"/>
        <v>2.7749999999999999</v>
      </c>
      <c r="I147" s="191">
        <f t="shared" si="254"/>
        <v>0.59199999999999997</v>
      </c>
      <c r="J147" s="472">
        <f t="shared" si="186"/>
        <v>9</v>
      </c>
      <c r="K147" s="386">
        <f t="shared" si="187"/>
        <v>7.66</v>
      </c>
      <c r="L147" s="386">
        <f t="shared" si="188"/>
        <v>16.66</v>
      </c>
      <c r="M147" s="386"/>
      <c r="N147" s="191">
        <f t="shared" si="189"/>
        <v>0.45978391356542619</v>
      </c>
      <c r="O147" s="152">
        <f t="shared" si="255"/>
        <v>6.2923449599620076</v>
      </c>
      <c r="P147" s="152">
        <f t="shared" si="256"/>
        <v>1.6287385354141657</v>
      </c>
      <c r="Q147" s="191">
        <f t="shared" si="192"/>
        <v>0.41948966399746718</v>
      </c>
      <c r="R147" s="191">
        <f t="shared" si="257"/>
        <v>0.39327155999762548</v>
      </c>
      <c r="S147" s="191">
        <f t="shared" si="258"/>
        <v>15</v>
      </c>
      <c r="T147" s="191">
        <f t="shared" si="259"/>
        <v>1.8081494375141023</v>
      </c>
      <c r="U147" s="191">
        <f t="shared" si="196"/>
        <v>1.8081494375141023</v>
      </c>
      <c r="V147" s="191">
        <f t="shared" si="197"/>
        <v>2.1244575636588672</v>
      </c>
      <c r="W147" s="175">
        <f t="shared" si="198"/>
        <v>350</v>
      </c>
      <c r="X147" s="386">
        <f t="shared" si="199"/>
        <v>254.28424444693621</v>
      </c>
      <c r="Z147" s="191">
        <f t="shared" si="200"/>
        <v>1.3136683244726464</v>
      </c>
      <c r="AA147" s="153">
        <f t="shared" si="201"/>
        <v>1.5434745326702111</v>
      </c>
      <c r="AB147" s="153">
        <f t="shared" si="260"/>
        <v>0.14622213484608731</v>
      </c>
      <c r="AC147" s="153"/>
      <c r="AD147" s="153">
        <f t="shared" si="203"/>
        <v>0.96344647519582249</v>
      </c>
      <c r="AE147" s="317">
        <f t="shared" si="261"/>
        <v>936.67790336439953</v>
      </c>
      <c r="AF147" s="463">
        <f t="shared" si="262"/>
        <v>6.9127284595300251E-2</v>
      </c>
      <c r="AH147" s="153">
        <f t="shared" si="263"/>
        <v>1.4621141466307539</v>
      </c>
      <c r="AI147" s="153">
        <f t="shared" si="264"/>
        <v>1.8081494375141023</v>
      </c>
      <c r="AJ147" s="153">
        <f t="shared" si="265"/>
        <v>1.9319625463067425</v>
      </c>
      <c r="AL147" s="317">
        <f t="shared" si="266"/>
        <v>185</v>
      </c>
      <c r="AM147" s="147">
        <f t="shared" si="267"/>
        <v>254.28424444693621</v>
      </c>
      <c r="AO147" s="147">
        <f t="shared" si="211"/>
        <v>185</v>
      </c>
      <c r="AP147" s="147">
        <f t="shared" si="212"/>
        <v>254.28424444693621</v>
      </c>
      <c r="AR147" s="5">
        <f t="shared" si="249"/>
        <v>3.9326070011729692</v>
      </c>
      <c r="AS147" s="5">
        <f t="shared" si="246"/>
        <v>1.8081494375141023</v>
      </c>
      <c r="AT147" s="5">
        <f t="shared" si="247"/>
        <v>2.1244575636588667</v>
      </c>
      <c r="AU147" s="153">
        <f t="shared" si="248"/>
        <v>0.45978391356542614</v>
      </c>
      <c r="AW147" s="5">
        <f t="shared" si="216"/>
        <v>2.2300509729340594</v>
      </c>
      <c r="AX147" s="5"/>
      <c r="AY147" s="5">
        <f t="shared" si="217"/>
        <v>0.41813455742513611</v>
      </c>
      <c r="AZ147" s="5"/>
      <c r="BA147" s="5">
        <f t="shared" si="218"/>
        <v>1.3113935578141149</v>
      </c>
      <c r="BB147" s="5"/>
      <c r="BC147" s="5"/>
      <c r="BD147" s="153">
        <f t="shared" si="219"/>
        <v>0.70786522839650623</v>
      </c>
      <c r="BE147" s="153">
        <f t="shared" si="220"/>
        <v>0.38364315490483802</v>
      </c>
      <c r="BF147" s="153">
        <f t="shared" si="221"/>
        <v>7.6828929844995023E-2</v>
      </c>
      <c r="BG147" s="153"/>
      <c r="BH147" s="463">
        <f t="shared" si="222"/>
        <v>5.511804997301218E-2</v>
      </c>
      <c r="BI147" s="463">
        <f t="shared" si="223"/>
        <v>3.8300000000000008E-2</v>
      </c>
      <c r="BJ147" s="463">
        <f t="shared" si="224"/>
        <v>1.271421222234681E-2</v>
      </c>
      <c r="BK147" s="463">
        <f t="shared" si="225"/>
        <v>1.5880053608553612E-2</v>
      </c>
      <c r="BL147">
        <f t="shared" si="226"/>
        <v>2.6099999999999999E-3</v>
      </c>
      <c r="BM147">
        <f t="shared" si="268"/>
        <v>1.017136977787745E-5</v>
      </c>
      <c r="BN147">
        <f t="shared" si="269"/>
        <v>0.13343031417473541</v>
      </c>
      <c r="BO147" s="147">
        <f t="shared" si="229"/>
        <v>124.62231580391261</v>
      </c>
      <c r="BP147" s="153">
        <f t="shared" si="230"/>
        <v>7.3999999999999996E-2</v>
      </c>
      <c r="BQ147" s="153">
        <f t="shared" si="231"/>
        <v>1.4800000000000001E-2</v>
      </c>
      <c r="BR147" s="463"/>
      <c r="BT147" s="147">
        <f t="shared" si="232"/>
        <v>88.799999999999983</v>
      </c>
      <c r="BU147" s="463">
        <f t="shared" si="233"/>
        <v>4.2591220433691228E-2</v>
      </c>
      <c r="BV147" s="463">
        <f t="shared" si="234"/>
        <v>2.7964593358014132E-2</v>
      </c>
      <c r="BW147" s="463">
        <f t="shared" si="235"/>
        <v>2.9513422305635839E-4</v>
      </c>
      <c r="BX147" s="463">
        <f t="shared" si="236"/>
        <v>0</v>
      </c>
      <c r="BY147" s="463">
        <f t="shared" si="180"/>
        <v>7.9805404863837512E-2</v>
      </c>
      <c r="BZ147" s="463">
        <f t="shared" si="250"/>
        <v>7.0850948014761717E-2</v>
      </c>
      <c r="CA147" s="549">
        <f t="shared" si="270"/>
        <v>0.41567901234567906</v>
      </c>
      <c r="CB147" s="147">
        <f t="shared" si="238"/>
        <v>637.18631323904003</v>
      </c>
      <c r="CC147" s="153">
        <f t="shared" si="251"/>
        <v>0.71771473138425201</v>
      </c>
      <c r="CD147" s="5">
        <f t="shared" si="239"/>
        <v>3.367</v>
      </c>
      <c r="CE147" s="153">
        <f t="shared" si="240"/>
        <v>0.82429256910652648</v>
      </c>
      <c r="CF147" s="5">
        <f t="shared" si="241"/>
        <v>82.429256910652654</v>
      </c>
      <c r="CG147">
        <f t="shared" si="242"/>
        <v>37</v>
      </c>
      <c r="CI147" s="59">
        <f t="shared" si="271"/>
        <v>-50</v>
      </c>
      <c r="CJ147">
        <f t="shared" si="272"/>
        <v>-50</v>
      </c>
    </row>
    <row r="148" spans="5:88" x14ac:dyDescent="0.25">
      <c r="E148" s="150">
        <v>38</v>
      </c>
      <c r="F148" s="191">
        <f t="shared" si="273"/>
        <v>0.19</v>
      </c>
      <c r="G148" s="191">
        <f t="shared" si="252"/>
        <v>3.8000000000000006E-2</v>
      </c>
      <c r="H148" s="191">
        <f t="shared" si="253"/>
        <v>2.85</v>
      </c>
      <c r="I148" s="191">
        <f t="shared" si="254"/>
        <v>0.6080000000000001</v>
      </c>
      <c r="J148" s="472">
        <f t="shared" si="186"/>
        <v>9</v>
      </c>
      <c r="K148" s="386">
        <f t="shared" si="187"/>
        <v>7.66</v>
      </c>
      <c r="L148" s="386">
        <f t="shared" si="188"/>
        <v>16.66</v>
      </c>
      <c r="M148" s="386"/>
      <c r="N148" s="191">
        <f t="shared" si="189"/>
        <v>0.45978391356542619</v>
      </c>
      <c r="O148" s="152">
        <f t="shared" si="255"/>
        <v>6.2923449599620076</v>
      </c>
      <c r="P148" s="152">
        <f t="shared" si="256"/>
        <v>1.6287385354141657</v>
      </c>
      <c r="Q148" s="191">
        <f t="shared" si="192"/>
        <v>0.41948966399746718</v>
      </c>
      <c r="R148" s="191">
        <f t="shared" si="257"/>
        <v>0.39327155999762548</v>
      </c>
      <c r="S148" s="191">
        <f t="shared" si="258"/>
        <v>15</v>
      </c>
      <c r="T148" s="191">
        <f t="shared" si="259"/>
        <v>1.8570183412306998</v>
      </c>
      <c r="U148" s="191">
        <f t="shared" si="196"/>
        <v>1.8570183412307</v>
      </c>
      <c r="V148" s="191">
        <f t="shared" si="197"/>
        <v>2.1818753356496474</v>
      </c>
      <c r="W148" s="175">
        <f t="shared" si="198"/>
        <v>350</v>
      </c>
      <c r="X148" s="386">
        <f t="shared" si="199"/>
        <v>247.59255380359573</v>
      </c>
      <c r="Z148" s="191">
        <f t="shared" si="200"/>
        <v>1.3136683244726464</v>
      </c>
      <c r="AA148" s="153">
        <f t="shared" si="201"/>
        <v>1.5434745326702111</v>
      </c>
      <c r="AB148" s="153">
        <f t="shared" si="260"/>
        <v>0.14622213484608731</v>
      </c>
      <c r="AC148" s="153"/>
      <c r="AD148" s="153">
        <f t="shared" si="203"/>
        <v>0.96344647519582249</v>
      </c>
      <c r="AE148" s="317">
        <f t="shared" si="261"/>
        <v>961.9935223742483</v>
      </c>
      <c r="AF148" s="463">
        <f t="shared" si="262"/>
        <v>6.9127284595300251E-2</v>
      </c>
      <c r="AH148" s="153">
        <f t="shared" si="263"/>
        <v>1.4817407180595248</v>
      </c>
      <c r="AI148" s="153">
        <f t="shared" si="264"/>
        <v>1.8570183412306998</v>
      </c>
      <c r="AJ148" s="153">
        <f t="shared" si="265"/>
        <v>1.9681617342449629</v>
      </c>
      <c r="AL148" s="317">
        <f t="shared" si="266"/>
        <v>190</v>
      </c>
      <c r="AM148" s="147">
        <f t="shared" si="267"/>
        <v>247.59255380359573</v>
      </c>
      <c r="AO148" s="147">
        <f t="shared" si="211"/>
        <v>190</v>
      </c>
      <c r="AP148" s="147">
        <f t="shared" si="212"/>
        <v>247.59255380359573</v>
      </c>
      <c r="AR148" s="5">
        <f t="shared" si="249"/>
        <v>4.0388936768803472</v>
      </c>
      <c r="AS148" s="5">
        <f t="shared" si="246"/>
        <v>1.8570183412307</v>
      </c>
      <c r="AT148" s="5">
        <f t="shared" si="247"/>
        <v>2.1818753356496474</v>
      </c>
      <c r="AU148" s="153">
        <f t="shared" si="248"/>
        <v>0.45978391356542619</v>
      </c>
      <c r="AW148" s="5">
        <f t="shared" si="216"/>
        <v>2.352223232225553</v>
      </c>
      <c r="AX148" s="5"/>
      <c r="AY148" s="5">
        <f t="shared" si="217"/>
        <v>0.44104185604229129</v>
      </c>
      <c r="AZ148" s="5"/>
      <c r="BA148" s="5">
        <f t="shared" si="218"/>
        <v>1.383237616861638</v>
      </c>
      <c r="BB148" s="5"/>
      <c r="BC148" s="5"/>
      <c r="BD148" s="153">
        <f t="shared" si="219"/>
        <v>0.72699672105587132</v>
      </c>
      <c r="BE148" s="153">
        <f t="shared" si="220"/>
        <v>0.39401188882118499</v>
      </c>
      <c r="BF148" s="153">
        <f t="shared" si="221"/>
        <v>7.8905387408373259E-2</v>
      </c>
      <c r="BG148" s="153"/>
      <c r="BH148" s="463">
        <f t="shared" si="222"/>
        <v>5.8137665566858718E-2</v>
      </c>
      <c r="BI148" s="463">
        <f t="shared" si="223"/>
        <v>3.8300000000000001E-2</v>
      </c>
      <c r="BJ148" s="463">
        <f t="shared" si="224"/>
        <v>1.2379627690179786E-2</v>
      </c>
      <c r="BK148" s="463">
        <f t="shared" si="225"/>
        <v>1.5462157460960092E-2</v>
      </c>
      <c r="BL148">
        <f t="shared" si="226"/>
        <v>2.6099999999999999E-3</v>
      </c>
      <c r="BM148">
        <f t="shared" si="268"/>
        <v>9.9037021521438295E-6</v>
      </c>
      <c r="BN148">
        <f t="shared" si="269"/>
        <v>0.13620897108336197</v>
      </c>
      <c r="BO148" s="147">
        <f t="shared" si="229"/>
        <v>126.88945071799859</v>
      </c>
      <c r="BP148" s="153">
        <f t="shared" si="230"/>
        <v>7.6000000000000012E-2</v>
      </c>
      <c r="BQ148" s="153">
        <f t="shared" si="231"/>
        <v>1.5200000000000003E-2</v>
      </c>
      <c r="BR148" s="463"/>
      <c r="BT148" s="147">
        <f t="shared" si="232"/>
        <v>91.200000000000017</v>
      </c>
      <c r="BU148" s="463">
        <f t="shared" si="233"/>
        <v>4.4924559756209015E-2</v>
      </c>
      <c r="BV148" s="463">
        <f t="shared" si="234"/>
        <v>2.949662002116319E-2</v>
      </c>
      <c r="BW148" s="463">
        <f t="shared" si="235"/>
        <v>3.1130300810327345E-4</v>
      </c>
      <c r="BX148" s="463">
        <f t="shared" si="236"/>
        <v>0</v>
      </c>
      <c r="BY148" s="463">
        <f t="shared" si="180"/>
        <v>8.4203801451125951E-2</v>
      </c>
      <c r="BZ148" s="463">
        <f t="shared" si="250"/>
        <v>7.4732482785475465E-2</v>
      </c>
      <c r="CA148" s="549">
        <f t="shared" si="270"/>
        <v>0.42691358024691362</v>
      </c>
      <c r="CB148" s="147">
        <f t="shared" si="238"/>
        <v>660.58234726899047</v>
      </c>
      <c r="CC148" s="153">
        <f t="shared" si="251"/>
        <v>0.73852635278140155</v>
      </c>
      <c r="CD148" s="5">
        <f t="shared" si="239"/>
        <v>3.4580000000000002</v>
      </c>
      <c r="CE148" s="153">
        <f t="shared" si="240"/>
        <v>0.82401484211056697</v>
      </c>
      <c r="CF148" s="5">
        <f t="shared" si="241"/>
        <v>82.401484211056697</v>
      </c>
      <c r="CG148">
        <f t="shared" si="242"/>
        <v>38</v>
      </c>
      <c r="CI148" s="59">
        <f t="shared" si="271"/>
        <v>-50</v>
      </c>
      <c r="CJ148">
        <f t="shared" si="272"/>
        <v>-50</v>
      </c>
    </row>
    <row r="149" spans="5:88" x14ac:dyDescent="0.25">
      <c r="E149" s="150">
        <v>39</v>
      </c>
      <c r="F149" s="191">
        <f t="shared" si="273"/>
        <v>0.19500000000000001</v>
      </c>
      <c r="G149" s="191">
        <f t="shared" si="252"/>
        <v>3.9000000000000007E-2</v>
      </c>
      <c r="H149" s="191">
        <f t="shared" si="253"/>
        <v>2.9250000000000003</v>
      </c>
      <c r="I149" s="191">
        <f t="shared" si="254"/>
        <v>0.62400000000000011</v>
      </c>
      <c r="J149" s="472">
        <f t="shared" si="186"/>
        <v>9</v>
      </c>
      <c r="K149" s="386">
        <f t="shared" si="187"/>
        <v>7.66</v>
      </c>
      <c r="L149" s="386">
        <f t="shared" si="188"/>
        <v>16.66</v>
      </c>
      <c r="M149" s="386"/>
      <c r="N149" s="191">
        <f t="shared" si="189"/>
        <v>0.45978391356542619</v>
      </c>
      <c r="O149" s="152">
        <f t="shared" si="255"/>
        <v>6.2923449599620076</v>
      </c>
      <c r="P149" s="152">
        <f t="shared" si="256"/>
        <v>1.6287385354141657</v>
      </c>
      <c r="Q149" s="191">
        <f t="shared" si="192"/>
        <v>0.41948966399746718</v>
      </c>
      <c r="R149" s="191">
        <f t="shared" si="257"/>
        <v>0.39327155999762548</v>
      </c>
      <c r="S149" s="191">
        <f t="shared" si="258"/>
        <v>15</v>
      </c>
      <c r="T149" s="191">
        <f t="shared" si="259"/>
        <v>1.9058872449472972</v>
      </c>
      <c r="U149" s="191">
        <f t="shared" si="196"/>
        <v>1.9058872449472972</v>
      </c>
      <c r="V149" s="191">
        <f t="shared" si="197"/>
        <v>2.2392931076404277</v>
      </c>
      <c r="W149" s="175">
        <f t="shared" si="198"/>
        <v>350</v>
      </c>
      <c r="X149" s="386">
        <f t="shared" si="199"/>
        <v>241.24402678299069</v>
      </c>
      <c r="Z149" s="191">
        <f t="shared" si="200"/>
        <v>1.3136683244726464</v>
      </c>
      <c r="AA149" s="153">
        <f t="shared" si="201"/>
        <v>1.5434745326702111</v>
      </c>
      <c r="AB149" s="153">
        <f t="shared" si="260"/>
        <v>0.14622213484608731</v>
      </c>
      <c r="AC149" s="153"/>
      <c r="AD149" s="153">
        <f t="shared" si="203"/>
        <v>0.96344647519582249</v>
      </c>
      <c r="AE149" s="317">
        <f t="shared" si="261"/>
        <v>987.30914138409696</v>
      </c>
      <c r="AF149" s="463">
        <f t="shared" si="262"/>
        <v>6.9127284595300251E-2</v>
      </c>
      <c r="AH149" s="153">
        <f t="shared" si="263"/>
        <v>1.5011106998930273</v>
      </c>
      <c r="AI149" s="153">
        <f t="shared" si="264"/>
        <v>1.9058872449472972</v>
      </c>
      <c r="AJ149" s="153">
        <f t="shared" si="265"/>
        <v>2.0043609221831833</v>
      </c>
      <c r="AL149" s="317">
        <f t="shared" si="266"/>
        <v>195</v>
      </c>
      <c r="AM149" s="147">
        <f t="shared" si="267"/>
        <v>241.24402678299069</v>
      </c>
      <c r="AO149" s="147">
        <f t="shared" si="211"/>
        <v>195</v>
      </c>
      <c r="AP149" s="147">
        <f t="shared" si="212"/>
        <v>241.24402678299069</v>
      </c>
      <c r="AR149" s="5">
        <f t="shared" si="249"/>
        <v>4.145180352587726</v>
      </c>
      <c r="AS149" s="5">
        <f t="shared" si="246"/>
        <v>1.9058872449472972</v>
      </c>
      <c r="AT149" s="5">
        <f t="shared" si="247"/>
        <v>2.239293107640429</v>
      </c>
      <c r="AU149" s="153">
        <f t="shared" si="248"/>
        <v>0.45978391356542603</v>
      </c>
      <c r="AW149" s="5">
        <f t="shared" si="216"/>
        <v>2.4776534184314869</v>
      </c>
      <c r="AX149" s="5"/>
      <c r="AY149" s="5">
        <f t="shared" si="217"/>
        <v>0.46456001595590374</v>
      </c>
      <c r="AZ149" s="5"/>
      <c r="BA149" s="5">
        <f t="shared" si="218"/>
        <v>1.4569975174837624</v>
      </c>
      <c r="BB149" s="5"/>
      <c r="BC149" s="5"/>
      <c r="BD149" s="153">
        <f t="shared" si="219"/>
        <v>0.7461282137152363</v>
      </c>
      <c r="BE149" s="153">
        <f t="shared" si="220"/>
        <v>0.40438062273753206</v>
      </c>
      <c r="BF149" s="153">
        <f t="shared" si="221"/>
        <v>8.098184497175151E-2</v>
      </c>
      <c r="BG149" s="153"/>
      <c r="BH149" s="463">
        <f t="shared" si="222"/>
        <v>6.1237804243207829E-2</v>
      </c>
      <c r="BI149" s="463">
        <f t="shared" si="223"/>
        <v>3.8299999999999994E-2</v>
      </c>
      <c r="BJ149" s="463">
        <f t="shared" si="224"/>
        <v>1.2062201339149535E-2</v>
      </c>
      <c r="BK149" s="463">
        <f t="shared" si="225"/>
        <v>1.5065691885038037E-2</v>
      </c>
      <c r="BL149">
        <f t="shared" si="226"/>
        <v>2.6099999999999999E-3</v>
      </c>
      <c r="BM149">
        <f t="shared" si="268"/>
        <v>9.6497610713196273E-6</v>
      </c>
      <c r="BN149">
        <f t="shared" si="269"/>
        <v>0.13912432963281965</v>
      </c>
      <c r="BO149" s="147">
        <f t="shared" si="229"/>
        <v>129.27569746739539</v>
      </c>
      <c r="BP149" s="153">
        <f t="shared" si="230"/>
        <v>7.8000000000000014E-2</v>
      </c>
      <c r="BQ149" s="153">
        <f t="shared" si="231"/>
        <v>1.5600000000000003E-2</v>
      </c>
      <c r="BR149" s="463"/>
      <c r="BT149" s="147">
        <f t="shared" si="232"/>
        <v>93.600000000000023</v>
      </c>
      <c r="BU149" s="463">
        <f t="shared" si="233"/>
        <v>4.73201214606606E-2</v>
      </c>
      <c r="BV149" s="463">
        <f t="shared" si="234"/>
        <v>3.1069500728662904E-2</v>
      </c>
      <c r="BW149" s="463">
        <f t="shared" si="235"/>
        <v>3.2790296075143975E-4</v>
      </c>
      <c r="BX149" s="463">
        <f t="shared" si="236"/>
        <v>0</v>
      </c>
      <c r="BY149" s="463">
        <f t="shared" si="180"/>
        <v>8.8722348463809858E-2</v>
      </c>
      <c r="BZ149" s="463">
        <f t="shared" si="250"/>
        <v>7.8717525150074949E-2</v>
      </c>
      <c r="CA149" s="549">
        <f t="shared" si="270"/>
        <v>0.43814814814814818</v>
      </c>
      <c r="CB149" s="147">
        <f t="shared" si="238"/>
        <v>684.30554691210796</v>
      </c>
      <c r="CC149" s="153">
        <f t="shared" si="251"/>
        <v>0.7595948262447777</v>
      </c>
      <c r="CD149" s="5">
        <f t="shared" si="239"/>
        <v>3.5490000000000004</v>
      </c>
      <c r="CE149" s="153">
        <f t="shared" si="240"/>
        <v>0.82370242344026257</v>
      </c>
      <c r="CF149" s="5">
        <f t="shared" si="241"/>
        <v>82.370242344026252</v>
      </c>
      <c r="CG149">
        <f t="shared" si="242"/>
        <v>39</v>
      </c>
      <c r="CI149" s="59">
        <f t="shared" si="271"/>
        <v>-50</v>
      </c>
      <c r="CJ149">
        <f t="shared" si="272"/>
        <v>-50</v>
      </c>
    </row>
    <row r="150" spans="5:88" x14ac:dyDescent="0.25">
      <c r="E150" s="150">
        <v>40</v>
      </c>
      <c r="F150" s="191">
        <f t="shared" si="273"/>
        <v>0.2</v>
      </c>
      <c r="G150" s="191">
        <f t="shared" si="252"/>
        <v>4.0000000000000008E-2</v>
      </c>
      <c r="H150" s="191">
        <f t="shared" si="253"/>
        <v>3</v>
      </c>
      <c r="I150" s="191">
        <f t="shared" si="254"/>
        <v>0.64000000000000012</v>
      </c>
      <c r="J150" s="472">
        <f t="shared" si="186"/>
        <v>9</v>
      </c>
      <c r="K150" s="386">
        <f t="shared" si="187"/>
        <v>7.66</v>
      </c>
      <c r="L150" s="386">
        <f t="shared" si="188"/>
        <v>16.66</v>
      </c>
      <c r="M150" s="386"/>
      <c r="N150" s="191">
        <f t="shared" si="189"/>
        <v>0.45978391356542619</v>
      </c>
      <c r="O150" s="152">
        <f t="shared" si="255"/>
        <v>6.2923449599620076</v>
      </c>
      <c r="P150" s="152">
        <f t="shared" si="256"/>
        <v>1.6287385354141657</v>
      </c>
      <c r="Q150" s="191">
        <f t="shared" si="192"/>
        <v>0.41948966399746718</v>
      </c>
      <c r="R150" s="191">
        <f t="shared" si="257"/>
        <v>0.39327155999762548</v>
      </c>
      <c r="S150" s="191">
        <f t="shared" si="258"/>
        <v>15</v>
      </c>
      <c r="T150" s="191">
        <f t="shared" si="259"/>
        <v>1.9547561486638945</v>
      </c>
      <c r="U150" s="191">
        <f t="shared" si="196"/>
        <v>1.9547561486638942</v>
      </c>
      <c r="V150" s="191">
        <f t="shared" si="197"/>
        <v>2.2967108796312075</v>
      </c>
      <c r="W150" s="175">
        <f t="shared" si="198"/>
        <v>350</v>
      </c>
      <c r="X150" s="386">
        <f t="shared" si="199"/>
        <v>235.21292611341602</v>
      </c>
      <c r="Z150" s="191">
        <f t="shared" si="200"/>
        <v>1.3136683244726464</v>
      </c>
      <c r="AA150" s="153">
        <f t="shared" si="201"/>
        <v>1.5434745326702111</v>
      </c>
      <c r="AB150" s="153">
        <f t="shared" si="260"/>
        <v>0.14622213484608731</v>
      </c>
      <c r="AC150" s="153"/>
      <c r="AD150" s="153">
        <f t="shared" si="203"/>
        <v>0.96344647519582249</v>
      </c>
      <c r="AE150" s="317">
        <f t="shared" si="261"/>
        <v>1012.6247603939456</v>
      </c>
      <c r="AF150" s="463">
        <f t="shared" si="262"/>
        <v>6.9127284595300251E-2</v>
      </c>
      <c r="AH150" s="153">
        <f t="shared" si="263"/>
        <v>1.5202339001321841</v>
      </c>
      <c r="AI150" s="153">
        <f t="shared" si="264"/>
        <v>1.9547561486638945</v>
      </c>
      <c r="AJ150" s="153">
        <f t="shared" si="265"/>
        <v>2.0405601101214033</v>
      </c>
      <c r="AL150" s="317">
        <f t="shared" si="266"/>
        <v>200</v>
      </c>
      <c r="AM150" s="147">
        <f t="shared" si="267"/>
        <v>235.21292611341602</v>
      </c>
      <c r="AO150" s="147">
        <f t="shared" si="211"/>
        <v>200</v>
      </c>
      <c r="AP150" s="147">
        <f t="shared" si="212"/>
        <v>235.21292611341602</v>
      </c>
      <c r="AR150" s="5">
        <f t="shared" si="249"/>
        <v>4.2514670282951013</v>
      </c>
      <c r="AS150" s="5">
        <f t="shared" si="246"/>
        <v>1.9547561486638942</v>
      </c>
      <c r="AT150" s="5">
        <f t="shared" si="247"/>
        <v>2.296710879631207</v>
      </c>
      <c r="AU150" s="153">
        <f t="shared" si="248"/>
        <v>0.45978391356542619</v>
      </c>
      <c r="AW150" s="5">
        <f t="shared" si="216"/>
        <v>2.606341531551859</v>
      </c>
      <c r="AX150" s="5"/>
      <c r="AY150" s="5">
        <f t="shared" si="217"/>
        <v>0.48868903716597367</v>
      </c>
      <c r="AZ150" s="5"/>
      <c r="BA150" s="5">
        <f t="shared" si="218"/>
        <v>1.5326732596804848</v>
      </c>
      <c r="BB150" s="5"/>
      <c r="BC150" s="5"/>
      <c r="BD150" s="153">
        <f t="shared" si="219"/>
        <v>0.76525970637460139</v>
      </c>
      <c r="BE150" s="153">
        <f t="shared" si="220"/>
        <v>0.41474935665387891</v>
      </c>
      <c r="BF150" s="153">
        <f t="shared" si="221"/>
        <v>8.3058302535129747E-2</v>
      </c>
      <c r="BG150" s="153"/>
      <c r="BH150" s="463">
        <f t="shared" si="222"/>
        <v>6.4418466002059527E-2</v>
      </c>
      <c r="BI150" s="463">
        <f t="shared" si="223"/>
        <v>3.8300000000000008E-2</v>
      </c>
      <c r="BJ150" s="463">
        <f t="shared" si="224"/>
        <v>1.1760646305670801E-2</v>
      </c>
      <c r="BK150" s="463">
        <f t="shared" si="225"/>
        <v>1.4689049587912093E-2</v>
      </c>
      <c r="BL150">
        <f t="shared" si="226"/>
        <v>2.6099999999999999E-3</v>
      </c>
      <c r="BM150">
        <f t="shared" si="268"/>
        <v>9.4085170445366413E-6</v>
      </c>
      <c r="BN150">
        <f t="shared" si="269"/>
        <v>0.14217382870387713</v>
      </c>
      <c r="BO150" s="147">
        <f t="shared" si="229"/>
        <v>131.77816189564243</v>
      </c>
      <c r="BP150" s="153">
        <f t="shared" si="230"/>
        <v>8.0000000000000016E-2</v>
      </c>
      <c r="BQ150" s="153">
        <f t="shared" si="231"/>
        <v>1.6000000000000004E-2</v>
      </c>
      <c r="BR150" s="463"/>
      <c r="BT150" s="147">
        <f t="shared" si="232"/>
        <v>96.000000000000014</v>
      </c>
      <c r="BU150" s="463">
        <f t="shared" si="233"/>
        <v>4.9777905547046003E-2</v>
      </c>
      <c r="BV150" s="463">
        <f t="shared" si="234"/>
        <v>3.2683235480513224E-2</v>
      </c>
      <c r="BW150" s="463">
        <f t="shared" si="235"/>
        <v>3.4493408100085704E-4</v>
      </c>
      <c r="BX150" s="463">
        <f t="shared" si="236"/>
        <v>0</v>
      </c>
      <c r="BY150" s="463">
        <f t="shared" si="180"/>
        <v>9.336127457878747E-2</v>
      </c>
      <c r="BZ150" s="463">
        <f t="shared" si="250"/>
        <v>8.2806075108560084E-2</v>
      </c>
      <c r="CA150" s="549">
        <f t="shared" si="270"/>
        <v>0.4493827160493829</v>
      </c>
      <c r="CB150" s="147">
        <f t="shared" si="238"/>
        <v>708.3561408452905</v>
      </c>
      <c r="CC150" s="153">
        <f t="shared" si="251"/>
        <v>0.78091781933204751</v>
      </c>
      <c r="CD150" s="5">
        <f t="shared" si="239"/>
        <v>3.64</v>
      </c>
      <c r="CE150" s="153">
        <f t="shared" si="240"/>
        <v>0.82335844020506233</v>
      </c>
      <c r="CF150" s="5">
        <f t="shared" si="241"/>
        <v>82.335844020506229</v>
      </c>
      <c r="CG150">
        <f t="shared" si="242"/>
        <v>40</v>
      </c>
      <c r="CI150" s="59">
        <f t="shared" si="271"/>
        <v>-50</v>
      </c>
      <c r="CJ150">
        <f t="shared" si="272"/>
        <v>-50</v>
      </c>
    </row>
    <row r="151" spans="5:88" x14ac:dyDescent="0.25">
      <c r="E151" s="150">
        <v>41</v>
      </c>
      <c r="F151" s="191">
        <f t="shared" si="273"/>
        <v>0.20499999999999999</v>
      </c>
      <c r="G151" s="191">
        <f t="shared" si="252"/>
        <v>4.1000000000000002E-2</v>
      </c>
      <c r="H151" s="191">
        <f t="shared" si="253"/>
        <v>3.0749999999999997</v>
      </c>
      <c r="I151" s="191">
        <f t="shared" si="254"/>
        <v>0.65600000000000003</v>
      </c>
      <c r="J151" s="472">
        <f t="shared" si="186"/>
        <v>9</v>
      </c>
      <c r="K151" s="386">
        <f t="shared" si="187"/>
        <v>7.66</v>
      </c>
      <c r="L151" s="386">
        <f t="shared" si="188"/>
        <v>16.66</v>
      </c>
      <c r="M151" s="386"/>
      <c r="N151" s="191">
        <f t="shared" si="189"/>
        <v>0.45978391356542619</v>
      </c>
      <c r="O151" s="152">
        <f t="shared" si="255"/>
        <v>6.2923449599620076</v>
      </c>
      <c r="P151" s="152">
        <f t="shared" si="256"/>
        <v>1.6287385354141657</v>
      </c>
      <c r="Q151" s="191">
        <f t="shared" si="192"/>
        <v>0.41948966399746718</v>
      </c>
      <c r="R151" s="191">
        <f t="shared" si="257"/>
        <v>0.39327155999762548</v>
      </c>
      <c r="S151" s="191">
        <f t="shared" si="258"/>
        <v>15</v>
      </c>
      <c r="T151" s="191">
        <f t="shared" si="259"/>
        <v>2.0036250523804919</v>
      </c>
      <c r="U151" s="191">
        <f t="shared" si="196"/>
        <v>2.0036250523804924</v>
      </c>
      <c r="V151" s="191">
        <f t="shared" si="197"/>
        <v>2.3541286516219881</v>
      </c>
      <c r="W151" s="175">
        <f t="shared" si="198"/>
        <v>350</v>
      </c>
      <c r="X151" s="386">
        <f t="shared" si="199"/>
        <v>229.47602547650337</v>
      </c>
      <c r="Z151" s="191">
        <f t="shared" si="200"/>
        <v>1.3136683244726464</v>
      </c>
      <c r="AA151" s="153">
        <f t="shared" si="201"/>
        <v>1.5434745326702111</v>
      </c>
      <c r="AB151" s="153">
        <f t="shared" si="260"/>
        <v>0.14622213484608731</v>
      </c>
      <c r="AC151" s="153"/>
      <c r="AD151" s="153">
        <f t="shared" si="203"/>
        <v>0.96344647519582249</v>
      </c>
      <c r="AE151" s="317">
        <f t="shared" si="261"/>
        <v>1037.9403794037942</v>
      </c>
      <c r="AF151" s="463">
        <f t="shared" si="262"/>
        <v>6.9127284595300251E-2</v>
      </c>
      <c r="AH151" s="153">
        <f t="shared" si="263"/>
        <v>1.5391195174153594</v>
      </c>
      <c r="AI151" s="153">
        <f t="shared" si="264"/>
        <v>2.0036250523804919</v>
      </c>
      <c r="AJ151" s="153">
        <f t="shared" si="265"/>
        <v>2.0767592980596237</v>
      </c>
      <c r="AL151" s="317">
        <f t="shared" si="266"/>
        <v>205</v>
      </c>
      <c r="AM151" s="147">
        <f t="shared" si="267"/>
        <v>229.47602547650337</v>
      </c>
      <c r="AO151" s="147">
        <f t="shared" si="211"/>
        <v>205</v>
      </c>
      <c r="AP151" s="147">
        <f t="shared" si="212"/>
        <v>229.47602547650337</v>
      </c>
      <c r="AR151" s="5">
        <f t="shared" si="249"/>
        <v>4.3577537040024801</v>
      </c>
      <c r="AS151" s="5">
        <f t="shared" si="246"/>
        <v>2.0036250523804924</v>
      </c>
      <c r="AT151" s="5">
        <f t="shared" si="247"/>
        <v>2.3541286516219877</v>
      </c>
      <c r="AU151" s="153">
        <f t="shared" si="248"/>
        <v>0.45978391356542625</v>
      </c>
      <c r="AW151" s="5">
        <f t="shared" si="216"/>
        <v>2.7382875715866728</v>
      </c>
      <c r="AX151" s="5"/>
      <c r="AY151" s="5">
        <f t="shared" si="217"/>
        <v>0.51342891967250126</v>
      </c>
      <c r="AZ151" s="5"/>
      <c r="BA151" s="5">
        <f t="shared" si="218"/>
        <v>1.6102648434518096</v>
      </c>
      <c r="BB151" s="5"/>
      <c r="BC151" s="5"/>
      <c r="BD151" s="153">
        <f t="shared" si="219"/>
        <v>0.78439119903396659</v>
      </c>
      <c r="BE151" s="153">
        <f t="shared" si="220"/>
        <v>0.42511809057022593</v>
      </c>
      <c r="BF151" s="153">
        <f t="shared" si="221"/>
        <v>8.5134760098507983E-2</v>
      </c>
      <c r="BG151" s="153"/>
      <c r="BH151" s="463">
        <f t="shared" si="222"/>
        <v>6.7679650843413819E-2</v>
      </c>
      <c r="BI151" s="463">
        <f t="shared" si="223"/>
        <v>3.8299999999999994E-2</v>
      </c>
      <c r="BJ151" s="463">
        <f t="shared" si="224"/>
        <v>1.1473801273825168E-2</v>
      </c>
      <c r="BK151" s="463">
        <f t="shared" si="225"/>
        <v>1.4330780085767891E-2</v>
      </c>
      <c r="BL151">
        <f t="shared" si="226"/>
        <v>2.6099999999999999E-3</v>
      </c>
      <c r="BM151">
        <f t="shared" si="268"/>
        <v>9.1790410190601355E-6</v>
      </c>
      <c r="BN151">
        <f t="shared" si="269"/>
        <v>0.14535519930369073</v>
      </c>
      <c r="BO151" s="147">
        <f t="shared" si="229"/>
        <v>134.39423220300685</v>
      </c>
      <c r="BP151" s="153">
        <f t="shared" si="230"/>
        <v>8.2000000000000003E-2</v>
      </c>
      <c r="BQ151" s="153">
        <f t="shared" si="231"/>
        <v>1.6400000000000001E-2</v>
      </c>
      <c r="BR151" s="463"/>
      <c r="BT151" s="147">
        <f t="shared" si="232"/>
        <v>98.4</v>
      </c>
      <c r="BU151" s="463">
        <f t="shared" si="233"/>
        <v>5.2297912015365225E-2</v>
      </c>
      <c r="BV151" s="463">
        <f t="shared" si="234"/>
        <v>3.4337824276714217E-2</v>
      </c>
      <c r="BW151" s="463">
        <f t="shared" si="235"/>
        <v>3.6239636885152535E-4</v>
      </c>
      <c r="BX151" s="463">
        <f t="shared" si="236"/>
        <v>0</v>
      </c>
      <c r="BY151" s="463">
        <f t="shared" si="180"/>
        <v>9.8120814793216993E-2</v>
      </c>
      <c r="BZ151" s="463">
        <f t="shared" si="250"/>
        <v>8.6998132660930955E-2</v>
      </c>
      <c r="CA151" s="549">
        <f t="shared" si="270"/>
        <v>0.46061728395061741</v>
      </c>
      <c r="CB151" s="147">
        <f t="shared" si="238"/>
        <v>732.73436406569624</v>
      </c>
      <c r="CC151" s="153">
        <f t="shared" si="251"/>
        <v>0.80249329804752512</v>
      </c>
      <c r="CD151" s="5">
        <f t="shared" si="239"/>
        <v>3.7309999999999999</v>
      </c>
      <c r="CE151" s="153">
        <f t="shared" si="240"/>
        <v>0.82298566573526388</v>
      </c>
      <c r="CF151" s="5">
        <f t="shared" si="241"/>
        <v>82.298566573526386</v>
      </c>
      <c r="CG151">
        <f t="shared" si="242"/>
        <v>41</v>
      </c>
      <c r="CI151" s="59">
        <f t="shared" si="271"/>
        <v>-50</v>
      </c>
      <c r="CJ151">
        <f t="shared" si="272"/>
        <v>-50</v>
      </c>
    </row>
    <row r="152" spans="5:88" x14ac:dyDescent="0.25">
      <c r="E152" s="150">
        <v>42</v>
      </c>
      <c r="F152" s="191">
        <f t="shared" si="273"/>
        <v>0.21</v>
      </c>
      <c r="G152" s="191">
        <f t="shared" si="252"/>
        <v>4.2000000000000003E-2</v>
      </c>
      <c r="H152" s="191">
        <f t="shared" si="253"/>
        <v>3.15</v>
      </c>
      <c r="I152" s="191">
        <f t="shared" si="254"/>
        <v>0.67200000000000004</v>
      </c>
      <c r="J152" s="472">
        <f t="shared" si="186"/>
        <v>9</v>
      </c>
      <c r="K152" s="386">
        <f t="shared" si="187"/>
        <v>7.66</v>
      </c>
      <c r="L152" s="386">
        <f t="shared" si="188"/>
        <v>16.66</v>
      </c>
      <c r="M152" s="386"/>
      <c r="N152" s="191">
        <f t="shared" si="189"/>
        <v>0.45978391356542619</v>
      </c>
      <c r="O152" s="152">
        <f t="shared" si="255"/>
        <v>6.2923449599620076</v>
      </c>
      <c r="P152" s="152">
        <f t="shared" si="256"/>
        <v>1.6287385354141657</v>
      </c>
      <c r="Q152" s="191">
        <f t="shared" si="192"/>
        <v>0.41948966399746718</v>
      </c>
      <c r="R152" s="191">
        <f t="shared" si="257"/>
        <v>0.39327155999762548</v>
      </c>
      <c r="S152" s="191">
        <f t="shared" si="258"/>
        <v>15</v>
      </c>
      <c r="T152" s="191">
        <f t="shared" si="259"/>
        <v>2.0524939560970892</v>
      </c>
      <c r="U152" s="191">
        <f t="shared" si="196"/>
        <v>2.0524939560970892</v>
      </c>
      <c r="V152" s="191">
        <f t="shared" si="197"/>
        <v>2.4115464236127679</v>
      </c>
      <c r="W152" s="175">
        <f t="shared" si="198"/>
        <v>350</v>
      </c>
      <c r="X152" s="386">
        <f t="shared" si="199"/>
        <v>224.01231058420566</v>
      </c>
      <c r="Z152" s="191">
        <f t="shared" si="200"/>
        <v>1.3136683244726464</v>
      </c>
      <c r="AA152" s="153">
        <f t="shared" si="201"/>
        <v>1.5434745326702111</v>
      </c>
      <c r="AB152" s="153">
        <f t="shared" si="260"/>
        <v>0.14622213484608731</v>
      </c>
      <c r="AC152" s="153"/>
      <c r="AD152" s="153">
        <f t="shared" si="203"/>
        <v>0.96344647519582249</v>
      </c>
      <c r="AE152" s="317">
        <f t="shared" si="261"/>
        <v>1063.2559984136428</v>
      </c>
      <c r="AF152" s="463">
        <f t="shared" si="262"/>
        <v>6.9127284595300251E-2</v>
      </c>
      <c r="AH152" s="153">
        <f t="shared" si="263"/>
        <v>1.5577761927397231</v>
      </c>
      <c r="AI152" s="153">
        <f t="shared" si="264"/>
        <v>2.0524939560970892</v>
      </c>
      <c r="AJ152" s="153">
        <f t="shared" si="265"/>
        <v>2.1129584859978436</v>
      </c>
      <c r="AL152" s="317">
        <f t="shared" si="266"/>
        <v>210</v>
      </c>
      <c r="AM152" s="147">
        <f t="shared" si="267"/>
        <v>224.01231058420566</v>
      </c>
      <c r="AO152" s="147">
        <f t="shared" si="211"/>
        <v>210</v>
      </c>
      <c r="AP152" s="147">
        <f t="shared" si="212"/>
        <v>224.01231058420566</v>
      </c>
      <c r="AR152" s="5">
        <f t="shared" si="249"/>
        <v>4.4640403797098571</v>
      </c>
      <c r="AS152" s="5">
        <f t="shared" si="246"/>
        <v>2.0524939560970892</v>
      </c>
      <c r="AT152" s="5">
        <f t="shared" si="247"/>
        <v>2.4115464236127679</v>
      </c>
      <c r="AU152" s="153">
        <f t="shared" si="248"/>
        <v>0.45978391356542619</v>
      </c>
      <c r="AW152" s="5">
        <f t="shared" si="216"/>
        <v>2.8734915385359248</v>
      </c>
      <c r="AX152" s="5"/>
      <c r="AY152" s="5">
        <f t="shared" si="217"/>
        <v>0.53877966347548589</v>
      </c>
      <c r="AZ152" s="5"/>
      <c r="BA152" s="5">
        <f t="shared" si="218"/>
        <v>1.6897722687977352</v>
      </c>
      <c r="BB152" s="5"/>
      <c r="BC152" s="5"/>
      <c r="BD152" s="153">
        <f t="shared" si="219"/>
        <v>0.80352269169333146</v>
      </c>
      <c r="BE152" s="153">
        <f t="shared" si="220"/>
        <v>0.43548682448657289</v>
      </c>
      <c r="BF152" s="153">
        <f t="shared" si="221"/>
        <v>8.7211217661886234E-2</v>
      </c>
      <c r="BG152" s="153"/>
      <c r="BH152" s="463">
        <f t="shared" si="222"/>
        <v>7.1021358767270629E-2</v>
      </c>
      <c r="BI152" s="463">
        <f t="shared" si="223"/>
        <v>3.8300000000000001E-2</v>
      </c>
      <c r="BJ152" s="463">
        <f t="shared" si="224"/>
        <v>1.1200615529210284E-2</v>
      </c>
      <c r="BK152" s="463">
        <f t="shared" si="225"/>
        <v>1.3989571036106751E-2</v>
      </c>
      <c r="BL152">
        <f t="shared" si="226"/>
        <v>2.6099999999999999E-3</v>
      </c>
      <c r="BM152">
        <f t="shared" si="268"/>
        <v>8.9604924233682274E-6</v>
      </c>
      <c r="BN152">
        <f t="shared" si="269"/>
        <v>0.14866643102044372</v>
      </c>
      <c r="BO152" s="147">
        <f t="shared" si="229"/>
        <v>137.12154533258766</v>
      </c>
      <c r="BP152" s="153">
        <f t="shared" si="230"/>
        <v>8.4000000000000005E-2</v>
      </c>
      <c r="BQ152" s="153">
        <f t="shared" si="231"/>
        <v>1.6800000000000002E-2</v>
      </c>
      <c r="BR152" s="463"/>
      <c r="BT152" s="147">
        <f t="shared" si="232"/>
        <v>100.8</v>
      </c>
      <c r="BU152" s="463">
        <f t="shared" si="233"/>
        <v>5.4880140865618217E-2</v>
      </c>
      <c r="BV152" s="463">
        <f t="shared" si="234"/>
        <v>3.6033267117265837E-2</v>
      </c>
      <c r="BW152" s="463">
        <f t="shared" si="235"/>
        <v>3.8028982430344491E-4</v>
      </c>
      <c r="BX152" s="463">
        <f t="shared" si="236"/>
        <v>0</v>
      </c>
      <c r="BY152" s="463">
        <f t="shared" si="180"/>
        <v>0.10300121045453085</v>
      </c>
      <c r="BZ152" s="463">
        <f t="shared" si="250"/>
        <v>9.1293697807187504E-2</v>
      </c>
      <c r="CA152" s="549">
        <f t="shared" si="270"/>
        <v>0.47185185185185186</v>
      </c>
      <c r="CB152" s="147">
        <f t="shared" si="238"/>
        <v>757.44045792075769</v>
      </c>
      <c r="CC152" s="153">
        <f t="shared" si="251"/>
        <v>0.82431949332682641</v>
      </c>
      <c r="CD152" s="5">
        <f t="shared" si="239"/>
        <v>3.8220000000000001</v>
      </c>
      <c r="CE152" s="153">
        <f t="shared" si="240"/>
        <v>0.82258656674153874</v>
      </c>
      <c r="CF152" s="5">
        <f t="shared" si="241"/>
        <v>82.258656674153869</v>
      </c>
      <c r="CG152">
        <f t="shared" si="242"/>
        <v>42</v>
      </c>
      <c r="CI152" s="59">
        <f t="shared" si="271"/>
        <v>-50</v>
      </c>
      <c r="CJ152">
        <f t="shared" si="272"/>
        <v>-50</v>
      </c>
    </row>
    <row r="153" spans="5:88" x14ac:dyDescent="0.25">
      <c r="E153" s="150">
        <v>43</v>
      </c>
      <c r="F153" s="191">
        <f t="shared" si="273"/>
        <v>0.215</v>
      </c>
      <c r="G153" s="191">
        <f t="shared" si="252"/>
        <v>4.3000000000000003E-2</v>
      </c>
      <c r="H153" s="191">
        <f t="shared" si="253"/>
        <v>3.2250000000000001</v>
      </c>
      <c r="I153" s="191">
        <f t="shared" si="254"/>
        <v>0.68800000000000006</v>
      </c>
      <c r="J153" s="472">
        <f t="shared" si="186"/>
        <v>9</v>
      </c>
      <c r="K153" s="386">
        <f t="shared" si="187"/>
        <v>7.66</v>
      </c>
      <c r="L153" s="386">
        <f t="shared" si="188"/>
        <v>16.66</v>
      </c>
      <c r="M153" s="386"/>
      <c r="N153" s="191">
        <f t="shared" si="189"/>
        <v>0.45978391356542619</v>
      </c>
      <c r="O153" s="152">
        <f t="shared" si="255"/>
        <v>6.2923449599620076</v>
      </c>
      <c r="P153" s="152">
        <f t="shared" si="256"/>
        <v>1.6287385354141657</v>
      </c>
      <c r="Q153" s="191">
        <f t="shared" si="192"/>
        <v>0.41948966399746718</v>
      </c>
      <c r="R153" s="191">
        <f t="shared" si="257"/>
        <v>0.39327155999762548</v>
      </c>
      <c r="S153" s="191">
        <f t="shared" si="258"/>
        <v>15</v>
      </c>
      <c r="T153" s="191">
        <f t="shared" si="259"/>
        <v>2.1013628598136869</v>
      </c>
      <c r="U153" s="191">
        <f t="shared" si="196"/>
        <v>2.1013628598136869</v>
      </c>
      <c r="V153" s="191">
        <f t="shared" si="197"/>
        <v>2.4689641956035486</v>
      </c>
      <c r="W153" s="175">
        <f t="shared" si="198"/>
        <v>350</v>
      </c>
      <c r="X153" s="386">
        <f t="shared" si="199"/>
        <v>218.80272196596829</v>
      </c>
      <c r="Z153" s="191">
        <f t="shared" si="200"/>
        <v>1.3136683244726464</v>
      </c>
      <c r="AA153" s="153">
        <f t="shared" si="201"/>
        <v>1.5434745326702111</v>
      </c>
      <c r="AB153" s="153">
        <f t="shared" si="260"/>
        <v>0.14622213484608731</v>
      </c>
      <c r="AC153" s="153"/>
      <c r="AD153" s="153">
        <f t="shared" si="203"/>
        <v>0.96344647519582249</v>
      </c>
      <c r="AE153" s="317">
        <f t="shared" si="261"/>
        <v>1088.5716174234913</v>
      </c>
      <c r="AF153" s="463">
        <f t="shared" si="262"/>
        <v>6.9127284595300251E-2</v>
      </c>
      <c r="AH153" s="153">
        <f t="shared" si="263"/>
        <v>1.5762120556715853</v>
      </c>
      <c r="AI153" s="153">
        <f t="shared" si="264"/>
        <v>2.1013628598136869</v>
      </c>
      <c r="AJ153" s="153">
        <f t="shared" si="265"/>
        <v>2.1491576739360645</v>
      </c>
      <c r="AL153" s="317">
        <f t="shared" si="266"/>
        <v>215</v>
      </c>
      <c r="AM153" s="147">
        <f t="shared" si="267"/>
        <v>218.80272196596829</v>
      </c>
      <c r="AO153" s="147">
        <f t="shared" si="211"/>
        <v>215</v>
      </c>
      <c r="AP153" s="147">
        <f t="shared" si="212"/>
        <v>218.80272196596829</v>
      </c>
      <c r="AR153" s="5">
        <f t="shared" si="249"/>
        <v>4.5703270554172359</v>
      </c>
      <c r="AS153" s="5">
        <f t="shared" si="246"/>
        <v>2.1013628598136869</v>
      </c>
      <c r="AT153" s="5">
        <f t="shared" si="247"/>
        <v>2.4689641956035491</v>
      </c>
      <c r="AU153" s="153">
        <f t="shared" si="248"/>
        <v>0.45978391356542614</v>
      </c>
      <c r="AW153" s="5">
        <f t="shared" si="216"/>
        <v>3.011953432399618</v>
      </c>
      <c r="AX153" s="5"/>
      <c r="AY153" s="5">
        <f t="shared" si="217"/>
        <v>0.56474126857492835</v>
      </c>
      <c r="AZ153" s="5"/>
      <c r="BA153" s="5">
        <f t="shared" si="218"/>
        <v>1.7711955357182616</v>
      </c>
      <c r="BB153" s="5"/>
      <c r="BC153" s="5"/>
      <c r="BD153" s="153">
        <f t="shared" si="219"/>
        <v>0.82265418435269666</v>
      </c>
      <c r="BE153" s="153">
        <f t="shared" si="220"/>
        <v>0.44585555840291996</v>
      </c>
      <c r="BF153" s="153">
        <f t="shared" si="221"/>
        <v>8.9287675225264498E-2</v>
      </c>
      <c r="BG153" s="153"/>
      <c r="BH153" s="463">
        <f t="shared" si="222"/>
        <v>7.4443589773630067E-2</v>
      </c>
      <c r="BI153" s="463">
        <f t="shared" si="223"/>
        <v>3.8299999999999994E-2</v>
      </c>
      <c r="BJ153" s="463">
        <f t="shared" si="224"/>
        <v>1.0940136098298414E-2</v>
      </c>
      <c r="BK153" s="463">
        <f t="shared" si="225"/>
        <v>1.366423217480194E-2</v>
      </c>
      <c r="BL153">
        <f t="shared" si="226"/>
        <v>2.6099999999999999E-3</v>
      </c>
      <c r="BM153">
        <f t="shared" si="268"/>
        <v>8.7521088786387321E-6</v>
      </c>
      <c r="BN153">
        <f t="shared" si="269"/>
        <v>0.15210574317246026</v>
      </c>
      <c r="BO153" s="147">
        <f t="shared" si="229"/>
        <v>139.95795804673043</v>
      </c>
      <c r="BP153" s="153">
        <f t="shared" si="230"/>
        <v>8.6000000000000007E-2</v>
      </c>
      <c r="BQ153" s="153">
        <f t="shared" si="231"/>
        <v>1.7200000000000003E-2</v>
      </c>
      <c r="BR153" s="463"/>
      <c r="BT153" s="147">
        <f t="shared" si="232"/>
        <v>103.20000000000002</v>
      </c>
      <c r="BU153" s="463">
        <f t="shared" si="233"/>
        <v>5.7524592097805055E-2</v>
      </c>
      <c r="BV153" s="463">
        <f t="shared" si="234"/>
        <v>3.7769564002168118E-2</v>
      </c>
      <c r="BW153" s="463">
        <f t="shared" si="235"/>
        <v>3.9861444735661555E-4</v>
      </c>
      <c r="BX153" s="463">
        <f t="shared" si="236"/>
        <v>0</v>
      </c>
      <c r="BY153" s="463">
        <f t="shared" si="180"/>
        <v>0.10800270929130561</v>
      </c>
      <c r="BZ153" s="463">
        <f t="shared" si="250"/>
        <v>9.5692770547329789E-2</v>
      </c>
      <c r="CA153" s="549">
        <f t="shared" si="270"/>
        <v>0.48308641975308647</v>
      </c>
      <c r="CB153" s="147">
        <f t="shared" si="238"/>
        <v>782.47467013905168</v>
      </c>
      <c r="CC153" s="153">
        <f t="shared" si="251"/>
        <v>0.84639487221685239</v>
      </c>
      <c r="CD153" s="5">
        <f t="shared" si="239"/>
        <v>3.9130000000000003</v>
      </c>
      <c r="CE153" s="153">
        <f t="shared" si="240"/>
        <v>0.82216334325237128</v>
      </c>
      <c r="CF153" s="5">
        <f t="shared" si="241"/>
        <v>82.216334325237128</v>
      </c>
      <c r="CG153">
        <f t="shared" si="242"/>
        <v>43</v>
      </c>
      <c r="CI153" s="59">
        <f t="shared" si="271"/>
        <v>-50</v>
      </c>
      <c r="CJ153">
        <f t="shared" si="272"/>
        <v>-50</v>
      </c>
    </row>
    <row r="154" spans="5:88" x14ac:dyDescent="0.25">
      <c r="E154" s="150">
        <v>44</v>
      </c>
      <c r="F154" s="191">
        <f t="shared" si="273"/>
        <v>0.22</v>
      </c>
      <c r="G154" s="191">
        <f t="shared" si="252"/>
        <v>4.4000000000000004E-2</v>
      </c>
      <c r="H154" s="191">
        <f t="shared" si="253"/>
        <v>3.3</v>
      </c>
      <c r="I154" s="191">
        <f t="shared" si="254"/>
        <v>0.70400000000000007</v>
      </c>
      <c r="J154" s="472">
        <f t="shared" si="186"/>
        <v>9</v>
      </c>
      <c r="K154" s="386">
        <f t="shared" si="187"/>
        <v>7.66</v>
      </c>
      <c r="L154" s="386">
        <f t="shared" si="188"/>
        <v>16.66</v>
      </c>
      <c r="M154" s="386"/>
      <c r="N154" s="191">
        <f t="shared" si="189"/>
        <v>0.45978391356542619</v>
      </c>
      <c r="O154" s="152">
        <f t="shared" si="255"/>
        <v>6.2923449599620076</v>
      </c>
      <c r="P154" s="152">
        <f t="shared" si="256"/>
        <v>1.6287385354141657</v>
      </c>
      <c r="Q154" s="191">
        <f t="shared" si="192"/>
        <v>0.41948966399746718</v>
      </c>
      <c r="R154" s="191">
        <f t="shared" si="257"/>
        <v>0.39327155999762548</v>
      </c>
      <c r="S154" s="191">
        <f t="shared" si="258"/>
        <v>15</v>
      </c>
      <c r="T154" s="191">
        <f t="shared" si="259"/>
        <v>2.1502317635302837</v>
      </c>
      <c r="U154" s="191">
        <f t="shared" si="196"/>
        <v>2.1502317635302837</v>
      </c>
      <c r="V154" s="191">
        <f t="shared" si="197"/>
        <v>2.526381967594328</v>
      </c>
      <c r="W154" s="175">
        <f t="shared" si="198"/>
        <v>350</v>
      </c>
      <c r="X154" s="386">
        <f t="shared" si="199"/>
        <v>213.8299328303782</v>
      </c>
      <c r="Z154" s="191">
        <f t="shared" si="200"/>
        <v>1.3136683244726464</v>
      </c>
      <c r="AA154" s="153">
        <f t="shared" si="201"/>
        <v>1.5434745326702111</v>
      </c>
      <c r="AB154" s="153">
        <f t="shared" si="260"/>
        <v>0.14622213484608731</v>
      </c>
      <c r="AC154" s="153"/>
      <c r="AD154" s="153">
        <f t="shared" si="203"/>
        <v>0.96344647519582249</v>
      </c>
      <c r="AE154" s="317">
        <f t="shared" si="261"/>
        <v>1113.8872364333399</v>
      </c>
      <c r="AF154" s="463">
        <f t="shared" si="262"/>
        <v>6.9127284595300251E-2</v>
      </c>
      <c r="AH154" s="153">
        <f t="shared" si="263"/>
        <v>1.5944347657468529</v>
      </c>
      <c r="AI154" s="153">
        <f t="shared" si="264"/>
        <v>2.1502317635302837</v>
      </c>
      <c r="AJ154" s="153">
        <f t="shared" si="265"/>
        <v>2.1853568618742845</v>
      </c>
      <c r="AL154" s="317">
        <f t="shared" si="266"/>
        <v>220</v>
      </c>
      <c r="AM154" s="147">
        <f t="shared" si="267"/>
        <v>213.8299328303782</v>
      </c>
      <c r="AO154" s="147">
        <f t="shared" si="211"/>
        <v>220</v>
      </c>
      <c r="AP154" s="147">
        <f t="shared" si="212"/>
        <v>213.8299328303782</v>
      </c>
      <c r="AR154" s="5">
        <f t="shared" si="249"/>
        <v>4.6766137311246112</v>
      </c>
      <c r="AS154" s="5">
        <f t="shared" si="246"/>
        <v>2.1502317635302837</v>
      </c>
      <c r="AT154" s="5">
        <f t="shared" si="247"/>
        <v>2.5263819675943275</v>
      </c>
      <c r="AU154" s="153">
        <f t="shared" si="248"/>
        <v>0.45978391356542625</v>
      </c>
      <c r="AW154" s="5">
        <f t="shared" si="216"/>
        <v>3.1536732531777494</v>
      </c>
      <c r="AX154" s="5"/>
      <c r="AY154" s="5">
        <f t="shared" si="217"/>
        <v>0.59131373497082795</v>
      </c>
      <c r="AZ154" s="5"/>
      <c r="BA154" s="5">
        <f t="shared" si="218"/>
        <v>1.8545346442133868</v>
      </c>
      <c r="BB154" s="5"/>
      <c r="BC154" s="5"/>
      <c r="BD154" s="153">
        <f t="shared" si="219"/>
        <v>0.84178567701206153</v>
      </c>
      <c r="BE154" s="153">
        <f t="shared" si="220"/>
        <v>0.45622429231926676</v>
      </c>
      <c r="BF154" s="153">
        <f t="shared" si="221"/>
        <v>9.1364132788642721E-2</v>
      </c>
      <c r="BG154" s="153"/>
      <c r="BH154" s="463">
        <f t="shared" si="222"/>
        <v>7.7946343862492024E-2</v>
      </c>
      <c r="BI154" s="463">
        <f t="shared" si="223"/>
        <v>3.8300000000000008E-2</v>
      </c>
      <c r="BJ154" s="463">
        <f t="shared" si="224"/>
        <v>1.0691496641518911E-2</v>
      </c>
      <c r="BK154" s="463">
        <f t="shared" si="225"/>
        <v>1.3353681443556446E-2</v>
      </c>
      <c r="BL154">
        <f t="shared" si="226"/>
        <v>2.6099999999999999E-3</v>
      </c>
      <c r="BM154">
        <f t="shared" si="268"/>
        <v>8.5531973132151282E-6</v>
      </c>
      <c r="BN154">
        <f t="shared" si="269"/>
        <v>0.15567155990537712</v>
      </c>
      <c r="BO154" s="147">
        <f t="shared" si="229"/>
        <v>142.9015219475674</v>
      </c>
      <c r="BP154" s="153">
        <f t="shared" si="230"/>
        <v>8.8000000000000009E-2</v>
      </c>
      <c r="BQ154" s="153">
        <f t="shared" si="231"/>
        <v>1.7600000000000001E-2</v>
      </c>
      <c r="BR154" s="463"/>
      <c r="BT154" s="147">
        <f t="shared" si="232"/>
        <v>105.60000000000001</v>
      </c>
      <c r="BU154" s="463">
        <f t="shared" si="233"/>
        <v>6.0231265711925656E-2</v>
      </c>
      <c r="BV154" s="463">
        <f t="shared" si="234"/>
        <v>3.9546714931420993E-2</v>
      </c>
      <c r="BW154" s="463">
        <f t="shared" si="235"/>
        <v>4.1737023801103701E-4</v>
      </c>
      <c r="BX154" s="463">
        <f t="shared" si="236"/>
        <v>0</v>
      </c>
      <c r="BY154" s="463">
        <f t="shared" si="180"/>
        <v>0.11312556544499366</v>
      </c>
      <c r="BZ154" s="463">
        <f t="shared" si="250"/>
        <v>0.10019535088135768</v>
      </c>
      <c r="CA154" s="549">
        <f t="shared" si="270"/>
        <v>0.49432098765432098</v>
      </c>
      <c r="CB154" s="147">
        <f t="shared" si="238"/>
        <v>807.83725486203002</v>
      </c>
      <c r="CC154" s="153">
        <f t="shared" si="251"/>
        <v>0.86871811300469182</v>
      </c>
      <c r="CD154" s="5">
        <f t="shared" si="239"/>
        <v>4.0039999999999996</v>
      </c>
      <c r="CE154" s="153">
        <f t="shared" si="240"/>
        <v>0.82171796257078999</v>
      </c>
      <c r="CF154" s="5">
        <f t="shared" si="241"/>
        <v>82.171796257078995</v>
      </c>
      <c r="CG154">
        <f t="shared" si="242"/>
        <v>44</v>
      </c>
      <c r="CI154" s="59">
        <f t="shared" si="271"/>
        <v>-50</v>
      </c>
      <c r="CJ154">
        <f t="shared" si="272"/>
        <v>-50</v>
      </c>
    </row>
    <row r="155" spans="5:88" x14ac:dyDescent="0.25">
      <c r="E155" s="150">
        <v>45</v>
      </c>
      <c r="F155" s="191">
        <f t="shared" si="273"/>
        <v>0.22500000000000001</v>
      </c>
      <c r="G155" s="191">
        <f t="shared" si="252"/>
        <v>4.5000000000000005E-2</v>
      </c>
      <c r="H155" s="191">
        <f t="shared" si="253"/>
        <v>3.375</v>
      </c>
      <c r="I155" s="191">
        <f t="shared" si="254"/>
        <v>0.72000000000000008</v>
      </c>
      <c r="J155" s="472">
        <f t="shared" si="186"/>
        <v>9</v>
      </c>
      <c r="K155" s="386">
        <f t="shared" si="187"/>
        <v>7.66</v>
      </c>
      <c r="L155" s="386">
        <f t="shared" si="188"/>
        <v>16.66</v>
      </c>
      <c r="M155" s="386"/>
      <c r="N155" s="191">
        <f t="shared" si="189"/>
        <v>0.45978391356542619</v>
      </c>
      <c r="O155" s="152">
        <f t="shared" si="255"/>
        <v>6.2923449599620076</v>
      </c>
      <c r="P155" s="152">
        <f t="shared" si="256"/>
        <v>1.6287385354141657</v>
      </c>
      <c r="Q155" s="191">
        <f t="shared" si="192"/>
        <v>0.41948966399746718</v>
      </c>
      <c r="R155" s="191">
        <f t="shared" si="257"/>
        <v>0.39327155999762548</v>
      </c>
      <c r="S155" s="191">
        <f t="shared" si="258"/>
        <v>15</v>
      </c>
      <c r="T155" s="191">
        <f t="shared" si="259"/>
        <v>2.1991006672468809</v>
      </c>
      <c r="U155" s="191">
        <f t="shared" si="196"/>
        <v>2.1991006672468809</v>
      </c>
      <c r="V155" s="191">
        <f t="shared" si="197"/>
        <v>2.5837997395851087</v>
      </c>
      <c r="W155" s="175">
        <f t="shared" si="198"/>
        <v>350</v>
      </c>
      <c r="X155" s="386">
        <f t="shared" si="199"/>
        <v>209.07815654525862</v>
      </c>
      <c r="Z155" s="191">
        <f t="shared" si="200"/>
        <v>1.3136683244726464</v>
      </c>
      <c r="AA155" s="153">
        <f t="shared" si="201"/>
        <v>1.5434745326702111</v>
      </c>
      <c r="AB155" s="153">
        <f t="shared" si="260"/>
        <v>0.14622213484608731</v>
      </c>
      <c r="AC155" s="153"/>
      <c r="AD155" s="153">
        <f t="shared" si="203"/>
        <v>0.96344647519582249</v>
      </c>
      <c r="AE155" s="317">
        <f t="shared" si="261"/>
        <v>1139.2028554431886</v>
      </c>
      <c r="AF155" s="463">
        <f t="shared" si="262"/>
        <v>6.9127284595300251E-2</v>
      </c>
      <c r="AH155" s="153">
        <f t="shared" si="263"/>
        <v>1.61245154965971</v>
      </c>
      <c r="AI155" s="153">
        <f t="shared" si="264"/>
        <v>2.1991006672468809</v>
      </c>
      <c r="AJ155" s="153">
        <f t="shared" si="265"/>
        <v>2.2215560498125044</v>
      </c>
      <c r="AL155" s="317">
        <f t="shared" si="266"/>
        <v>225</v>
      </c>
      <c r="AM155" s="147">
        <f t="shared" si="267"/>
        <v>209.07815654525862</v>
      </c>
      <c r="AO155" s="147">
        <f t="shared" si="211"/>
        <v>225</v>
      </c>
      <c r="AP155" s="147">
        <f t="shared" si="212"/>
        <v>209.07815654525862</v>
      </c>
      <c r="AR155" s="5">
        <f t="shared" si="249"/>
        <v>4.7829004068319909</v>
      </c>
      <c r="AS155" s="5">
        <f t="shared" si="246"/>
        <v>2.1991006672468809</v>
      </c>
      <c r="AT155" s="5">
        <f t="shared" si="247"/>
        <v>2.58379973958511</v>
      </c>
      <c r="AU155" s="153">
        <f t="shared" si="248"/>
        <v>0.45978391356542597</v>
      </c>
      <c r="AW155" s="5">
        <f t="shared" si="216"/>
        <v>3.2986510008703211</v>
      </c>
      <c r="AX155" s="5"/>
      <c r="AY155" s="5">
        <f t="shared" si="217"/>
        <v>0.61849706266318527</v>
      </c>
      <c r="AZ155" s="5"/>
      <c r="BA155" s="5">
        <f t="shared" si="218"/>
        <v>1.9397895942831156</v>
      </c>
      <c r="BB155" s="5"/>
      <c r="BC155" s="5"/>
      <c r="BD155" s="153">
        <f t="shared" si="219"/>
        <v>0.86091716967142629</v>
      </c>
      <c r="BE155" s="153">
        <f t="shared" si="220"/>
        <v>0.46659302623561377</v>
      </c>
      <c r="BF155" s="153">
        <f t="shared" si="221"/>
        <v>9.3440590352020958E-2</v>
      </c>
      <c r="BG155" s="153"/>
      <c r="BH155" s="463">
        <f t="shared" si="222"/>
        <v>8.1529621033856539E-2</v>
      </c>
      <c r="BI155" s="463">
        <f t="shared" si="223"/>
        <v>3.8299999999999987E-2</v>
      </c>
      <c r="BJ155" s="463">
        <f t="shared" si="224"/>
        <v>1.0453907827262932E-2</v>
      </c>
      <c r="BK155" s="463">
        <f t="shared" si="225"/>
        <v>1.3056932967032966E-2</v>
      </c>
      <c r="BL155">
        <f t="shared" si="226"/>
        <v>2.6099999999999999E-3</v>
      </c>
      <c r="BM155">
        <f t="shared" si="268"/>
        <v>8.3631262618103445E-6</v>
      </c>
      <c r="BN155">
        <f t="shared" si="269"/>
        <v>0.15936248862366506</v>
      </c>
      <c r="BO155" s="147">
        <f t="shared" si="229"/>
        <v>145.95046182815244</v>
      </c>
      <c r="BP155" s="153">
        <f t="shared" si="230"/>
        <v>9.0000000000000011E-2</v>
      </c>
      <c r="BQ155" s="153">
        <f t="shared" si="231"/>
        <v>1.8000000000000002E-2</v>
      </c>
      <c r="BR155" s="463"/>
      <c r="BT155" s="147">
        <f t="shared" si="232"/>
        <v>108.00000000000001</v>
      </c>
      <c r="BU155" s="463">
        <f t="shared" si="233"/>
        <v>6.3000161707980049E-2</v>
      </c>
      <c r="BV155" s="463">
        <f t="shared" si="234"/>
        <v>4.136471990502455E-2</v>
      </c>
      <c r="BW155" s="463">
        <f t="shared" si="235"/>
        <v>4.3655719626670961E-4</v>
      </c>
      <c r="BX155" s="463">
        <f t="shared" si="236"/>
        <v>0</v>
      </c>
      <c r="BY155" s="463">
        <f t="shared" si="180"/>
        <v>0.11837003950252588</v>
      </c>
      <c r="BZ155" s="463">
        <f t="shared" si="250"/>
        <v>0.10480143880927131</v>
      </c>
      <c r="CA155" s="549">
        <f t="shared" si="270"/>
        <v>0.50555555555555542</v>
      </c>
      <c r="CB155" s="147">
        <f t="shared" si="238"/>
        <v>833.52847267662389</v>
      </c>
      <c r="CC155" s="153">
        <f t="shared" si="251"/>
        <v>0.89128808368174639</v>
      </c>
      <c r="CD155" s="5">
        <f t="shared" si="239"/>
        <v>4.0949999999999998</v>
      </c>
      <c r="CE155" s="153">
        <f t="shared" si="240"/>
        <v>0.82125218825631063</v>
      </c>
      <c r="CF155" s="5">
        <f t="shared" si="241"/>
        <v>82.125218825631066</v>
      </c>
      <c r="CG155">
        <f t="shared" si="242"/>
        <v>45</v>
      </c>
      <c r="CI155" s="59">
        <f t="shared" si="271"/>
        <v>-50</v>
      </c>
      <c r="CJ155">
        <f t="shared" si="272"/>
        <v>-50</v>
      </c>
    </row>
    <row r="156" spans="5:88" s="59" customFormat="1" x14ac:dyDescent="0.25">
      <c r="E156" s="150">
        <v>46</v>
      </c>
      <c r="F156" s="191">
        <f t="shared" si="273"/>
        <v>0.23</v>
      </c>
      <c r="G156" s="191">
        <f t="shared" si="252"/>
        <v>4.6000000000000006E-2</v>
      </c>
      <c r="H156" s="191">
        <f t="shared" si="253"/>
        <v>3.45</v>
      </c>
      <c r="I156" s="191">
        <f t="shared" si="254"/>
        <v>0.7360000000000001</v>
      </c>
      <c r="J156" s="472">
        <f t="shared" si="186"/>
        <v>9</v>
      </c>
      <c r="K156" s="386">
        <f t="shared" si="187"/>
        <v>7.66</v>
      </c>
      <c r="L156" s="386">
        <f t="shared" si="188"/>
        <v>16.66</v>
      </c>
      <c r="M156" s="386"/>
      <c r="N156" s="191">
        <f t="shared" si="189"/>
        <v>0.45978391356542619</v>
      </c>
      <c r="O156" s="152">
        <f t="shared" si="255"/>
        <v>6.2923449599620076</v>
      </c>
      <c r="P156" s="152">
        <f t="shared" si="256"/>
        <v>1.6287385354141657</v>
      </c>
      <c r="Q156" s="191">
        <f t="shared" si="192"/>
        <v>0.41948966399746718</v>
      </c>
      <c r="R156" s="191">
        <f t="shared" si="257"/>
        <v>0.39327155999762548</v>
      </c>
      <c r="S156" s="191">
        <f t="shared" si="258"/>
        <v>15</v>
      </c>
      <c r="T156" s="191">
        <f t="shared" si="259"/>
        <v>2.2479695709634786</v>
      </c>
      <c r="U156" s="191">
        <f t="shared" si="196"/>
        <v>2.2479695709634786</v>
      </c>
      <c r="V156" s="191">
        <f t="shared" si="197"/>
        <v>2.6412175115758889</v>
      </c>
      <c r="W156" s="175">
        <f t="shared" si="198"/>
        <v>350</v>
      </c>
      <c r="X156" s="386">
        <f t="shared" si="199"/>
        <v>204.53297922905739</v>
      </c>
      <c r="Z156" s="191">
        <f t="shared" si="200"/>
        <v>1.3136683244726464</v>
      </c>
      <c r="AA156" s="469">
        <f t="shared" si="201"/>
        <v>1.5434745326702111</v>
      </c>
      <c r="AB156" s="153">
        <f t="shared" si="260"/>
        <v>0.14622213484608731</v>
      </c>
      <c r="AC156" s="469"/>
      <c r="AD156" s="469">
        <f t="shared" si="203"/>
        <v>0.96344647519582249</v>
      </c>
      <c r="AE156" s="317">
        <f t="shared" si="261"/>
        <v>1164.5184744530375</v>
      </c>
      <c r="AF156" s="463">
        <f t="shared" si="262"/>
        <v>6.9127284595300251E-2</v>
      </c>
      <c r="AH156" s="153">
        <f t="shared" si="263"/>
        <v>1.6302692347516645</v>
      </c>
      <c r="AI156" s="469">
        <f t="shared" si="264"/>
        <v>2.2479695709634786</v>
      </c>
      <c r="AJ156" s="469">
        <f t="shared" si="265"/>
        <v>2.2577552377507248</v>
      </c>
      <c r="AL156" s="491">
        <f t="shared" si="266"/>
        <v>230</v>
      </c>
      <c r="AM156" s="492">
        <f t="shared" si="267"/>
        <v>204.53297922905739</v>
      </c>
      <c r="AO156" s="59">
        <f t="shared" si="211"/>
        <v>230</v>
      </c>
      <c r="AP156" s="59">
        <f t="shared" si="212"/>
        <v>204.53297922905739</v>
      </c>
      <c r="AR156" s="170">
        <f t="shared" si="249"/>
        <v>4.8891870825393662</v>
      </c>
      <c r="AS156" s="5">
        <f t="shared" si="246"/>
        <v>2.2479695709634786</v>
      </c>
      <c r="AT156" s="5">
        <f t="shared" si="247"/>
        <v>2.6412175115758876</v>
      </c>
      <c r="AU156" s="153">
        <f t="shared" si="248"/>
        <v>0.45978391356542625</v>
      </c>
      <c r="AW156" s="5">
        <f t="shared" si="216"/>
        <v>3.4468866754773342</v>
      </c>
      <c r="AX156" s="5"/>
      <c r="AY156" s="5">
        <f t="shared" si="217"/>
        <v>0.64629125165200019</v>
      </c>
      <c r="AZ156" s="5"/>
      <c r="BA156" s="5">
        <f t="shared" si="218"/>
        <v>2.0269603859274414</v>
      </c>
      <c r="BB156" s="5"/>
      <c r="BC156" s="5"/>
      <c r="BD156" s="153">
        <f t="shared" si="219"/>
        <v>0.88004866233079171</v>
      </c>
      <c r="BE156" s="153">
        <f t="shared" si="220"/>
        <v>0.47696176015196079</v>
      </c>
      <c r="BF156" s="153">
        <f t="shared" si="221"/>
        <v>9.5517047915399222E-2</v>
      </c>
      <c r="BG156" s="153"/>
      <c r="BH156" s="463">
        <f t="shared" si="222"/>
        <v>8.5193421287723739E-2</v>
      </c>
      <c r="BI156" s="463">
        <f t="shared" si="223"/>
        <v>3.8300000000000008E-2</v>
      </c>
      <c r="BJ156" s="463">
        <f t="shared" si="224"/>
        <v>1.022664896145287E-2</v>
      </c>
      <c r="BK156" s="463">
        <f t="shared" si="225"/>
        <v>1.2773086598184427E-2</v>
      </c>
      <c r="BL156">
        <f t="shared" si="226"/>
        <v>2.6099999999999999E-3</v>
      </c>
      <c r="BM156">
        <f t="shared" si="268"/>
        <v>8.1813191691622961E-6</v>
      </c>
      <c r="BN156">
        <f t="shared" si="269"/>
        <v>0.1631773012495277</v>
      </c>
      <c r="BO156" s="147">
        <f t="shared" si="229"/>
        <v>149.10315684736105</v>
      </c>
      <c r="BP156" s="153">
        <f t="shared" si="230"/>
        <v>9.2000000000000012E-2</v>
      </c>
      <c r="BQ156" s="153">
        <f t="shared" si="231"/>
        <v>1.8400000000000003E-2</v>
      </c>
      <c r="BR156" s="463"/>
      <c r="BS156"/>
      <c r="BT156" s="147">
        <f t="shared" si="232"/>
        <v>110.4</v>
      </c>
      <c r="BU156" s="463">
        <f t="shared" si="233"/>
        <v>6.5831280085968349E-2</v>
      </c>
      <c r="BV156" s="463">
        <f t="shared" si="234"/>
        <v>4.3223578922978748E-2</v>
      </c>
      <c r="BW156" s="463">
        <f t="shared" si="235"/>
        <v>4.5617532212363361E-4</v>
      </c>
      <c r="BX156" s="463">
        <f t="shared" si="236"/>
        <v>0</v>
      </c>
      <c r="BY156" s="463">
        <f t="shared" si="180"/>
        <v>0.12373639852979115</v>
      </c>
      <c r="BZ156" s="463">
        <f t="shared" si="250"/>
        <v>0.10951103433107073</v>
      </c>
      <c r="CA156" s="549">
        <f t="shared" si="270"/>
        <v>0.51679012345679021</v>
      </c>
      <c r="CB156" s="147">
        <f t="shared" si="238"/>
        <v>859.54859064872278</v>
      </c>
      <c r="CC156" s="153">
        <f t="shared" si="251"/>
        <v>0.91410382323610906</v>
      </c>
      <c r="CD156" s="5">
        <f t="shared" si="239"/>
        <v>4.1859999999999999</v>
      </c>
      <c r="CE156" s="153">
        <f t="shared" si="240"/>
        <v>0.82076760495120793</v>
      </c>
      <c r="CF156" s="5">
        <f t="shared" si="241"/>
        <v>82.076760495120794</v>
      </c>
      <c r="CG156">
        <f t="shared" si="242"/>
        <v>46</v>
      </c>
      <c r="CI156" s="59">
        <f t="shared" si="271"/>
        <v>-50</v>
      </c>
      <c r="CJ156">
        <f t="shared" si="272"/>
        <v>-50</v>
      </c>
    </row>
    <row r="157" spans="5:88" x14ac:dyDescent="0.25">
      <c r="E157" s="150">
        <v>47</v>
      </c>
      <c r="F157" s="191">
        <f t="shared" si="273"/>
        <v>0.23499999999999999</v>
      </c>
      <c r="G157" s="191">
        <f t="shared" si="252"/>
        <v>4.7E-2</v>
      </c>
      <c r="H157" s="191">
        <f t="shared" si="253"/>
        <v>3.5249999999999999</v>
      </c>
      <c r="I157" s="191">
        <f t="shared" si="254"/>
        <v>0.752</v>
      </c>
      <c r="J157" s="472">
        <f t="shared" si="186"/>
        <v>9</v>
      </c>
      <c r="K157" s="386">
        <f t="shared" si="187"/>
        <v>7.66</v>
      </c>
      <c r="L157" s="386">
        <f t="shared" si="188"/>
        <v>16.66</v>
      </c>
      <c r="M157" s="386"/>
      <c r="N157" s="191">
        <f t="shared" si="189"/>
        <v>0.45978391356542619</v>
      </c>
      <c r="O157" s="152">
        <f t="shared" si="255"/>
        <v>6.2923449599620076</v>
      </c>
      <c r="P157" s="152">
        <f t="shared" si="256"/>
        <v>1.6287385354141657</v>
      </c>
      <c r="Q157" s="191">
        <f t="shared" si="192"/>
        <v>0.41948966399746718</v>
      </c>
      <c r="R157" s="191">
        <f t="shared" si="257"/>
        <v>0.39327155999762548</v>
      </c>
      <c r="S157" s="191">
        <f t="shared" si="258"/>
        <v>15</v>
      </c>
      <c r="T157" s="191">
        <f t="shared" si="259"/>
        <v>2.2968384746800758</v>
      </c>
      <c r="U157" s="191">
        <f t="shared" si="196"/>
        <v>2.2968384746800763</v>
      </c>
      <c r="V157" s="191">
        <f t="shared" si="197"/>
        <v>2.6986352835666687</v>
      </c>
      <c r="W157" s="175">
        <f t="shared" si="198"/>
        <v>350</v>
      </c>
      <c r="X157" s="386">
        <f t="shared" si="199"/>
        <v>200.1812137135455</v>
      </c>
      <c r="Z157" s="191">
        <f t="shared" si="200"/>
        <v>1.3136683244726464</v>
      </c>
      <c r="AA157" s="153">
        <f t="shared" si="201"/>
        <v>1.5434745326702111</v>
      </c>
      <c r="AB157" s="153">
        <f t="shared" si="260"/>
        <v>0.14622213484608731</v>
      </c>
      <c r="AC157" s="153"/>
      <c r="AD157" s="153">
        <f t="shared" si="203"/>
        <v>0.96344647519582249</v>
      </c>
      <c r="AE157" s="317">
        <f t="shared" si="261"/>
        <v>1189.8340934628859</v>
      </c>
      <c r="AF157" s="463">
        <f t="shared" si="262"/>
        <v>6.9127284595300251E-2</v>
      </c>
      <c r="AH157" s="153">
        <f t="shared" si="263"/>
        <v>1.6478942792411033</v>
      </c>
      <c r="AI157" s="153">
        <f t="shared" si="264"/>
        <v>2.2968384746800758</v>
      </c>
      <c r="AJ157" s="153">
        <f t="shared" si="265"/>
        <v>2.2939544256889453</v>
      </c>
      <c r="AL157" s="317">
        <f t="shared" si="266"/>
        <v>235</v>
      </c>
      <c r="AM157" s="147">
        <f t="shared" si="267"/>
        <v>200.1812137135455</v>
      </c>
      <c r="AO157">
        <f t="shared" si="211"/>
        <v>235</v>
      </c>
      <c r="AP157">
        <f t="shared" si="212"/>
        <v>200.1812137135455</v>
      </c>
      <c r="AR157" s="5">
        <f t="shared" si="249"/>
        <v>4.995473758246745</v>
      </c>
      <c r="AS157" s="5">
        <f t="shared" si="246"/>
        <v>2.2968384746800763</v>
      </c>
      <c r="AT157" s="5">
        <f t="shared" si="247"/>
        <v>2.6986352835666687</v>
      </c>
      <c r="AU157" s="153">
        <f t="shared" si="248"/>
        <v>0.45978391356542625</v>
      </c>
      <c r="AW157" s="5">
        <f t="shared" si="216"/>
        <v>3.5983802769987858</v>
      </c>
      <c r="AX157" s="5"/>
      <c r="AY157" s="5">
        <f t="shared" si="217"/>
        <v>0.67469630193727237</v>
      </c>
      <c r="AZ157" s="5"/>
      <c r="BA157" s="5">
        <f t="shared" si="218"/>
        <v>2.1160470191463698</v>
      </c>
      <c r="BB157" s="5"/>
      <c r="BC157" s="5"/>
      <c r="BD157" s="153">
        <f t="shared" si="219"/>
        <v>0.89918015499015669</v>
      </c>
      <c r="BE157" s="153">
        <f t="shared" si="220"/>
        <v>0.4873304940683077</v>
      </c>
      <c r="BF157" s="153">
        <f t="shared" si="221"/>
        <v>9.7593505478777445E-2</v>
      </c>
      <c r="BG157" s="153"/>
      <c r="BH157" s="463">
        <f t="shared" si="222"/>
        <v>8.8937744624093443E-2</v>
      </c>
      <c r="BI157" s="463">
        <f t="shared" si="223"/>
        <v>3.8299999999999994E-2</v>
      </c>
      <c r="BJ157" s="463">
        <f t="shared" si="224"/>
        <v>1.0009060685677276E-2</v>
      </c>
      <c r="BK157" s="463">
        <f t="shared" si="225"/>
        <v>1.2501318798223054E-2</v>
      </c>
      <c r="BL157">
        <f t="shared" si="226"/>
        <v>2.6099999999999999E-3</v>
      </c>
      <c r="BM157">
        <f t="shared" si="268"/>
        <v>8.0072485485418196E-6</v>
      </c>
      <c r="BN157">
        <f t="shared" si="269"/>
        <v>0.16711491788850813</v>
      </c>
      <c r="BO157" s="147">
        <f t="shared" si="229"/>
        <v>152.35812410799377</v>
      </c>
      <c r="BP157" s="153">
        <f t="shared" si="230"/>
        <v>9.4E-2</v>
      </c>
      <c r="BQ157" s="153">
        <f t="shared" si="231"/>
        <v>1.8800000000000001E-2</v>
      </c>
      <c r="BR157" s="463"/>
      <c r="BT157" s="147">
        <f t="shared" si="232"/>
        <v>112.8</v>
      </c>
      <c r="BU157" s="463">
        <f t="shared" si="233"/>
        <v>6.8724620845890386E-2</v>
      </c>
      <c r="BV157" s="463">
        <f t="shared" si="234"/>
        <v>4.5123291985283573E-2</v>
      </c>
      <c r="BW157" s="463">
        <f t="shared" si="235"/>
        <v>4.7622461558180821E-4</v>
      </c>
      <c r="BX157" s="463">
        <f t="shared" si="236"/>
        <v>0</v>
      </c>
      <c r="BY157" s="463">
        <f t="shared" si="180"/>
        <v>0.12922491610600231</v>
      </c>
      <c r="BZ157" s="463">
        <f t="shared" si="250"/>
        <v>0.11432413744675576</v>
      </c>
      <c r="CA157" s="549">
        <f t="shared" si="270"/>
        <v>0.52802469135802477</v>
      </c>
      <c r="CB157" s="147">
        <f t="shared" si="238"/>
        <v>885.89788235753861</v>
      </c>
      <c r="CC157" s="153">
        <f t="shared" si="251"/>
        <v>0.93716452535253525</v>
      </c>
      <c r="CD157" s="5">
        <f t="shared" si="239"/>
        <v>4.2770000000000001</v>
      </c>
      <c r="CE157" s="153">
        <f t="shared" si="240"/>
        <v>0.82026563972122224</v>
      </c>
      <c r="CF157" s="5">
        <f t="shared" si="241"/>
        <v>82.026563972122219</v>
      </c>
      <c r="CG157">
        <f t="shared" si="242"/>
        <v>47</v>
      </c>
      <c r="CI157" s="59">
        <f t="shared" si="271"/>
        <v>-50</v>
      </c>
      <c r="CJ157">
        <f t="shared" si="272"/>
        <v>-50</v>
      </c>
    </row>
    <row r="158" spans="5:88" x14ac:dyDescent="0.25">
      <c r="E158" s="150">
        <v>48</v>
      </c>
      <c r="F158" s="191">
        <f t="shared" si="273"/>
        <v>0.24</v>
      </c>
      <c r="G158" s="191">
        <f t="shared" si="252"/>
        <v>4.8000000000000001E-2</v>
      </c>
      <c r="H158" s="191">
        <f t="shared" si="253"/>
        <v>3.5999999999999996</v>
      </c>
      <c r="I158" s="191">
        <f t="shared" si="254"/>
        <v>0.76800000000000002</v>
      </c>
      <c r="J158" s="472">
        <f t="shared" si="186"/>
        <v>9</v>
      </c>
      <c r="K158" s="386">
        <f t="shared" si="187"/>
        <v>7.66</v>
      </c>
      <c r="L158" s="386">
        <f t="shared" si="188"/>
        <v>16.66</v>
      </c>
      <c r="M158" s="386"/>
      <c r="N158" s="191">
        <f t="shared" si="189"/>
        <v>0.45978391356542619</v>
      </c>
      <c r="O158" s="152">
        <f t="shared" si="255"/>
        <v>6.2923449599620076</v>
      </c>
      <c r="P158" s="152">
        <f t="shared" si="256"/>
        <v>1.6287385354141657</v>
      </c>
      <c r="Q158" s="191">
        <f t="shared" si="192"/>
        <v>0.41948966399746718</v>
      </c>
      <c r="R158" s="191">
        <f t="shared" si="257"/>
        <v>0.39327155999762548</v>
      </c>
      <c r="S158" s="191">
        <f t="shared" si="258"/>
        <v>15</v>
      </c>
      <c r="T158" s="191">
        <f t="shared" si="259"/>
        <v>2.3457073783966731</v>
      </c>
      <c r="U158" s="191">
        <f t="shared" si="196"/>
        <v>2.3457073783966726</v>
      </c>
      <c r="V158" s="191">
        <f t="shared" si="197"/>
        <v>2.7560530555574485</v>
      </c>
      <c r="W158" s="175">
        <f t="shared" si="198"/>
        <v>350</v>
      </c>
      <c r="X158" s="386">
        <f t="shared" si="199"/>
        <v>196.01077176118002</v>
      </c>
      <c r="Z158" s="191">
        <f t="shared" si="200"/>
        <v>1.3136683244726464</v>
      </c>
      <c r="AA158" s="153">
        <f t="shared" si="201"/>
        <v>1.5434745326702111</v>
      </c>
      <c r="AB158" s="153">
        <f t="shared" si="260"/>
        <v>0.14622213484608731</v>
      </c>
      <c r="AC158" s="153"/>
      <c r="AD158" s="153">
        <f t="shared" si="203"/>
        <v>0.96344647519582249</v>
      </c>
      <c r="AE158" s="317">
        <f t="shared" si="261"/>
        <v>1215.1497124727346</v>
      </c>
      <c r="AF158" s="463">
        <f t="shared" si="262"/>
        <v>6.9127284595300251E-2</v>
      </c>
      <c r="AH158" s="153">
        <f t="shared" si="263"/>
        <v>1.6653327995729061</v>
      </c>
      <c r="AI158" s="153">
        <f t="shared" si="264"/>
        <v>2.3457073783966731</v>
      </c>
      <c r="AJ158" s="153">
        <f t="shared" si="265"/>
        <v>2.3301536136271652</v>
      </c>
      <c r="AL158" s="317">
        <f t="shared" si="266"/>
        <v>240</v>
      </c>
      <c r="AM158" s="147">
        <f t="shared" si="267"/>
        <v>196.01077176118002</v>
      </c>
      <c r="AO158">
        <f t="shared" si="211"/>
        <v>240</v>
      </c>
      <c r="AP158">
        <f t="shared" si="212"/>
        <v>196.01077176118002</v>
      </c>
      <c r="AR158" s="5">
        <f t="shared" si="249"/>
        <v>5.1017604339541212</v>
      </c>
      <c r="AS158" s="5">
        <f t="shared" si="246"/>
        <v>2.3457073783966726</v>
      </c>
      <c r="AT158" s="5">
        <f t="shared" si="247"/>
        <v>2.7560530555574485</v>
      </c>
      <c r="AU158" s="153">
        <f t="shared" si="248"/>
        <v>0.45978391356542614</v>
      </c>
      <c r="AW158" s="5">
        <f t="shared" si="216"/>
        <v>3.7531318054346756</v>
      </c>
      <c r="AX158" s="5"/>
      <c r="AY158" s="5">
        <f t="shared" si="217"/>
        <v>0.70371221351900171</v>
      </c>
      <c r="AZ158" s="5"/>
      <c r="BA158" s="5">
        <f t="shared" si="218"/>
        <v>2.2070494939398984</v>
      </c>
      <c r="BB158" s="5"/>
      <c r="BC158" s="5"/>
      <c r="BD158" s="153">
        <f t="shared" si="219"/>
        <v>0.91831164764952156</v>
      </c>
      <c r="BE158" s="153">
        <f t="shared" si="220"/>
        <v>0.49769922798465471</v>
      </c>
      <c r="BF158" s="153">
        <f t="shared" si="221"/>
        <v>9.966996304215571E-2</v>
      </c>
      <c r="BG158" s="153"/>
      <c r="BH158" s="463">
        <f t="shared" si="222"/>
        <v>9.2762591042965692E-2</v>
      </c>
      <c r="BI158" s="463">
        <f t="shared" si="223"/>
        <v>3.8300000000000008E-2</v>
      </c>
      <c r="BJ158" s="463">
        <f t="shared" si="224"/>
        <v>9.8005385880590018E-3</v>
      </c>
      <c r="BK158" s="463">
        <f t="shared" si="225"/>
        <v>1.224087465659341E-2</v>
      </c>
      <c r="BL158">
        <f t="shared" si="226"/>
        <v>2.6099999999999999E-3</v>
      </c>
      <c r="BM158">
        <f t="shared" si="268"/>
        <v>7.8404308704472019E-6</v>
      </c>
      <c r="BN158">
        <f t="shared" si="269"/>
        <v>0.17117439255125541</v>
      </c>
      <c r="BO158" s="147">
        <f t="shared" si="229"/>
        <v>155.71400428761811</v>
      </c>
      <c r="BP158" s="153">
        <f t="shared" si="230"/>
        <v>9.6000000000000002E-2</v>
      </c>
      <c r="BQ158" s="153">
        <f t="shared" si="231"/>
        <v>1.9200000000000002E-2</v>
      </c>
      <c r="BR158" s="463"/>
      <c r="BT158" s="147">
        <f t="shared" si="232"/>
        <v>115.2</v>
      </c>
      <c r="BU158" s="463">
        <f t="shared" si="233"/>
        <v>7.1680183987746227E-2</v>
      </c>
      <c r="BV158" s="463">
        <f t="shared" si="234"/>
        <v>4.7063859091939046E-2</v>
      </c>
      <c r="BW158" s="463">
        <f t="shared" si="235"/>
        <v>4.9670507664123422E-4</v>
      </c>
      <c r="BX158" s="463">
        <f t="shared" si="236"/>
        <v>0</v>
      </c>
      <c r="BY158" s="463">
        <f t="shared" si="180"/>
        <v>0.13483587235895714</v>
      </c>
      <c r="BZ158" s="463">
        <f t="shared" si="250"/>
        <v>0.11924074815632651</v>
      </c>
      <c r="CA158" s="549">
        <f t="shared" si="270"/>
        <v>0.53925925925925944</v>
      </c>
      <c r="CB158" s="147">
        <f t="shared" si="238"/>
        <v>912.57662793086956</v>
      </c>
      <c r="CC158" s="153">
        <f t="shared" si="251"/>
        <v>0.96046952416947196</v>
      </c>
      <c r="CD158" s="5">
        <f t="shared" si="239"/>
        <v>4.3679999999999994</v>
      </c>
      <c r="CE158" s="153">
        <f t="shared" si="240"/>
        <v>0.81974758046135643</v>
      </c>
      <c r="CF158" s="5">
        <f t="shared" si="241"/>
        <v>81.974758046135648</v>
      </c>
      <c r="CG158">
        <f t="shared" si="242"/>
        <v>48</v>
      </c>
      <c r="CI158" s="59">
        <f t="shared" si="271"/>
        <v>-50</v>
      </c>
      <c r="CJ158">
        <f t="shared" si="272"/>
        <v>-50</v>
      </c>
    </row>
    <row r="159" spans="5:88" x14ac:dyDescent="0.25">
      <c r="E159" s="150">
        <v>49</v>
      </c>
      <c r="F159" s="191">
        <f t="shared" si="273"/>
        <v>0.245</v>
      </c>
      <c r="G159" s="191">
        <f t="shared" si="252"/>
        <v>4.9000000000000002E-2</v>
      </c>
      <c r="H159" s="191">
        <f t="shared" si="253"/>
        <v>3.6749999999999998</v>
      </c>
      <c r="I159" s="191">
        <f t="shared" si="254"/>
        <v>0.78400000000000003</v>
      </c>
      <c r="J159" s="472">
        <f t="shared" si="186"/>
        <v>9</v>
      </c>
      <c r="K159" s="386">
        <f t="shared" si="187"/>
        <v>7.66</v>
      </c>
      <c r="L159" s="386">
        <f t="shared" si="188"/>
        <v>16.66</v>
      </c>
      <c r="M159" s="386"/>
      <c r="N159" s="191">
        <f t="shared" si="189"/>
        <v>0.45978391356542619</v>
      </c>
      <c r="O159" s="152">
        <f t="shared" si="255"/>
        <v>6.2923449599620076</v>
      </c>
      <c r="P159" s="152">
        <f t="shared" si="256"/>
        <v>1.6287385354141657</v>
      </c>
      <c r="Q159" s="191">
        <f t="shared" si="192"/>
        <v>0.41948966399746718</v>
      </c>
      <c r="R159" s="191">
        <f t="shared" si="257"/>
        <v>0.39327155999762548</v>
      </c>
      <c r="S159" s="191">
        <f t="shared" si="258"/>
        <v>15</v>
      </c>
      <c r="T159" s="191">
        <f t="shared" si="259"/>
        <v>2.3945762821132703</v>
      </c>
      <c r="U159" s="191">
        <f t="shared" si="196"/>
        <v>2.3945762821132703</v>
      </c>
      <c r="V159" s="191">
        <f t="shared" si="197"/>
        <v>2.8134708275482287</v>
      </c>
      <c r="W159" s="175">
        <f t="shared" si="198"/>
        <v>350</v>
      </c>
      <c r="X159" s="386">
        <f t="shared" si="199"/>
        <v>192.01055192931921</v>
      </c>
      <c r="Z159" s="191">
        <f t="shared" si="200"/>
        <v>1.3136683244726464</v>
      </c>
      <c r="AA159" s="153">
        <f t="shared" si="201"/>
        <v>1.5434745326702111</v>
      </c>
      <c r="AB159" s="153">
        <f t="shared" si="260"/>
        <v>0.14622213484608731</v>
      </c>
      <c r="AC159" s="153"/>
      <c r="AD159" s="153">
        <f t="shared" si="203"/>
        <v>0.96344647519582249</v>
      </c>
      <c r="AE159" s="317">
        <f t="shared" si="261"/>
        <v>1240.4653314825832</v>
      </c>
      <c r="AF159" s="463">
        <f t="shared" si="262"/>
        <v>6.9127284595300251E-2</v>
      </c>
      <c r="AH159" s="153">
        <f t="shared" si="263"/>
        <v>1.6825905952165283</v>
      </c>
      <c r="AI159" s="153">
        <f t="shared" si="264"/>
        <v>2.3945762821132703</v>
      </c>
      <c r="AJ159" s="153">
        <f t="shared" si="265"/>
        <v>2.3663528015653856</v>
      </c>
      <c r="AL159" s="317">
        <f t="shared" si="266"/>
        <v>245</v>
      </c>
      <c r="AM159" s="147">
        <f t="shared" si="267"/>
        <v>192.01055192931921</v>
      </c>
      <c r="AO159">
        <f t="shared" si="211"/>
        <v>245</v>
      </c>
      <c r="AP159">
        <f t="shared" si="212"/>
        <v>192.01055192931921</v>
      </c>
      <c r="AR159" s="5">
        <f t="shared" si="249"/>
        <v>5.2080471096614991</v>
      </c>
      <c r="AS159" s="5">
        <f t="shared" si="246"/>
        <v>2.3945762821132703</v>
      </c>
      <c r="AT159" s="5">
        <f t="shared" si="247"/>
        <v>2.8134708275482287</v>
      </c>
      <c r="AU159" s="153">
        <f t="shared" si="248"/>
        <v>0.45978391356542619</v>
      </c>
      <c r="AW159" s="5">
        <f t="shared" si="216"/>
        <v>3.911141260785008</v>
      </c>
      <c r="AX159" s="5"/>
      <c r="AY159" s="5">
        <f t="shared" si="217"/>
        <v>0.73333898639718897</v>
      </c>
      <c r="AZ159" s="5"/>
      <c r="BA159" s="5">
        <f t="shared" si="218"/>
        <v>2.2999678103080279</v>
      </c>
      <c r="BB159" s="5"/>
      <c r="BC159" s="5"/>
      <c r="BD159" s="153">
        <f t="shared" si="219"/>
        <v>0.93744314030888654</v>
      </c>
      <c r="BE159" s="153">
        <f t="shared" si="220"/>
        <v>0.50806796190100156</v>
      </c>
      <c r="BF159" s="153">
        <f t="shared" si="221"/>
        <v>0.10174642060553393</v>
      </c>
      <c r="BG159" s="153"/>
      <c r="BH159" s="463">
        <f t="shared" si="222"/>
        <v>9.6667960544340542E-2</v>
      </c>
      <c r="BI159" s="463">
        <f t="shared" si="223"/>
        <v>3.8300000000000001E-2</v>
      </c>
      <c r="BJ159" s="463">
        <f t="shared" si="224"/>
        <v>9.6005275964659593E-3</v>
      </c>
      <c r="BK159" s="463">
        <f t="shared" si="225"/>
        <v>1.1991060888091504E-2</v>
      </c>
      <c r="BL159">
        <f t="shared" si="226"/>
        <v>2.6099999999999999E-3</v>
      </c>
      <c r="BM159">
        <f t="shared" si="268"/>
        <v>7.680422077172769E-6</v>
      </c>
      <c r="BN159">
        <f t="shared" si="269"/>
        <v>0.17535490063813977</v>
      </c>
      <c r="BO159" s="147">
        <f t="shared" si="229"/>
        <v>159.16954902889802</v>
      </c>
      <c r="BP159" s="153">
        <f t="shared" si="230"/>
        <v>9.8000000000000004E-2</v>
      </c>
      <c r="BQ159" s="153">
        <f t="shared" si="231"/>
        <v>1.9600000000000003E-2</v>
      </c>
      <c r="BR159" s="463"/>
      <c r="BT159" s="147">
        <f t="shared" si="232"/>
        <v>117.60000000000001</v>
      </c>
      <c r="BU159" s="463">
        <f t="shared" si="233"/>
        <v>7.4697969511535872E-2</v>
      </c>
      <c r="BV159" s="463">
        <f t="shared" si="234"/>
        <v>4.9045280242945133E-2</v>
      </c>
      <c r="BW159" s="463">
        <f t="shared" si="235"/>
        <v>5.1761670530191099E-4</v>
      </c>
      <c r="BX159" s="463">
        <f t="shared" si="236"/>
        <v>0</v>
      </c>
      <c r="BY159" s="463">
        <f t="shared" si="180"/>
        <v>0.14056955400120125</v>
      </c>
      <c r="BZ159" s="463">
        <f t="shared" si="250"/>
        <v>0.12426086645978292</v>
      </c>
      <c r="CA159" s="549">
        <f t="shared" si="270"/>
        <v>0.55049382716049389</v>
      </c>
      <c r="CB159" s="147">
        <f t="shared" si="238"/>
        <v>939.58511408126105</v>
      </c>
      <c r="CC159" s="153">
        <f t="shared" si="251"/>
        <v>0.98401828179983486</v>
      </c>
      <c r="CD159" s="5">
        <f t="shared" si="239"/>
        <v>4.4589999999999996</v>
      </c>
      <c r="CE159" s="153">
        <f t="shared" si="240"/>
        <v>0.81921459182120349</v>
      </c>
      <c r="CF159" s="5">
        <f t="shared" si="241"/>
        <v>81.921459182120344</v>
      </c>
      <c r="CG159">
        <f t="shared" si="242"/>
        <v>49</v>
      </c>
      <c r="CI159" s="59">
        <f t="shared" si="271"/>
        <v>-50</v>
      </c>
      <c r="CJ159">
        <f t="shared" si="272"/>
        <v>-50</v>
      </c>
    </row>
    <row r="160" spans="5:88" x14ac:dyDescent="0.25">
      <c r="E160" s="150">
        <v>50</v>
      </c>
      <c r="F160" s="191">
        <f t="shared" si="273"/>
        <v>0.25</v>
      </c>
      <c r="G160" s="191">
        <f t="shared" si="252"/>
        <v>0.05</v>
      </c>
      <c r="H160" s="191">
        <f t="shared" si="253"/>
        <v>3.75</v>
      </c>
      <c r="I160" s="191">
        <f t="shared" si="254"/>
        <v>0.8</v>
      </c>
      <c r="J160" s="472">
        <f t="shared" si="186"/>
        <v>9</v>
      </c>
      <c r="K160" s="386">
        <f t="shared" si="187"/>
        <v>7.66</v>
      </c>
      <c r="L160" s="386">
        <f t="shared" si="188"/>
        <v>16.66</v>
      </c>
      <c r="M160" s="386"/>
      <c r="N160" s="191">
        <f t="shared" si="189"/>
        <v>0.45978391356542619</v>
      </c>
      <c r="O160" s="152">
        <f t="shared" si="255"/>
        <v>6.2923449599620076</v>
      </c>
      <c r="P160" s="152">
        <f t="shared" si="256"/>
        <v>1.6287385354141657</v>
      </c>
      <c r="Q160" s="191">
        <f t="shared" si="192"/>
        <v>0.41948966399746718</v>
      </c>
      <c r="R160" s="191">
        <f t="shared" si="257"/>
        <v>0.39327155999762548</v>
      </c>
      <c r="S160" s="191">
        <f t="shared" si="258"/>
        <v>15</v>
      </c>
      <c r="T160" s="191">
        <f t="shared" si="259"/>
        <v>2.443445185829868</v>
      </c>
      <c r="U160" s="191">
        <f t="shared" si="196"/>
        <v>2.443445185829868</v>
      </c>
      <c r="V160" s="191">
        <f t="shared" si="197"/>
        <v>2.870888599539009</v>
      </c>
      <c r="W160" s="175">
        <f t="shared" si="198"/>
        <v>350</v>
      </c>
      <c r="X160" s="386">
        <f t="shared" si="199"/>
        <v>188.17034089073277</v>
      </c>
      <c r="Z160" s="191">
        <f t="shared" si="200"/>
        <v>1.3136683244726464</v>
      </c>
      <c r="AA160" s="153">
        <f t="shared" si="201"/>
        <v>1.5434745326702111</v>
      </c>
      <c r="AB160" s="153">
        <f t="shared" si="260"/>
        <v>0.14622213484608731</v>
      </c>
      <c r="AC160" s="153"/>
      <c r="AD160" s="153">
        <f t="shared" si="203"/>
        <v>0.96344647519582249</v>
      </c>
      <c r="AE160" s="317">
        <f t="shared" si="261"/>
        <v>1265.7809504924319</v>
      </c>
      <c r="AF160" s="463">
        <f t="shared" si="262"/>
        <v>6.9127284595300251E-2</v>
      </c>
      <c r="AH160" s="153">
        <f t="shared" si="263"/>
        <v>1.699673171197595</v>
      </c>
      <c r="AI160" s="153">
        <f t="shared" si="264"/>
        <v>2.443445185829868</v>
      </c>
      <c r="AJ160" s="153">
        <f t="shared" si="265"/>
        <v>2.402551989503606</v>
      </c>
      <c r="AL160" s="317">
        <f t="shared" si="266"/>
        <v>250</v>
      </c>
      <c r="AM160" s="147">
        <f t="shared" si="267"/>
        <v>188.17034089073277</v>
      </c>
      <c r="AO160">
        <f t="shared" si="211"/>
        <v>250</v>
      </c>
      <c r="AP160">
        <f t="shared" si="212"/>
        <v>188.17034089073277</v>
      </c>
      <c r="AR160" s="5">
        <f t="shared" si="249"/>
        <v>5.3143337853688779</v>
      </c>
      <c r="AS160" s="5">
        <f t="shared" si="246"/>
        <v>2.443445185829868</v>
      </c>
      <c r="AT160" s="5">
        <f t="shared" si="247"/>
        <v>2.8708885995390099</v>
      </c>
      <c r="AU160" s="153">
        <f t="shared" si="248"/>
        <v>0.45978391356542614</v>
      </c>
      <c r="AW160" s="5">
        <f t="shared" si="216"/>
        <v>4.0724086430497799</v>
      </c>
      <c r="AX160" s="5"/>
      <c r="AY160" s="5">
        <f t="shared" si="217"/>
        <v>0.76357662057183384</v>
      </c>
      <c r="AZ160" s="5"/>
      <c r="BA160" s="5">
        <f t="shared" si="218"/>
        <v>2.3948019682507593</v>
      </c>
      <c r="BB160" s="5"/>
      <c r="BC160" s="5"/>
      <c r="BD160" s="153">
        <f t="shared" si="219"/>
        <v>0.95657463296825174</v>
      </c>
      <c r="BE160" s="153">
        <f t="shared" si="220"/>
        <v>0.51843669581734875</v>
      </c>
      <c r="BF160" s="153">
        <f t="shared" si="221"/>
        <v>0.10382287816891221</v>
      </c>
      <c r="BG160" s="153"/>
      <c r="BH160" s="463">
        <f t="shared" si="222"/>
        <v>0.10065385312821801</v>
      </c>
      <c r="BI160" s="463">
        <f t="shared" si="223"/>
        <v>3.8300000000000001E-2</v>
      </c>
      <c r="BJ160" s="463">
        <f t="shared" si="224"/>
        <v>9.4085170445366382E-3</v>
      </c>
      <c r="BK160" s="463">
        <f t="shared" si="225"/>
        <v>1.175123967032967E-2</v>
      </c>
      <c r="BL160">
        <f t="shared" si="226"/>
        <v>2.6099999999999999E-3</v>
      </c>
      <c r="BM160">
        <f t="shared" si="268"/>
        <v>7.5268136356293109E-6</v>
      </c>
      <c r="BN160">
        <f t="shared" si="269"/>
        <v>0.1796557279403464</v>
      </c>
      <c r="BO160" s="147">
        <f t="shared" si="229"/>
        <v>162.72360984308432</v>
      </c>
      <c r="BP160" s="153">
        <f t="shared" si="230"/>
        <v>0.1</v>
      </c>
      <c r="BQ160" s="153">
        <f t="shared" si="231"/>
        <v>2.0000000000000004E-2</v>
      </c>
      <c r="BR160" s="463"/>
      <c r="BT160" s="147">
        <f t="shared" si="232"/>
        <v>120.00000000000001</v>
      </c>
      <c r="BU160" s="463">
        <f t="shared" si="233"/>
        <v>7.7777977417259378E-2</v>
      </c>
      <c r="BV160" s="463">
        <f t="shared" si="234"/>
        <v>5.1067555438301937E-2</v>
      </c>
      <c r="BW160" s="463">
        <f t="shared" si="235"/>
        <v>5.3895950156383939E-4</v>
      </c>
      <c r="BX160" s="463">
        <f t="shared" si="236"/>
        <v>0</v>
      </c>
      <c r="BY160" s="463">
        <f t="shared" si="180"/>
        <v>0.14642625436710363</v>
      </c>
      <c r="BZ160" s="463">
        <f t="shared" si="250"/>
        <v>0.12938449235712518</v>
      </c>
      <c r="CA160" s="549">
        <f t="shared" si="270"/>
        <v>0.56172839506172845</v>
      </c>
      <c r="CB160" s="147">
        <f t="shared" si="238"/>
        <v>966.9236341430825</v>
      </c>
      <c r="CC160" s="153">
        <f t="shared" si="251"/>
        <v>1.0078103773691787</v>
      </c>
      <c r="CD160" s="5">
        <f t="shared" si="239"/>
        <v>4.55</v>
      </c>
      <c r="CE160" s="153">
        <f t="shared" si="240"/>
        <v>0.81866772902636675</v>
      </c>
      <c r="CF160" s="5">
        <f t="shared" si="241"/>
        <v>81.866772902636669</v>
      </c>
      <c r="CG160">
        <f t="shared" si="242"/>
        <v>50</v>
      </c>
      <c r="CI160" s="59">
        <f t="shared" si="271"/>
        <v>-50</v>
      </c>
      <c r="CJ160">
        <f t="shared" si="272"/>
        <v>-50</v>
      </c>
    </row>
    <row r="161" spans="5:88" x14ac:dyDescent="0.25">
      <c r="E161" s="150">
        <v>51</v>
      </c>
      <c r="F161" s="191">
        <f t="shared" si="273"/>
        <v>0.255</v>
      </c>
      <c r="G161" s="191">
        <f t="shared" si="252"/>
        <v>5.1000000000000004E-2</v>
      </c>
      <c r="H161" s="191">
        <f t="shared" si="253"/>
        <v>3.8250000000000002</v>
      </c>
      <c r="I161" s="191">
        <f t="shared" si="254"/>
        <v>0.81600000000000006</v>
      </c>
      <c r="J161" s="472">
        <f t="shared" si="186"/>
        <v>9</v>
      </c>
      <c r="K161" s="386">
        <f t="shared" si="187"/>
        <v>7.66</v>
      </c>
      <c r="L161" s="386">
        <f t="shared" si="188"/>
        <v>16.66</v>
      </c>
      <c r="M161" s="386"/>
      <c r="N161" s="191">
        <f t="shared" si="189"/>
        <v>0.45978391356542619</v>
      </c>
      <c r="O161" s="152">
        <f t="shared" si="255"/>
        <v>6.2923449599620076</v>
      </c>
      <c r="P161" s="152">
        <f t="shared" si="256"/>
        <v>1.6287385354141657</v>
      </c>
      <c r="Q161" s="191">
        <f t="shared" si="192"/>
        <v>0.41948966399746718</v>
      </c>
      <c r="R161" s="191">
        <f t="shared" si="257"/>
        <v>0.39327155999762548</v>
      </c>
      <c r="S161" s="191">
        <f t="shared" si="258"/>
        <v>15</v>
      </c>
      <c r="T161" s="191">
        <f t="shared" si="259"/>
        <v>2.4923140895464653</v>
      </c>
      <c r="U161" s="191">
        <f t="shared" si="196"/>
        <v>2.4923140895464653</v>
      </c>
      <c r="V161" s="191">
        <f t="shared" si="197"/>
        <v>2.9283063715297892</v>
      </c>
      <c r="W161" s="175">
        <f t="shared" si="198"/>
        <v>350</v>
      </c>
      <c r="X161" s="386">
        <f t="shared" si="199"/>
        <v>184.48072636346356</v>
      </c>
      <c r="Z161" s="191">
        <f t="shared" si="200"/>
        <v>1.3136683244726464</v>
      </c>
      <c r="AA161" s="153">
        <f t="shared" si="201"/>
        <v>1.5434745326702111</v>
      </c>
      <c r="AB161" s="153">
        <f t="shared" si="260"/>
        <v>0.14622213484608731</v>
      </c>
      <c r="AC161" s="153"/>
      <c r="AD161" s="153">
        <f t="shared" si="203"/>
        <v>0.96344647519582249</v>
      </c>
      <c r="AE161" s="317">
        <f t="shared" si="261"/>
        <v>1291.0965695022803</v>
      </c>
      <c r="AF161" s="463">
        <f t="shared" si="262"/>
        <v>6.9127284595300251E-2</v>
      </c>
      <c r="AH161" s="153">
        <f t="shared" si="263"/>
        <v>1.7165857586111644</v>
      </c>
      <c r="AI161" s="153">
        <f t="shared" si="264"/>
        <v>2.4923140895464653</v>
      </c>
      <c r="AJ161" s="153">
        <f t="shared" si="265"/>
        <v>2.4387511774418265</v>
      </c>
      <c r="AL161" s="317">
        <f t="shared" si="266"/>
        <v>255</v>
      </c>
      <c r="AM161" s="147">
        <f t="shared" si="267"/>
        <v>184.48072636346356</v>
      </c>
      <c r="AO161">
        <f t="shared" si="211"/>
        <v>255</v>
      </c>
      <c r="AP161">
        <f t="shared" si="212"/>
        <v>184.48072636346356</v>
      </c>
      <c r="AR161" s="5">
        <f t="shared" si="249"/>
        <v>5.4206204610762541</v>
      </c>
      <c r="AS161" s="5">
        <f t="shared" si="246"/>
        <v>2.4923140895464653</v>
      </c>
      <c r="AT161" s="5">
        <f t="shared" si="247"/>
        <v>2.9283063715297888</v>
      </c>
      <c r="AU161" s="153">
        <f t="shared" si="248"/>
        <v>0.45978391356542625</v>
      </c>
      <c r="AW161" s="5">
        <f t="shared" si="216"/>
        <v>4.2369339522289913</v>
      </c>
      <c r="AX161" s="5"/>
      <c r="AY161" s="5">
        <f t="shared" si="217"/>
        <v>0.79442511604293586</v>
      </c>
      <c r="AZ161" s="5"/>
      <c r="BA161" s="5">
        <f t="shared" si="218"/>
        <v>2.4915519677680882</v>
      </c>
      <c r="BB161" s="5"/>
      <c r="BC161" s="5"/>
      <c r="BD161" s="153">
        <f t="shared" si="219"/>
        <v>0.97570612562761683</v>
      </c>
      <c r="BE161" s="153">
        <f t="shared" si="220"/>
        <v>0.5288054297336956</v>
      </c>
      <c r="BF161" s="153">
        <f t="shared" si="221"/>
        <v>0.10589933573229042</v>
      </c>
      <c r="BG161" s="153"/>
      <c r="BH161" s="463">
        <f t="shared" si="222"/>
        <v>0.10472026879459803</v>
      </c>
      <c r="BI161" s="463">
        <f t="shared" si="223"/>
        <v>3.8300000000000008E-2</v>
      </c>
      <c r="BJ161" s="463">
        <f t="shared" si="224"/>
        <v>9.2240363181731785E-3</v>
      </c>
      <c r="BK161" s="463">
        <f t="shared" si="225"/>
        <v>1.1520823206205564E-2</v>
      </c>
      <c r="BL161">
        <f t="shared" si="226"/>
        <v>2.6099999999999999E-3</v>
      </c>
      <c r="BM161">
        <f t="shared" si="268"/>
        <v>7.3792290545385429E-6</v>
      </c>
      <c r="BN161">
        <f t="shared" si="269"/>
        <v>0.18407626094973106</v>
      </c>
      <c r="BO161" s="147">
        <f t="shared" si="229"/>
        <v>166.37512831897678</v>
      </c>
      <c r="BP161" s="153">
        <f t="shared" si="230"/>
        <v>0.10200000000000001</v>
      </c>
      <c r="BQ161" s="153">
        <f t="shared" si="231"/>
        <v>2.0400000000000001E-2</v>
      </c>
      <c r="BR161" s="463"/>
      <c r="BT161" s="147">
        <f t="shared" si="232"/>
        <v>122.4</v>
      </c>
      <c r="BU161" s="463">
        <f t="shared" si="233"/>
        <v>8.0920207704916661E-2</v>
      </c>
      <c r="BV161" s="463">
        <f t="shared" si="234"/>
        <v>5.3130684678009306E-2</v>
      </c>
      <c r="BW161" s="463">
        <f t="shared" si="235"/>
        <v>5.6073346542701811E-4</v>
      </c>
      <c r="BX161" s="463">
        <f t="shared" si="236"/>
        <v>0</v>
      </c>
      <c r="BY161" s="463">
        <f t="shared" si="180"/>
        <v>0.15240627345085198</v>
      </c>
      <c r="BZ161" s="463">
        <f t="shared" si="250"/>
        <v>0.13461162584835298</v>
      </c>
      <c r="CA161" s="549">
        <f t="shared" si="270"/>
        <v>0.57296296296296312</v>
      </c>
      <c r="CB161" s="147">
        <f t="shared" si="238"/>
        <v>994.592488110521</v>
      </c>
      <c r="CC161" s="153">
        <f t="shared" si="251"/>
        <v>1.031845497363546</v>
      </c>
      <c r="CD161" s="5">
        <f t="shared" si="239"/>
        <v>4.641</v>
      </c>
      <c r="CE161" s="153">
        <f t="shared" si="240"/>
        <v>0.81810794990924807</v>
      </c>
      <c r="CF161" s="5">
        <f t="shared" si="241"/>
        <v>81.810794990924805</v>
      </c>
      <c r="CG161">
        <f t="shared" si="242"/>
        <v>51</v>
      </c>
      <c r="CI161" s="59">
        <f t="shared" si="271"/>
        <v>-50</v>
      </c>
      <c r="CJ161">
        <f t="shared" si="272"/>
        <v>-50</v>
      </c>
    </row>
    <row r="162" spans="5:88" x14ac:dyDescent="0.25">
      <c r="E162" s="150">
        <v>52</v>
      </c>
      <c r="F162" s="191">
        <f t="shared" si="273"/>
        <v>0.26</v>
      </c>
      <c r="G162" s="191">
        <f t="shared" si="252"/>
        <v>5.2000000000000005E-2</v>
      </c>
      <c r="H162" s="191">
        <f t="shared" si="253"/>
        <v>3.9000000000000004</v>
      </c>
      <c r="I162" s="191">
        <f t="shared" si="254"/>
        <v>0.83200000000000007</v>
      </c>
      <c r="J162" s="472">
        <f t="shared" si="186"/>
        <v>9</v>
      </c>
      <c r="K162" s="386">
        <f t="shared" si="187"/>
        <v>7.66</v>
      </c>
      <c r="L162" s="386">
        <f t="shared" si="188"/>
        <v>16.66</v>
      </c>
      <c r="M162" s="386"/>
      <c r="N162" s="191">
        <f t="shared" si="189"/>
        <v>0.45978391356542619</v>
      </c>
      <c r="O162" s="152">
        <f t="shared" si="255"/>
        <v>6.2923449599620076</v>
      </c>
      <c r="P162" s="152">
        <f t="shared" si="256"/>
        <v>1.6287385354141657</v>
      </c>
      <c r="Q162" s="191">
        <f t="shared" si="192"/>
        <v>0.41948966399746718</v>
      </c>
      <c r="R162" s="191">
        <f t="shared" si="257"/>
        <v>0.39327155999762548</v>
      </c>
      <c r="S162" s="191">
        <f t="shared" si="258"/>
        <v>15</v>
      </c>
      <c r="T162" s="191">
        <f t="shared" si="259"/>
        <v>2.541182993263063</v>
      </c>
      <c r="U162" s="191">
        <f t="shared" si="196"/>
        <v>2.541182993263063</v>
      </c>
      <c r="V162" s="191">
        <f t="shared" si="197"/>
        <v>2.9857241435205704</v>
      </c>
      <c r="W162" s="175">
        <f t="shared" si="198"/>
        <v>350</v>
      </c>
      <c r="X162" s="386">
        <f t="shared" si="199"/>
        <v>180.93302008724305</v>
      </c>
      <c r="Z162" s="191">
        <f t="shared" si="200"/>
        <v>1.3136683244726464</v>
      </c>
      <c r="AA162" s="153">
        <f t="shared" si="201"/>
        <v>1.5434745326702111</v>
      </c>
      <c r="AB162" s="153">
        <f t="shared" si="260"/>
        <v>0.14622213484608731</v>
      </c>
      <c r="AC162" s="153"/>
      <c r="AD162" s="153">
        <f t="shared" si="203"/>
        <v>0.96344647519582249</v>
      </c>
      <c r="AE162" s="317">
        <f t="shared" si="261"/>
        <v>1316.4121885121292</v>
      </c>
      <c r="AF162" s="463">
        <f t="shared" si="262"/>
        <v>6.9127284595300251E-2</v>
      </c>
      <c r="AH162" s="153">
        <f t="shared" si="263"/>
        <v>1.7333333333333334</v>
      </c>
      <c r="AI162" s="153">
        <f t="shared" si="264"/>
        <v>2.541182993263063</v>
      </c>
      <c r="AJ162" s="153">
        <f t="shared" si="265"/>
        <v>2.4749503653800469</v>
      </c>
      <c r="AL162" s="317">
        <f t="shared" si="266"/>
        <v>260</v>
      </c>
      <c r="AM162" s="147">
        <f t="shared" si="267"/>
        <v>180.93302008724305</v>
      </c>
      <c r="AO162">
        <f t="shared" si="211"/>
        <v>260</v>
      </c>
      <c r="AP162">
        <f t="shared" si="212"/>
        <v>180.93302008724305</v>
      </c>
      <c r="AR162" s="5">
        <f t="shared" si="249"/>
        <v>5.526907136783632</v>
      </c>
      <c r="AS162" s="5">
        <f t="shared" si="246"/>
        <v>2.541182993263063</v>
      </c>
      <c r="AT162" s="5">
        <f t="shared" si="247"/>
        <v>2.985724143520569</v>
      </c>
      <c r="AU162" s="153">
        <f t="shared" si="248"/>
        <v>0.45978391356542625</v>
      </c>
      <c r="AW162" s="5">
        <f t="shared" si="216"/>
        <v>4.4047171883226426</v>
      </c>
      <c r="AX162" s="5"/>
      <c r="AY162" s="5">
        <f t="shared" si="217"/>
        <v>0.82588447281049571</v>
      </c>
      <c r="AZ162" s="5"/>
      <c r="BA162" s="5">
        <f t="shared" si="218"/>
        <v>2.5902178088600203</v>
      </c>
      <c r="BB162" s="5"/>
      <c r="BC162" s="5"/>
      <c r="BD162" s="153">
        <f t="shared" si="219"/>
        <v>0.99483761828698203</v>
      </c>
      <c r="BE162" s="153">
        <f t="shared" si="220"/>
        <v>0.53917416365004267</v>
      </c>
      <c r="BF162" s="153">
        <f t="shared" si="221"/>
        <v>0.10797579329566868</v>
      </c>
      <c r="BG162" s="153"/>
      <c r="BH162" s="463">
        <f t="shared" si="222"/>
        <v>0.10886720754348064</v>
      </c>
      <c r="BI162" s="463">
        <f t="shared" si="223"/>
        <v>3.8300000000000008E-2</v>
      </c>
      <c r="BJ162" s="463">
        <f t="shared" si="224"/>
        <v>9.0466510043621523E-3</v>
      </c>
      <c r="BK162" s="463">
        <f t="shared" si="225"/>
        <v>1.129926891377853E-2</v>
      </c>
      <c r="BL162">
        <f t="shared" si="226"/>
        <v>2.6099999999999999E-3</v>
      </c>
      <c r="BM162">
        <f t="shared" si="268"/>
        <v>7.2373208034897226E-6</v>
      </c>
      <c r="BN162">
        <f t="shared" si="269"/>
        <v>0.1886159783016873</v>
      </c>
      <c r="BO162" s="147">
        <f t="shared" si="229"/>
        <v>170.12312746162135</v>
      </c>
      <c r="BP162" s="153">
        <f t="shared" si="230"/>
        <v>0.10400000000000001</v>
      </c>
      <c r="BQ162" s="153">
        <f t="shared" si="231"/>
        <v>2.0800000000000003E-2</v>
      </c>
      <c r="BR162" s="463"/>
      <c r="BT162" s="147">
        <f t="shared" si="232"/>
        <v>124.80000000000001</v>
      </c>
      <c r="BU162" s="463">
        <f t="shared" si="233"/>
        <v>8.4124660374507776E-2</v>
      </c>
      <c r="BV162" s="463">
        <f t="shared" si="234"/>
        <v>5.5234667962067371E-2</v>
      </c>
      <c r="BW162" s="463">
        <f t="shared" si="235"/>
        <v>5.8293859689144856E-4</v>
      </c>
      <c r="BX162" s="463">
        <f t="shared" si="236"/>
        <v>0</v>
      </c>
      <c r="BY162" s="463">
        <f t="shared" si="180"/>
        <v>0.15850991794537977</v>
      </c>
      <c r="BZ162" s="463">
        <f t="shared" si="250"/>
        <v>0.13994226693346662</v>
      </c>
      <c r="CA162" s="549">
        <f t="shared" si="270"/>
        <v>0.58419753086419768</v>
      </c>
      <c r="CB162" s="147">
        <f t="shared" si="238"/>
        <v>1022.5919826765106</v>
      </c>
      <c r="CC162" s="153">
        <f t="shared" si="251"/>
        <v>1.0561234271112647</v>
      </c>
      <c r="CD162" s="5">
        <f t="shared" si="239"/>
        <v>4.7320000000000002</v>
      </c>
      <c r="CE162" s="153">
        <f t="shared" si="240"/>
        <v>0.81753612541079579</v>
      </c>
      <c r="CF162" s="5">
        <f t="shared" si="241"/>
        <v>81.753612541079576</v>
      </c>
      <c r="CG162">
        <f t="shared" si="242"/>
        <v>52</v>
      </c>
      <c r="CI162" s="59">
        <f t="shared" si="271"/>
        <v>-50</v>
      </c>
      <c r="CJ162">
        <f t="shared" si="272"/>
        <v>-50</v>
      </c>
    </row>
    <row r="163" spans="5:88" x14ac:dyDescent="0.25">
      <c r="E163" s="150">
        <v>53</v>
      </c>
      <c r="F163" s="191">
        <f t="shared" si="273"/>
        <v>0.26500000000000001</v>
      </c>
      <c r="G163" s="191">
        <f t="shared" si="252"/>
        <v>5.3000000000000005E-2</v>
      </c>
      <c r="H163" s="191">
        <f t="shared" si="253"/>
        <v>3.9750000000000001</v>
      </c>
      <c r="I163" s="191">
        <f t="shared" si="254"/>
        <v>0.84800000000000009</v>
      </c>
      <c r="J163" s="472">
        <f t="shared" si="186"/>
        <v>9</v>
      </c>
      <c r="K163" s="386">
        <f t="shared" si="187"/>
        <v>7.66</v>
      </c>
      <c r="L163" s="386">
        <f t="shared" si="188"/>
        <v>16.66</v>
      </c>
      <c r="M163" s="386"/>
      <c r="N163" s="191">
        <f t="shared" si="189"/>
        <v>0.45978391356542619</v>
      </c>
      <c r="O163" s="152">
        <f t="shared" si="255"/>
        <v>6.2923449599620076</v>
      </c>
      <c r="P163" s="152">
        <f t="shared" si="256"/>
        <v>1.6287385354141657</v>
      </c>
      <c r="Q163" s="191">
        <f t="shared" si="192"/>
        <v>0.41948966399746718</v>
      </c>
      <c r="R163" s="191">
        <f t="shared" si="257"/>
        <v>0.39327155999762548</v>
      </c>
      <c r="S163" s="191">
        <f t="shared" si="258"/>
        <v>15</v>
      </c>
      <c r="T163" s="191">
        <f t="shared" si="259"/>
        <v>2.5900518969796602</v>
      </c>
      <c r="U163" s="191">
        <f t="shared" si="196"/>
        <v>2.5900518969796602</v>
      </c>
      <c r="V163" s="191">
        <f t="shared" si="197"/>
        <v>3.0431419155113502</v>
      </c>
      <c r="W163" s="175">
        <f t="shared" si="198"/>
        <v>350</v>
      </c>
      <c r="X163" s="386">
        <f t="shared" si="199"/>
        <v>177.51918951955923</v>
      </c>
      <c r="Z163" s="191">
        <f t="shared" si="200"/>
        <v>1.3136683244726464</v>
      </c>
      <c r="AA163" s="153">
        <f t="shared" si="201"/>
        <v>1.5434745326702111</v>
      </c>
      <c r="AB163" s="153">
        <f t="shared" si="260"/>
        <v>0.14622213484608731</v>
      </c>
      <c r="AC163" s="153"/>
      <c r="AD163" s="153">
        <f t="shared" si="203"/>
        <v>0.96344647519582249</v>
      </c>
      <c r="AE163" s="317">
        <f t="shared" si="261"/>
        <v>1341.7278075219779</v>
      </c>
      <c r="AF163" s="463">
        <f t="shared" si="262"/>
        <v>6.9127284595300251E-2</v>
      </c>
      <c r="AH163" s="153">
        <f t="shared" si="263"/>
        <v>1.7499206331208919</v>
      </c>
      <c r="AI163" s="153">
        <f t="shared" si="264"/>
        <v>2.5900518969796602</v>
      </c>
      <c r="AJ163" s="153">
        <f t="shared" si="265"/>
        <v>2.5111495533182673</v>
      </c>
      <c r="AL163" s="317">
        <f t="shared" si="266"/>
        <v>265</v>
      </c>
      <c r="AM163" s="147">
        <f t="shared" si="267"/>
        <v>177.51918951955923</v>
      </c>
      <c r="AO163">
        <f t="shared" si="211"/>
        <v>265</v>
      </c>
      <c r="AP163">
        <f t="shared" si="212"/>
        <v>177.51918951955923</v>
      </c>
      <c r="AR163" s="5">
        <f t="shared" si="249"/>
        <v>5.6331938124910099</v>
      </c>
      <c r="AS163" s="5">
        <f t="shared" si="246"/>
        <v>2.5900518969796602</v>
      </c>
      <c r="AT163" s="5">
        <f t="shared" si="247"/>
        <v>3.0431419155113497</v>
      </c>
      <c r="AU163" s="153">
        <f t="shared" si="248"/>
        <v>0.45978391356542619</v>
      </c>
      <c r="AW163" s="5">
        <f t="shared" si="216"/>
        <v>4.5757583513307338</v>
      </c>
      <c r="AX163" s="5"/>
      <c r="AY163" s="5">
        <f t="shared" si="217"/>
        <v>0.85795469087451248</v>
      </c>
      <c r="AZ163" s="5"/>
      <c r="BA163" s="5">
        <f t="shared" si="218"/>
        <v>2.6907994915265521</v>
      </c>
      <c r="BB163" s="5"/>
      <c r="BC163" s="5"/>
      <c r="BD163" s="153">
        <f t="shared" si="219"/>
        <v>1.0139691109463469</v>
      </c>
      <c r="BE163" s="153">
        <f t="shared" si="220"/>
        <v>0.54954289756638963</v>
      </c>
      <c r="BF163" s="153">
        <f t="shared" si="221"/>
        <v>0.11005225085904692</v>
      </c>
      <c r="BG163" s="153"/>
      <c r="BH163" s="463">
        <f t="shared" si="222"/>
        <v>0.11309466937486577</v>
      </c>
      <c r="BI163" s="463">
        <f t="shared" si="223"/>
        <v>3.8300000000000001E-2</v>
      </c>
      <c r="BJ163" s="463">
        <f t="shared" si="224"/>
        <v>8.8759594759779611E-3</v>
      </c>
      <c r="BK163" s="463">
        <f t="shared" si="225"/>
        <v>1.108607516068837E-2</v>
      </c>
      <c r="BL163">
        <f t="shared" si="226"/>
        <v>2.6099999999999999E-3</v>
      </c>
      <c r="BM163">
        <f t="shared" si="268"/>
        <v>7.1007675807823692E-6</v>
      </c>
      <c r="BN163">
        <f t="shared" si="269"/>
        <v>0.1932744432018097</v>
      </c>
      <c r="BO163" s="147">
        <f t="shared" si="229"/>
        <v>173.96670401153213</v>
      </c>
      <c r="BP163" s="153">
        <f t="shared" si="230"/>
        <v>0.10600000000000001</v>
      </c>
      <c r="BQ163" s="153">
        <f t="shared" si="231"/>
        <v>2.1200000000000004E-2</v>
      </c>
      <c r="BR163" s="463"/>
      <c r="BT163" s="147">
        <f t="shared" si="232"/>
        <v>127.2</v>
      </c>
      <c r="BU163" s="463">
        <f t="shared" si="233"/>
        <v>8.739133542603264E-2</v>
      </c>
      <c r="BV163" s="463">
        <f t="shared" si="234"/>
        <v>5.737950529047605E-2</v>
      </c>
      <c r="BW163" s="463">
        <f t="shared" si="235"/>
        <v>6.0557489595712978E-4</v>
      </c>
      <c r="BX163" s="463">
        <f t="shared" si="236"/>
        <v>0</v>
      </c>
      <c r="BY163" s="463">
        <f t="shared" si="180"/>
        <v>0.16473750128223094</v>
      </c>
      <c r="BZ163" s="463">
        <f t="shared" si="250"/>
        <v>0.14537641561246584</v>
      </c>
      <c r="CA163" s="549">
        <f t="shared" si="270"/>
        <v>0.59543209876543224</v>
      </c>
      <c r="CB163" s="147">
        <f t="shared" si="238"/>
        <v>1050.9224312725948</v>
      </c>
      <c r="CC163" s="153">
        <f t="shared" si="251"/>
        <v>1.0806440432494728</v>
      </c>
      <c r="CD163" s="5">
        <f t="shared" si="239"/>
        <v>4.8230000000000004</v>
      </c>
      <c r="CE163" s="153">
        <f t="shared" si="240"/>
        <v>0.816953048772455</v>
      </c>
      <c r="CF163" s="5">
        <f t="shared" si="241"/>
        <v>81.695304877245505</v>
      </c>
      <c r="CG163">
        <f t="shared" si="242"/>
        <v>53</v>
      </c>
      <c r="CI163" s="59">
        <f t="shared" si="271"/>
        <v>-50</v>
      </c>
      <c r="CJ163">
        <f t="shared" si="272"/>
        <v>-50</v>
      </c>
    </row>
    <row r="164" spans="5:88" x14ac:dyDescent="0.25">
      <c r="E164" s="150">
        <v>54</v>
      </c>
      <c r="F164" s="191">
        <f t="shared" si="273"/>
        <v>0.27</v>
      </c>
      <c r="G164" s="191">
        <f t="shared" si="252"/>
        <v>5.4000000000000006E-2</v>
      </c>
      <c r="H164" s="191">
        <f t="shared" si="253"/>
        <v>4.0500000000000007</v>
      </c>
      <c r="I164" s="191">
        <f t="shared" si="254"/>
        <v>0.8640000000000001</v>
      </c>
      <c r="J164" s="472">
        <f t="shared" si="186"/>
        <v>9</v>
      </c>
      <c r="K164" s="386">
        <f t="shared" si="187"/>
        <v>7.66</v>
      </c>
      <c r="L164" s="386">
        <f t="shared" si="188"/>
        <v>16.66</v>
      </c>
      <c r="M164" s="386"/>
      <c r="N164" s="191">
        <f t="shared" si="189"/>
        <v>0.45978391356542619</v>
      </c>
      <c r="O164" s="152">
        <f t="shared" si="255"/>
        <v>6.2923449599620076</v>
      </c>
      <c r="P164" s="152">
        <f t="shared" si="256"/>
        <v>1.6287385354141657</v>
      </c>
      <c r="Q164" s="191">
        <f t="shared" si="192"/>
        <v>0.41948966399746718</v>
      </c>
      <c r="R164" s="191">
        <f t="shared" si="257"/>
        <v>0.39327155999762548</v>
      </c>
      <c r="S164" s="191">
        <f t="shared" si="258"/>
        <v>15</v>
      </c>
      <c r="T164" s="191">
        <f t="shared" si="259"/>
        <v>2.6389208006962579</v>
      </c>
      <c r="U164" s="191">
        <f t="shared" si="196"/>
        <v>2.6389208006962579</v>
      </c>
      <c r="V164" s="191">
        <f t="shared" si="197"/>
        <v>3.1005596875021308</v>
      </c>
      <c r="W164" s="175">
        <f t="shared" si="198"/>
        <v>350</v>
      </c>
      <c r="X164" s="386">
        <f t="shared" si="199"/>
        <v>174.23179712104883</v>
      </c>
      <c r="Z164" s="191">
        <f t="shared" si="200"/>
        <v>1.3136683244726464</v>
      </c>
      <c r="AA164" s="153">
        <f t="shared" si="201"/>
        <v>1.5434745326702111</v>
      </c>
      <c r="AB164" s="153">
        <f t="shared" si="260"/>
        <v>0.14622213484608731</v>
      </c>
      <c r="AC164" s="153"/>
      <c r="AD164" s="153">
        <f t="shared" si="203"/>
        <v>0.96344647519582249</v>
      </c>
      <c r="AE164" s="317">
        <f t="shared" si="261"/>
        <v>1367.0434265318265</v>
      </c>
      <c r="AF164" s="463">
        <f t="shared" si="262"/>
        <v>6.9127284595300251E-2</v>
      </c>
      <c r="AH164" s="153">
        <f t="shared" si="263"/>
        <v>1.7663521732655696</v>
      </c>
      <c r="AI164" s="153">
        <f t="shared" si="264"/>
        <v>2.6389208006962579</v>
      </c>
      <c r="AJ164" s="153">
        <f t="shared" si="265"/>
        <v>2.5473487412564877</v>
      </c>
      <c r="AL164" s="317">
        <f t="shared" si="266"/>
        <v>270</v>
      </c>
      <c r="AM164" s="147">
        <f t="shared" si="267"/>
        <v>174.23179712104883</v>
      </c>
      <c r="AO164">
        <f t="shared" si="211"/>
        <v>270</v>
      </c>
      <c r="AP164">
        <f t="shared" si="212"/>
        <v>174.23179712104883</v>
      </c>
      <c r="AR164" s="5">
        <f t="shared" si="249"/>
        <v>5.7394804881983887</v>
      </c>
      <c r="AS164" s="5">
        <f t="shared" si="246"/>
        <v>2.6389208006962579</v>
      </c>
      <c r="AT164" s="5">
        <f t="shared" si="247"/>
        <v>3.1005596875021308</v>
      </c>
      <c r="AU164" s="153">
        <f t="shared" si="248"/>
        <v>0.45978391356542614</v>
      </c>
      <c r="AW164" s="5">
        <f t="shared" si="216"/>
        <v>4.7500574412532641</v>
      </c>
      <c r="AX164" s="5"/>
      <c r="AY164" s="5">
        <f t="shared" si="217"/>
        <v>0.89063577023498708</v>
      </c>
      <c r="AZ164" s="5"/>
      <c r="BA164" s="5">
        <f t="shared" si="218"/>
        <v>2.7932970157676862</v>
      </c>
      <c r="BB164" s="5"/>
      <c r="BC164" s="5"/>
      <c r="BD164" s="153">
        <f t="shared" si="219"/>
        <v>1.033100603605712</v>
      </c>
      <c r="BE164" s="153">
        <f t="shared" si="220"/>
        <v>0.5599116314827367</v>
      </c>
      <c r="BF164" s="153">
        <f t="shared" si="221"/>
        <v>0.1121287084224252</v>
      </c>
      <c r="BG164" s="153"/>
      <c r="BH164" s="463">
        <f t="shared" si="222"/>
        <v>0.1174026542887535</v>
      </c>
      <c r="BI164" s="463">
        <f t="shared" si="223"/>
        <v>3.8300000000000001E-2</v>
      </c>
      <c r="BJ164" s="463">
        <f t="shared" si="224"/>
        <v>8.7115898560524412E-3</v>
      </c>
      <c r="BK164" s="463">
        <f t="shared" si="225"/>
        <v>1.0880777472527471E-2</v>
      </c>
      <c r="BL164">
        <f t="shared" si="226"/>
        <v>2.6099999999999999E-3</v>
      </c>
      <c r="BM164">
        <f t="shared" si="268"/>
        <v>6.9692718848419529E-6</v>
      </c>
      <c r="BN164">
        <f t="shared" si="269"/>
        <v>0.19805129670925475</v>
      </c>
      <c r="BO164" s="147">
        <f t="shared" si="229"/>
        <v>177.90502161733343</v>
      </c>
      <c r="BP164" s="153">
        <f t="shared" si="230"/>
        <v>0.10800000000000001</v>
      </c>
      <c r="BQ164" s="153">
        <f t="shared" si="231"/>
        <v>2.1600000000000005E-2</v>
      </c>
      <c r="BR164" s="463"/>
      <c r="BT164" s="147">
        <f t="shared" si="232"/>
        <v>129.60000000000002</v>
      </c>
      <c r="BU164" s="463">
        <f t="shared" si="233"/>
        <v>9.0720232859491351E-2</v>
      </c>
      <c r="BV164" s="463">
        <f t="shared" si="234"/>
        <v>5.9565196663235384E-2</v>
      </c>
      <c r="BW164" s="463">
        <f t="shared" si="235"/>
        <v>6.286423626240624E-4</v>
      </c>
      <c r="BX164" s="463">
        <f t="shared" si="236"/>
        <v>0</v>
      </c>
      <c r="BY164" s="463">
        <f t="shared" si="180"/>
        <v>0.1710893436723761</v>
      </c>
      <c r="BZ164" s="463">
        <f t="shared" si="250"/>
        <v>0.15091407188535078</v>
      </c>
      <c r="CA164" s="549">
        <f t="shared" si="270"/>
        <v>0.60666666666666669</v>
      </c>
      <c r="CB164" s="147">
        <f t="shared" si="238"/>
        <v>1079.5841541097443</v>
      </c>
      <c r="CC164" s="153">
        <f t="shared" si="251"/>
        <v>1.1054073070482975</v>
      </c>
      <c r="CD164" s="5">
        <f t="shared" si="239"/>
        <v>4.9140000000000006</v>
      </c>
      <c r="CE164" s="153">
        <f t="shared" si="240"/>
        <v>0.81635944360270418</v>
      </c>
      <c r="CF164" s="5">
        <f t="shared" si="241"/>
        <v>81.635944360270415</v>
      </c>
      <c r="CG164">
        <f t="shared" si="242"/>
        <v>54</v>
      </c>
      <c r="CI164" s="59">
        <f t="shared" si="271"/>
        <v>-50</v>
      </c>
      <c r="CJ164">
        <f t="shared" si="272"/>
        <v>-50</v>
      </c>
    </row>
    <row r="165" spans="5:88" x14ac:dyDescent="0.25">
      <c r="E165" s="150">
        <v>55</v>
      </c>
      <c r="F165" s="191">
        <f t="shared" si="273"/>
        <v>0.27500000000000002</v>
      </c>
      <c r="G165" s="191">
        <f t="shared" si="252"/>
        <v>5.5000000000000007E-2</v>
      </c>
      <c r="H165" s="191">
        <f t="shared" si="253"/>
        <v>4.125</v>
      </c>
      <c r="I165" s="191">
        <f t="shared" si="254"/>
        <v>0.88000000000000012</v>
      </c>
      <c r="J165" s="472">
        <f t="shared" si="186"/>
        <v>9</v>
      </c>
      <c r="K165" s="386">
        <f t="shared" si="187"/>
        <v>7.66</v>
      </c>
      <c r="L165" s="386">
        <f t="shared" si="188"/>
        <v>16.66</v>
      </c>
      <c r="M165" s="386"/>
      <c r="N165" s="191">
        <f t="shared" si="189"/>
        <v>0.45978391356542619</v>
      </c>
      <c r="O165" s="152">
        <f t="shared" si="255"/>
        <v>6.2923449599620076</v>
      </c>
      <c r="P165" s="152">
        <f t="shared" si="256"/>
        <v>1.6287385354141657</v>
      </c>
      <c r="Q165" s="191">
        <f t="shared" si="192"/>
        <v>0.41948966399746718</v>
      </c>
      <c r="R165" s="191">
        <f t="shared" si="257"/>
        <v>0.39327155999762548</v>
      </c>
      <c r="S165" s="191">
        <f t="shared" si="258"/>
        <v>15</v>
      </c>
      <c r="T165" s="191">
        <f t="shared" si="259"/>
        <v>2.6877897044128547</v>
      </c>
      <c r="U165" s="191">
        <f t="shared" si="196"/>
        <v>2.6877897044128547</v>
      </c>
      <c r="V165" s="191">
        <f t="shared" si="197"/>
        <v>3.1579774594929102</v>
      </c>
      <c r="W165" s="175">
        <f t="shared" si="198"/>
        <v>350</v>
      </c>
      <c r="X165" s="386">
        <f t="shared" si="199"/>
        <v>171.06394626430256</v>
      </c>
      <c r="Z165" s="191">
        <f t="shared" si="200"/>
        <v>1.3136683244726464</v>
      </c>
      <c r="AA165" s="153">
        <f t="shared" si="201"/>
        <v>1.5434745326702111</v>
      </c>
      <c r="AB165" s="153">
        <f t="shared" si="260"/>
        <v>0.14622213484608731</v>
      </c>
      <c r="AC165" s="153"/>
      <c r="AD165" s="153">
        <f t="shared" si="203"/>
        <v>0.96344647519582249</v>
      </c>
      <c r="AE165" s="317">
        <f t="shared" si="261"/>
        <v>1392.3590455416752</v>
      </c>
      <c r="AF165" s="463">
        <f t="shared" si="262"/>
        <v>6.9127284595300251E-2</v>
      </c>
      <c r="AH165" s="153">
        <f t="shared" si="263"/>
        <v>1.7826322609494583</v>
      </c>
      <c r="AI165" s="153">
        <f t="shared" si="264"/>
        <v>2.6877897044128547</v>
      </c>
      <c r="AJ165" s="153">
        <f t="shared" si="265"/>
        <v>2.5835479291947072</v>
      </c>
      <c r="AL165" s="317">
        <f t="shared" si="266"/>
        <v>275</v>
      </c>
      <c r="AM165" s="147">
        <f t="shared" si="267"/>
        <v>171.06394626430256</v>
      </c>
      <c r="AO165">
        <f t="shared" si="211"/>
        <v>275</v>
      </c>
      <c r="AP165">
        <f t="shared" si="212"/>
        <v>171.06394626430256</v>
      </c>
      <c r="AR165" s="5">
        <f t="shared" si="249"/>
        <v>5.845767163905764</v>
      </c>
      <c r="AS165" s="5">
        <f t="shared" si="246"/>
        <v>2.6877897044128547</v>
      </c>
      <c r="AT165" s="5">
        <f t="shared" si="247"/>
        <v>3.1579774594929093</v>
      </c>
      <c r="AU165" s="153">
        <f t="shared" si="248"/>
        <v>0.45978391356542625</v>
      </c>
      <c r="AW165" s="5">
        <f t="shared" si="216"/>
        <v>4.9276144580902344</v>
      </c>
      <c r="AX165" s="5"/>
      <c r="AY165" s="5">
        <f t="shared" si="217"/>
        <v>0.92392771089191883</v>
      </c>
      <c r="AZ165" s="5"/>
      <c r="BA165" s="5">
        <f t="shared" si="218"/>
        <v>2.897710381583416</v>
      </c>
      <c r="BB165" s="5"/>
      <c r="BC165" s="5"/>
      <c r="BD165" s="153">
        <f t="shared" si="219"/>
        <v>1.0522320962650771</v>
      </c>
      <c r="BE165" s="153">
        <f t="shared" si="220"/>
        <v>0.57028036539908344</v>
      </c>
      <c r="BF165" s="153">
        <f t="shared" si="221"/>
        <v>0.11420516598580341</v>
      </c>
      <c r="BG165" s="153"/>
      <c r="BH165" s="463">
        <f t="shared" si="222"/>
        <v>0.12179116228514382</v>
      </c>
      <c r="BI165" s="463">
        <f t="shared" si="223"/>
        <v>3.8300000000000008E-2</v>
      </c>
      <c r="BJ165" s="463">
        <f t="shared" si="224"/>
        <v>8.5531973132151277E-3</v>
      </c>
      <c r="BK165" s="463">
        <f t="shared" si="225"/>
        <v>1.0682945154845159E-2</v>
      </c>
      <c r="BL165">
        <f t="shared" si="226"/>
        <v>2.6099999999999999E-3</v>
      </c>
      <c r="BM165">
        <f t="shared" si="268"/>
        <v>6.8425578505721027E-6</v>
      </c>
      <c r="BN165">
        <f t="shared" si="269"/>
        <v>0.20294625176819539</v>
      </c>
      <c r="BO165" s="147">
        <f t="shared" si="229"/>
        <v>181.93730475320413</v>
      </c>
      <c r="BP165" s="153">
        <f t="shared" si="230"/>
        <v>0.11000000000000001</v>
      </c>
      <c r="BQ165" s="153">
        <f t="shared" si="231"/>
        <v>2.2000000000000006E-2</v>
      </c>
      <c r="BR165" s="463"/>
      <c r="BT165" s="147">
        <f t="shared" si="232"/>
        <v>132</v>
      </c>
      <c r="BU165" s="463">
        <f t="shared" si="233"/>
        <v>9.4111352674883866E-2</v>
      </c>
      <c r="BV165" s="463">
        <f t="shared" si="234"/>
        <v>6.1791742080345304E-2</v>
      </c>
      <c r="BW165" s="463">
        <f t="shared" si="235"/>
        <v>6.5214099689224546E-4</v>
      </c>
      <c r="BX165" s="463">
        <f t="shared" si="236"/>
        <v>0</v>
      </c>
      <c r="BY165" s="463">
        <f t="shared" ref="BY165:BY210" si="274">(BX165+(BU165+BV165+BW165)*(1+Ltc*(Ta-25)))/(1-(BU165+BV165+BW165)*Ltc*ThetaCa)</f>
        <v>0.17756577214798688</v>
      </c>
      <c r="BZ165" s="463">
        <f t="shared" si="250"/>
        <v>0.15655523575212144</v>
      </c>
      <c r="CA165" s="549">
        <f t="shared" si="270"/>
        <v>0.61790123456790136</v>
      </c>
      <c r="CB165" s="147">
        <f t="shared" si="238"/>
        <v>1108.5774782201313</v>
      </c>
      <c r="CC165" s="153">
        <f t="shared" si="251"/>
        <v>1.1304132584840838</v>
      </c>
      <c r="CD165" s="5">
        <f t="shared" si="239"/>
        <v>5.0049999999999999</v>
      </c>
      <c r="CE165" s="153">
        <f t="shared" si="240"/>
        <v>0.81575597097376573</v>
      </c>
      <c r="CF165" s="5">
        <f t="shared" si="241"/>
        <v>81.575597097376573</v>
      </c>
      <c r="CG165">
        <f t="shared" si="242"/>
        <v>55.000000000000007</v>
      </c>
      <c r="CI165" s="59">
        <f t="shared" si="271"/>
        <v>-50</v>
      </c>
      <c r="CJ165">
        <f t="shared" si="272"/>
        <v>-50</v>
      </c>
    </row>
    <row r="166" spans="5:88" x14ac:dyDescent="0.25">
      <c r="E166" s="150">
        <v>56</v>
      </c>
      <c r="F166" s="191">
        <f t="shared" si="273"/>
        <v>0.28000000000000003</v>
      </c>
      <c r="G166" s="191">
        <f t="shared" si="252"/>
        <v>5.6000000000000008E-2</v>
      </c>
      <c r="H166" s="191">
        <f t="shared" si="253"/>
        <v>4.2</v>
      </c>
      <c r="I166" s="191">
        <f t="shared" si="254"/>
        <v>0.89600000000000013</v>
      </c>
      <c r="J166" s="472">
        <f t="shared" si="186"/>
        <v>9</v>
      </c>
      <c r="K166" s="386">
        <f t="shared" si="187"/>
        <v>7.66</v>
      </c>
      <c r="L166" s="386">
        <f t="shared" si="188"/>
        <v>16.66</v>
      </c>
      <c r="M166" s="386"/>
      <c r="N166" s="191">
        <f t="shared" si="189"/>
        <v>0.45978391356542619</v>
      </c>
      <c r="O166" s="152">
        <f t="shared" si="255"/>
        <v>6.2923449599620076</v>
      </c>
      <c r="P166" s="152">
        <f t="shared" si="256"/>
        <v>1.6287385354141657</v>
      </c>
      <c r="Q166" s="191">
        <f t="shared" si="192"/>
        <v>0.41948966399746718</v>
      </c>
      <c r="R166" s="191">
        <f t="shared" si="257"/>
        <v>0.39327155999762548</v>
      </c>
      <c r="S166" s="191">
        <f t="shared" si="258"/>
        <v>15</v>
      </c>
      <c r="T166" s="191">
        <f t="shared" si="259"/>
        <v>2.7366586081294524</v>
      </c>
      <c r="U166" s="191">
        <f t="shared" si="196"/>
        <v>2.7366586081294528</v>
      </c>
      <c r="V166" s="191">
        <f t="shared" si="197"/>
        <v>3.2153952314836909</v>
      </c>
      <c r="W166" s="175">
        <f t="shared" si="198"/>
        <v>350</v>
      </c>
      <c r="X166" s="386">
        <f t="shared" si="199"/>
        <v>168.00923293815424</v>
      </c>
      <c r="Z166" s="191">
        <f t="shared" si="200"/>
        <v>1.3136683244726464</v>
      </c>
      <c r="AA166" s="153">
        <f t="shared" si="201"/>
        <v>1.5434745326702111</v>
      </c>
      <c r="AB166" s="153">
        <f t="shared" si="260"/>
        <v>0.14622213484608731</v>
      </c>
      <c r="AC166" s="153"/>
      <c r="AD166" s="153">
        <f t="shared" si="203"/>
        <v>0.96344647519582249</v>
      </c>
      <c r="AE166" s="317">
        <f t="shared" si="261"/>
        <v>1417.6746645515238</v>
      </c>
      <c r="AF166" s="463">
        <f t="shared" si="262"/>
        <v>6.9127284595300251E-2</v>
      </c>
      <c r="AH166" s="153">
        <f t="shared" si="263"/>
        <v>1.7987650084309388</v>
      </c>
      <c r="AI166" s="153">
        <f t="shared" si="264"/>
        <v>2.7366586081294524</v>
      </c>
      <c r="AJ166" s="153">
        <f t="shared" si="265"/>
        <v>2.6197471171329276</v>
      </c>
      <c r="AL166" s="317">
        <f t="shared" si="266"/>
        <v>280</v>
      </c>
      <c r="AM166" s="147">
        <f t="shared" si="267"/>
        <v>168.00923293815424</v>
      </c>
      <c r="AO166">
        <f t="shared" si="211"/>
        <v>280</v>
      </c>
      <c r="AP166">
        <f t="shared" si="212"/>
        <v>168.00923293815424</v>
      </c>
      <c r="AR166" s="5">
        <f t="shared" si="249"/>
        <v>5.9520538396131437</v>
      </c>
      <c r="AS166" s="5">
        <f t="shared" si="246"/>
        <v>2.7366586081294528</v>
      </c>
      <c r="AT166" s="5">
        <f t="shared" si="247"/>
        <v>3.2153952314836909</v>
      </c>
      <c r="AU166" s="153">
        <f t="shared" si="248"/>
        <v>0.45978391356542619</v>
      </c>
      <c r="AW166" s="5">
        <f t="shared" si="216"/>
        <v>5.1084294018416454</v>
      </c>
      <c r="AX166" s="5"/>
      <c r="AY166" s="5">
        <f t="shared" si="217"/>
        <v>0.95783051284530851</v>
      </c>
      <c r="AZ166" s="5"/>
      <c r="BA166" s="5">
        <f t="shared" si="218"/>
        <v>3.0040395889737521</v>
      </c>
      <c r="BB166" s="5"/>
      <c r="BC166" s="5"/>
      <c r="BD166" s="153">
        <f t="shared" si="219"/>
        <v>1.0713635889244419</v>
      </c>
      <c r="BE166" s="153">
        <f t="shared" si="220"/>
        <v>0.58064909931543052</v>
      </c>
      <c r="BF166" s="153">
        <f t="shared" si="221"/>
        <v>0.11628162354918166</v>
      </c>
      <c r="BG166" s="153"/>
      <c r="BH166" s="463">
        <f t="shared" si="222"/>
        <v>0.12626019336403668</v>
      </c>
      <c r="BI166" s="463">
        <f t="shared" si="223"/>
        <v>3.8300000000000001E-2</v>
      </c>
      <c r="BJ166" s="463">
        <f t="shared" si="224"/>
        <v>8.4004616469077129E-3</v>
      </c>
      <c r="BK166" s="463">
        <f t="shared" si="225"/>
        <v>1.0492178277080062E-2</v>
      </c>
      <c r="BL166">
        <f t="shared" si="226"/>
        <v>2.6099999999999999E-3</v>
      </c>
      <c r="BM166">
        <f t="shared" si="268"/>
        <v>6.7203693175261697E-6</v>
      </c>
      <c r="BN166">
        <f t="shared" si="269"/>
        <v>0.20795908789429052</v>
      </c>
      <c r="BO166" s="147">
        <f t="shared" si="229"/>
        <v>186.06283328802448</v>
      </c>
      <c r="BP166" s="153">
        <f t="shared" si="230"/>
        <v>0.11200000000000002</v>
      </c>
      <c r="BQ166" s="153">
        <f t="shared" si="231"/>
        <v>2.2400000000000003E-2</v>
      </c>
      <c r="BR166" s="463"/>
      <c r="BT166" s="147">
        <f t="shared" si="232"/>
        <v>134.4</v>
      </c>
      <c r="BU166" s="463">
        <f t="shared" si="233"/>
        <v>9.7564694872210159E-2</v>
      </c>
      <c r="BV166" s="463">
        <f t="shared" si="234"/>
        <v>6.4059141541805933E-2</v>
      </c>
      <c r="BW166" s="463">
        <f t="shared" si="235"/>
        <v>6.7607079876168003E-4</v>
      </c>
      <c r="BX166" s="463">
        <f t="shared" si="236"/>
        <v>0</v>
      </c>
      <c r="BY166" s="463">
        <f t="shared" si="274"/>
        <v>0.18416712060518031</v>
      </c>
      <c r="BZ166" s="463">
        <f t="shared" si="250"/>
        <v>0.16229990721277776</v>
      </c>
      <c r="CA166" s="549">
        <f t="shared" si="270"/>
        <v>0.62913580246913581</v>
      </c>
      <c r="CB166" s="147">
        <f t="shared" si="238"/>
        <v>1137.9027374998716</v>
      </c>
      <c r="CC166" s="153">
        <f t="shared" si="251"/>
        <v>1.1556620109686067</v>
      </c>
      <c r="CD166" s="5">
        <f t="shared" si="239"/>
        <v>5.0960000000000001</v>
      </c>
      <c r="CE166" s="153">
        <f t="shared" si="240"/>
        <v>0.81514323568021019</v>
      </c>
      <c r="CF166" s="5">
        <f t="shared" si="241"/>
        <v>81.514323568021013</v>
      </c>
      <c r="CG166">
        <f t="shared" si="242"/>
        <v>56.000000000000007</v>
      </c>
      <c r="CI166" s="59">
        <f t="shared" si="271"/>
        <v>-50</v>
      </c>
      <c r="CJ166">
        <f t="shared" si="272"/>
        <v>-50</v>
      </c>
    </row>
    <row r="167" spans="5:88" x14ac:dyDescent="0.25">
      <c r="E167" s="150">
        <v>57</v>
      </c>
      <c r="F167" s="191">
        <f t="shared" si="273"/>
        <v>0.28499999999999998</v>
      </c>
      <c r="G167" s="191">
        <f t="shared" si="252"/>
        <v>5.6999999999999995E-2</v>
      </c>
      <c r="H167" s="191">
        <f t="shared" si="253"/>
        <v>4.2749999999999995</v>
      </c>
      <c r="I167" s="191">
        <f t="shared" si="254"/>
        <v>0.91199999999999992</v>
      </c>
      <c r="J167" s="472">
        <f t="shared" si="186"/>
        <v>9</v>
      </c>
      <c r="K167" s="386">
        <f t="shared" si="187"/>
        <v>7.66</v>
      </c>
      <c r="L167" s="386">
        <f t="shared" si="188"/>
        <v>16.66</v>
      </c>
      <c r="M167" s="386"/>
      <c r="N167" s="191">
        <f t="shared" si="189"/>
        <v>0.45978391356542619</v>
      </c>
      <c r="O167" s="152">
        <f t="shared" si="255"/>
        <v>6.2923449599620076</v>
      </c>
      <c r="P167" s="152">
        <f t="shared" si="256"/>
        <v>1.6287385354141657</v>
      </c>
      <c r="Q167" s="191">
        <f t="shared" si="192"/>
        <v>0.41948966399746718</v>
      </c>
      <c r="R167" s="191">
        <f t="shared" si="257"/>
        <v>0.39327155999762548</v>
      </c>
      <c r="S167" s="191">
        <f t="shared" si="258"/>
        <v>15</v>
      </c>
      <c r="T167" s="191">
        <f t="shared" si="259"/>
        <v>2.7855275118460492</v>
      </c>
      <c r="U167" s="191">
        <f t="shared" si="196"/>
        <v>2.7855275118460492</v>
      </c>
      <c r="V167" s="191">
        <f t="shared" si="197"/>
        <v>3.2728130034744702</v>
      </c>
      <c r="W167" s="175">
        <f t="shared" si="198"/>
        <v>350</v>
      </c>
      <c r="X167" s="386">
        <f t="shared" si="199"/>
        <v>165.06170253573052</v>
      </c>
      <c r="Z167" s="191">
        <f t="shared" si="200"/>
        <v>1.3136683244726464</v>
      </c>
      <c r="AA167" s="153">
        <f t="shared" si="201"/>
        <v>1.5434745326702111</v>
      </c>
      <c r="AB167" s="153">
        <f t="shared" si="260"/>
        <v>0.14622213484608731</v>
      </c>
      <c r="AC167" s="153"/>
      <c r="AD167" s="153">
        <f t="shared" si="203"/>
        <v>0.96344647519582249</v>
      </c>
      <c r="AE167" s="317">
        <f t="shared" si="261"/>
        <v>1442.9902835613723</v>
      </c>
      <c r="AF167" s="463">
        <f t="shared" si="262"/>
        <v>6.9127284595300251E-2</v>
      </c>
      <c r="AH167" s="153">
        <f t="shared" si="263"/>
        <v>1.8147543451754933</v>
      </c>
      <c r="AI167" s="153">
        <f t="shared" si="264"/>
        <v>2.7855275118460492</v>
      </c>
      <c r="AJ167" s="153">
        <f t="shared" si="265"/>
        <v>2.6559463050711476</v>
      </c>
      <c r="AL167" s="317">
        <f t="shared" si="266"/>
        <v>285</v>
      </c>
      <c r="AM167" s="147">
        <f t="shared" si="267"/>
        <v>165.06170253573052</v>
      </c>
      <c r="AO167">
        <f t="shared" si="211"/>
        <v>285</v>
      </c>
      <c r="AP167">
        <f t="shared" si="212"/>
        <v>165.06170253573052</v>
      </c>
      <c r="AR167" s="5">
        <f t="shared" si="249"/>
        <v>6.0583405153205208</v>
      </c>
      <c r="AS167" s="5">
        <f t="shared" si="246"/>
        <v>2.7855275118460492</v>
      </c>
      <c r="AT167" s="5">
        <f t="shared" si="247"/>
        <v>3.2728130034744716</v>
      </c>
      <c r="AU167" s="153">
        <f t="shared" si="248"/>
        <v>0.45978391356542608</v>
      </c>
      <c r="AW167" s="5">
        <f t="shared" si="216"/>
        <v>5.2925022725074928</v>
      </c>
      <c r="AX167" s="5"/>
      <c r="AY167" s="5">
        <f t="shared" si="217"/>
        <v>0.99234417609515502</v>
      </c>
      <c r="AZ167" s="5"/>
      <c r="BA167" s="5">
        <f t="shared" si="218"/>
        <v>3.1122846379386857</v>
      </c>
      <c r="BB167" s="5"/>
      <c r="BC167" s="5"/>
      <c r="BD167" s="153">
        <f t="shared" si="219"/>
        <v>1.0904950815838068</v>
      </c>
      <c r="BE167" s="153">
        <f t="shared" si="220"/>
        <v>0.59101783323177748</v>
      </c>
      <c r="BF167" s="153">
        <f t="shared" si="221"/>
        <v>0.1183580811125599</v>
      </c>
      <c r="BG167" s="153"/>
      <c r="BH167" s="463">
        <f t="shared" si="222"/>
        <v>0.13080974752543206</v>
      </c>
      <c r="BI167" s="463">
        <f t="shared" si="223"/>
        <v>3.8299999999999994E-2</v>
      </c>
      <c r="BJ167" s="463">
        <f t="shared" si="224"/>
        <v>8.253085126786526E-3</v>
      </c>
      <c r="BK167" s="463">
        <f t="shared" si="225"/>
        <v>1.0308104973973397E-2</v>
      </c>
      <c r="BL167">
        <f t="shared" si="226"/>
        <v>2.6099999999999999E-3</v>
      </c>
      <c r="BM167">
        <f t="shared" si="268"/>
        <v>6.6024681014292205E-6</v>
      </c>
      <c r="BN167">
        <f t="shared" si="269"/>
        <v>0.21308964643616207</v>
      </c>
      <c r="BO167" s="147">
        <f t="shared" si="229"/>
        <v>190.28093762619196</v>
      </c>
      <c r="BP167" s="153">
        <f t="shared" si="230"/>
        <v>0.11399999999999999</v>
      </c>
      <c r="BQ167" s="153">
        <f t="shared" si="231"/>
        <v>2.2800000000000001E-2</v>
      </c>
      <c r="BR167" s="463"/>
      <c r="BT167" s="147">
        <f t="shared" si="232"/>
        <v>136.79999999999998</v>
      </c>
      <c r="BU167" s="463">
        <f t="shared" si="233"/>
        <v>0.10108025945147024</v>
      </c>
      <c r="BV167" s="463">
        <f t="shared" si="234"/>
        <v>6.636739504761717E-2</v>
      </c>
      <c r="BW167" s="463">
        <f t="shared" si="235"/>
        <v>7.0043176823236537E-4</v>
      </c>
      <c r="BX167" s="463">
        <f t="shared" si="236"/>
        <v>0</v>
      </c>
      <c r="BY167" s="463">
        <f t="shared" si="274"/>
        <v>0.19089372984774447</v>
      </c>
      <c r="BZ167" s="463">
        <f t="shared" si="250"/>
        <v>0.16814808626731978</v>
      </c>
      <c r="CA167" s="549">
        <f t="shared" si="270"/>
        <v>0.64037037037037037</v>
      </c>
      <c r="CB167" s="147">
        <f t="shared" si="238"/>
        <v>1167.5602727527546</v>
      </c>
      <c r="CC167" s="153">
        <f t="shared" si="251"/>
        <v>1.1811537466542767</v>
      </c>
      <c r="CD167" s="5">
        <f t="shared" si="239"/>
        <v>5.1869999999999994</v>
      </c>
      <c r="CE167" s="153">
        <f t="shared" si="240"/>
        <v>0.81452179177130657</v>
      </c>
      <c r="CF167" s="5">
        <f t="shared" si="241"/>
        <v>81.45217917713066</v>
      </c>
      <c r="CG167">
        <f t="shared" si="242"/>
        <v>56.999999999999993</v>
      </c>
      <c r="CI167" s="59">
        <f t="shared" si="271"/>
        <v>-50</v>
      </c>
      <c r="CJ167">
        <f t="shared" si="272"/>
        <v>-50</v>
      </c>
    </row>
    <row r="168" spans="5:88" x14ac:dyDescent="0.25">
      <c r="E168" s="150">
        <v>58</v>
      </c>
      <c r="F168" s="191">
        <f t="shared" si="273"/>
        <v>0.28999999999999998</v>
      </c>
      <c r="G168" s="191">
        <f t="shared" si="252"/>
        <v>5.7999999999999996E-2</v>
      </c>
      <c r="H168" s="191">
        <f t="shared" si="253"/>
        <v>4.3499999999999996</v>
      </c>
      <c r="I168" s="191">
        <f t="shared" si="254"/>
        <v>0.92799999999999994</v>
      </c>
      <c r="J168" s="472">
        <f t="shared" si="186"/>
        <v>9</v>
      </c>
      <c r="K168" s="386">
        <f t="shared" si="187"/>
        <v>7.66</v>
      </c>
      <c r="L168" s="386">
        <f t="shared" si="188"/>
        <v>16.66</v>
      </c>
      <c r="M168" s="386"/>
      <c r="N168" s="191">
        <f t="shared" si="189"/>
        <v>0.45978391356542619</v>
      </c>
      <c r="O168" s="152">
        <f t="shared" si="255"/>
        <v>6.2923449599620076</v>
      </c>
      <c r="P168" s="152">
        <f t="shared" si="256"/>
        <v>1.6287385354141657</v>
      </c>
      <c r="Q168" s="191">
        <f t="shared" si="192"/>
        <v>0.41948966399746718</v>
      </c>
      <c r="R168" s="191">
        <f t="shared" si="257"/>
        <v>0.39327155999762548</v>
      </c>
      <c r="S168" s="191">
        <f t="shared" si="258"/>
        <v>15</v>
      </c>
      <c r="T168" s="191">
        <f t="shared" si="259"/>
        <v>2.8343964155626469</v>
      </c>
      <c r="U168" s="191">
        <f t="shared" si="196"/>
        <v>2.8343964155626469</v>
      </c>
      <c r="V168" s="191">
        <f t="shared" si="197"/>
        <v>3.3302307754652509</v>
      </c>
      <c r="W168" s="175">
        <f t="shared" si="198"/>
        <v>350</v>
      </c>
      <c r="X168" s="386">
        <f t="shared" si="199"/>
        <v>162.21581111270066</v>
      </c>
      <c r="Z168" s="191">
        <f t="shared" si="200"/>
        <v>1.3136683244726464</v>
      </c>
      <c r="AA168" s="153">
        <f t="shared" si="201"/>
        <v>1.5434745326702111</v>
      </c>
      <c r="AB168" s="153">
        <f t="shared" si="260"/>
        <v>0.14622213484608731</v>
      </c>
      <c r="AC168" s="153"/>
      <c r="AD168" s="153">
        <f t="shared" si="203"/>
        <v>0.96344647519582249</v>
      </c>
      <c r="AE168" s="317">
        <f t="shared" si="261"/>
        <v>1468.3059025712209</v>
      </c>
      <c r="AF168" s="463">
        <f t="shared" si="262"/>
        <v>6.9127284595300251E-2</v>
      </c>
      <c r="AH168" s="153">
        <f t="shared" si="263"/>
        <v>1.8306040290327974</v>
      </c>
      <c r="AI168" s="153">
        <f t="shared" si="264"/>
        <v>2.8343964155626469</v>
      </c>
      <c r="AJ168" s="153">
        <f t="shared" si="265"/>
        <v>2.6921454930093685</v>
      </c>
      <c r="AL168" s="317">
        <f t="shared" si="266"/>
        <v>290</v>
      </c>
      <c r="AM168" s="147">
        <f t="shared" si="267"/>
        <v>162.21581111270066</v>
      </c>
      <c r="AO168">
        <f t="shared" si="211"/>
        <v>290</v>
      </c>
      <c r="AP168">
        <f t="shared" si="212"/>
        <v>162.21581111270066</v>
      </c>
      <c r="AR168" s="5">
        <f t="shared" si="249"/>
        <v>6.1646271910278978</v>
      </c>
      <c r="AS168" s="5">
        <f t="shared" si="246"/>
        <v>2.8343964155626469</v>
      </c>
      <c r="AT168" s="5">
        <f t="shared" si="247"/>
        <v>3.3302307754652509</v>
      </c>
      <c r="AU168" s="153">
        <f t="shared" si="248"/>
        <v>0.45978391356542619</v>
      </c>
      <c r="AW168" s="5">
        <f t="shared" si="216"/>
        <v>5.4798330700877838</v>
      </c>
      <c r="AX168" s="5"/>
      <c r="AY168" s="5">
        <f t="shared" si="217"/>
        <v>1.0274687006414596</v>
      </c>
      <c r="AZ168" s="5"/>
      <c r="BA168" s="5">
        <f t="shared" si="218"/>
        <v>3.2224455284782199</v>
      </c>
      <c r="BB168" s="5"/>
      <c r="BC168" s="5"/>
      <c r="BD168" s="153">
        <f t="shared" si="219"/>
        <v>1.1096265742431719</v>
      </c>
      <c r="BE168" s="153">
        <f t="shared" si="220"/>
        <v>0.60138656714812444</v>
      </c>
      <c r="BF168" s="153">
        <f t="shared" si="221"/>
        <v>0.12043453867593815</v>
      </c>
      <c r="BG168" s="153"/>
      <c r="BH168" s="463">
        <f t="shared" si="222"/>
        <v>0.13543982476933014</v>
      </c>
      <c r="BI168" s="463">
        <f t="shared" si="223"/>
        <v>3.8300000000000001E-2</v>
      </c>
      <c r="BJ168" s="463">
        <f t="shared" si="224"/>
        <v>8.1107905556350324E-3</v>
      </c>
      <c r="BK168" s="463">
        <f t="shared" si="225"/>
        <v>1.0130379026146269E-2</v>
      </c>
      <c r="BL168">
        <f t="shared" si="226"/>
        <v>2.6099999999999999E-3</v>
      </c>
      <c r="BM168">
        <f t="shared" si="268"/>
        <v>6.488632444508027E-6</v>
      </c>
      <c r="BN168">
        <f t="shared" si="269"/>
        <v>0.21833782634291959</v>
      </c>
      <c r="BO168" s="147">
        <f t="shared" si="229"/>
        <v>194.59099435111148</v>
      </c>
      <c r="BP168" s="153">
        <f t="shared" si="230"/>
        <v>0.11599999999999999</v>
      </c>
      <c r="BQ168" s="153">
        <f t="shared" si="231"/>
        <v>2.3199999999999998E-2</v>
      </c>
      <c r="BR168" s="463"/>
      <c r="BT168" s="147">
        <f t="shared" si="232"/>
        <v>139.19999999999999</v>
      </c>
      <c r="BU168" s="463">
        <f t="shared" si="233"/>
        <v>0.1046580464126642</v>
      </c>
      <c r="BV168" s="463">
        <f t="shared" si="234"/>
        <v>6.8716502597779061E-2</v>
      </c>
      <c r="BW168" s="463">
        <f t="shared" si="235"/>
        <v>7.2522390530430211E-4</v>
      </c>
      <c r="BX168" s="463">
        <f t="shared" si="236"/>
        <v>0</v>
      </c>
      <c r="BY168" s="463">
        <f t="shared" si="274"/>
        <v>0.19774594763185449</v>
      </c>
      <c r="BZ168" s="463">
        <f t="shared" si="250"/>
        <v>0.17409977291574755</v>
      </c>
      <c r="CA168" s="549">
        <f t="shared" si="270"/>
        <v>0.65160493827160493</v>
      </c>
      <c r="CB168" s="147">
        <f t="shared" si="238"/>
        <v>1197.5504317349546</v>
      </c>
      <c r="CC168" s="153">
        <f t="shared" si="251"/>
        <v>1.2068887122463789</v>
      </c>
      <c r="CD168" s="5">
        <f t="shared" si="239"/>
        <v>5.2779999999999996</v>
      </c>
      <c r="CE168" s="153">
        <f t="shared" si="240"/>
        <v>0.81389214745239469</v>
      </c>
      <c r="CF168" s="5">
        <f t="shared" si="241"/>
        <v>81.389214745239471</v>
      </c>
      <c r="CG168">
        <f t="shared" si="242"/>
        <v>57.999999999999993</v>
      </c>
      <c r="CI168" s="59">
        <f t="shared" si="271"/>
        <v>-50</v>
      </c>
      <c r="CJ168">
        <f t="shared" si="272"/>
        <v>-50</v>
      </c>
    </row>
    <row r="169" spans="5:88" x14ac:dyDescent="0.25">
      <c r="E169" s="150">
        <v>59</v>
      </c>
      <c r="F169" s="191">
        <f t="shared" si="273"/>
        <v>0.29499999999999998</v>
      </c>
      <c r="G169" s="191">
        <f t="shared" si="252"/>
        <v>5.8999999999999997E-2</v>
      </c>
      <c r="H169" s="191">
        <f t="shared" si="253"/>
        <v>4.4249999999999998</v>
      </c>
      <c r="I169" s="191">
        <f t="shared" si="254"/>
        <v>0.94399999999999995</v>
      </c>
      <c r="J169" s="472">
        <f t="shared" si="186"/>
        <v>9</v>
      </c>
      <c r="K169" s="386">
        <f t="shared" si="187"/>
        <v>7.66</v>
      </c>
      <c r="L169" s="386">
        <f t="shared" si="188"/>
        <v>16.66</v>
      </c>
      <c r="M169" s="386"/>
      <c r="N169" s="191">
        <f t="shared" si="189"/>
        <v>0.45978391356542619</v>
      </c>
      <c r="O169" s="152">
        <f t="shared" si="255"/>
        <v>6.2923449599620076</v>
      </c>
      <c r="P169" s="152">
        <f t="shared" si="256"/>
        <v>1.6287385354141657</v>
      </c>
      <c r="Q169" s="191">
        <f t="shared" si="192"/>
        <v>0.41948966399746718</v>
      </c>
      <c r="R169" s="191">
        <f t="shared" si="257"/>
        <v>0.39327155999762548</v>
      </c>
      <c r="S169" s="191">
        <f t="shared" si="258"/>
        <v>15</v>
      </c>
      <c r="T169" s="191">
        <f t="shared" si="259"/>
        <v>2.8832653192792441</v>
      </c>
      <c r="U169" s="191">
        <f t="shared" si="196"/>
        <v>2.8832653192792441</v>
      </c>
      <c r="V169" s="191">
        <f t="shared" si="197"/>
        <v>3.3876485474560307</v>
      </c>
      <c r="W169" s="175">
        <f t="shared" si="198"/>
        <v>350</v>
      </c>
      <c r="X169" s="386">
        <f t="shared" si="199"/>
        <v>159.46639058536678</v>
      </c>
      <c r="Z169" s="191">
        <f t="shared" si="200"/>
        <v>1.3136683244726464</v>
      </c>
      <c r="AA169" s="153">
        <f t="shared" si="201"/>
        <v>1.5434745326702111</v>
      </c>
      <c r="AB169" s="153">
        <f t="shared" si="260"/>
        <v>0.14622213484608731</v>
      </c>
      <c r="AC169" s="153"/>
      <c r="AD169" s="153">
        <f t="shared" si="203"/>
        <v>0.96344647519582249</v>
      </c>
      <c r="AE169" s="317">
        <f t="shared" si="261"/>
        <v>1493.6215215810696</v>
      </c>
      <c r="AF169" s="463">
        <f t="shared" si="262"/>
        <v>6.9127284595300251E-2</v>
      </c>
      <c r="AH169" s="153">
        <f t="shared" si="263"/>
        <v>1.8463176565501638</v>
      </c>
      <c r="AI169" s="153">
        <f t="shared" si="264"/>
        <v>2.8832653192792441</v>
      </c>
      <c r="AJ169" s="153">
        <f t="shared" si="265"/>
        <v>2.7283446809475884</v>
      </c>
      <c r="AL169" s="317">
        <f t="shared" si="266"/>
        <v>295</v>
      </c>
      <c r="AM169" s="147">
        <f t="shared" si="267"/>
        <v>159.46639058536678</v>
      </c>
      <c r="AO169">
        <f t="shared" si="211"/>
        <v>295</v>
      </c>
      <c r="AP169">
        <f t="shared" si="212"/>
        <v>159.46639058536678</v>
      </c>
      <c r="AR169" s="5">
        <f t="shared" si="249"/>
        <v>6.2709138667352748</v>
      </c>
      <c r="AS169" s="5">
        <f t="shared" si="246"/>
        <v>2.8832653192792441</v>
      </c>
      <c r="AT169" s="5">
        <f t="shared" si="247"/>
        <v>3.3876485474560307</v>
      </c>
      <c r="AU169" s="153">
        <f t="shared" si="248"/>
        <v>0.45978391356542619</v>
      </c>
      <c r="AW169" s="5">
        <f t="shared" si="216"/>
        <v>5.6704217945825137</v>
      </c>
      <c r="AX169" s="5"/>
      <c r="AY169" s="5">
        <f t="shared" si="217"/>
        <v>1.0632040864842212</v>
      </c>
      <c r="AZ169" s="5"/>
      <c r="BA169" s="5">
        <f t="shared" si="218"/>
        <v>3.3345222605923555</v>
      </c>
      <c r="BB169" s="5"/>
      <c r="BC169" s="5"/>
      <c r="BD169" s="153">
        <f t="shared" si="219"/>
        <v>1.128758066902537</v>
      </c>
      <c r="BE169" s="153">
        <f t="shared" si="220"/>
        <v>0.6117553010644714</v>
      </c>
      <c r="BF169" s="153">
        <f t="shared" si="221"/>
        <v>0.12251099623931638</v>
      </c>
      <c r="BG169" s="153"/>
      <c r="BH169" s="463">
        <f t="shared" si="222"/>
        <v>0.14015042509573072</v>
      </c>
      <c r="BI169" s="463">
        <f t="shared" si="223"/>
        <v>3.8300000000000001E-2</v>
      </c>
      <c r="BJ169" s="463">
        <f t="shared" si="224"/>
        <v>7.973319529268337E-3</v>
      </c>
      <c r="BK169" s="463">
        <f t="shared" si="225"/>
        <v>9.9586776867200619E-3</v>
      </c>
      <c r="BL169">
        <f t="shared" si="226"/>
        <v>2.6099999999999999E-3</v>
      </c>
      <c r="BM169">
        <f t="shared" si="268"/>
        <v>6.378655623414671E-6</v>
      </c>
      <c r="BN169">
        <f t="shared" si="269"/>
        <v>0.22370358037812835</v>
      </c>
      <c r="BO169" s="147">
        <f t="shared" si="229"/>
        <v>198.99242231171914</v>
      </c>
      <c r="BP169" s="153">
        <f t="shared" si="230"/>
        <v>0.11799999999999999</v>
      </c>
      <c r="BQ169" s="153">
        <f t="shared" si="231"/>
        <v>2.3599999999999999E-2</v>
      </c>
      <c r="BR169" s="463"/>
      <c r="BT169" s="147">
        <f t="shared" si="232"/>
        <v>141.6</v>
      </c>
      <c r="BU169" s="463">
        <f t="shared" si="233"/>
        <v>0.10829805575579193</v>
      </c>
      <c r="BV169" s="463">
        <f t="shared" si="234"/>
        <v>7.1106464192291594E-2</v>
      </c>
      <c r="BW169" s="463">
        <f t="shared" si="235"/>
        <v>7.5044720997748972E-4</v>
      </c>
      <c r="BX169" s="463">
        <f t="shared" si="236"/>
        <v>0</v>
      </c>
      <c r="BY169" s="463">
        <f t="shared" si="274"/>
        <v>0.20472412871179121</v>
      </c>
      <c r="BZ169" s="463">
        <f t="shared" si="250"/>
        <v>0.18015496715806104</v>
      </c>
      <c r="CA169" s="549">
        <f t="shared" si="270"/>
        <v>0.66283950617283971</v>
      </c>
      <c r="CB169" s="147">
        <f t="shared" si="238"/>
        <v>1227.8735692007531</v>
      </c>
      <c r="CC169" s="153">
        <f t="shared" si="251"/>
        <v>1.2328672152627593</v>
      </c>
      <c r="CD169" s="5">
        <f t="shared" si="239"/>
        <v>5.3689999999999998</v>
      </c>
      <c r="CE169" s="153">
        <f t="shared" si="240"/>
        <v>0.81325476943666608</v>
      </c>
      <c r="CF169" s="5">
        <f t="shared" si="241"/>
        <v>81.325476943666615</v>
      </c>
      <c r="CG169">
        <f t="shared" si="242"/>
        <v>59</v>
      </c>
      <c r="CI169" s="59">
        <f t="shared" si="271"/>
        <v>-50</v>
      </c>
      <c r="CJ169">
        <f t="shared" si="272"/>
        <v>-50</v>
      </c>
    </row>
    <row r="170" spans="5:88" x14ac:dyDescent="0.25">
      <c r="E170" s="150">
        <v>60</v>
      </c>
      <c r="F170" s="191">
        <f t="shared" si="273"/>
        <v>0.3</v>
      </c>
      <c r="G170" s="191">
        <f t="shared" si="252"/>
        <v>0.06</v>
      </c>
      <c r="H170" s="191">
        <f t="shared" si="253"/>
        <v>4.5</v>
      </c>
      <c r="I170" s="191">
        <f t="shared" si="254"/>
        <v>0.96</v>
      </c>
      <c r="J170" s="472">
        <f t="shared" si="186"/>
        <v>9</v>
      </c>
      <c r="K170" s="386">
        <f t="shared" si="187"/>
        <v>7.66</v>
      </c>
      <c r="L170" s="386">
        <f t="shared" si="188"/>
        <v>16.66</v>
      </c>
      <c r="M170" s="386"/>
      <c r="N170" s="191">
        <f t="shared" si="189"/>
        <v>0.45978391356542619</v>
      </c>
      <c r="O170" s="152">
        <f t="shared" si="255"/>
        <v>6.2923449599620076</v>
      </c>
      <c r="P170" s="152">
        <f t="shared" si="256"/>
        <v>1.6287385354141657</v>
      </c>
      <c r="Q170" s="191">
        <f t="shared" si="192"/>
        <v>0.41948966399746718</v>
      </c>
      <c r="R170" s="191">
        <f t="shared" si="257"/>
        <v>0.39327155999762548</v>
      </c>
      <c r="S170" s="191">
        <f t="shared" si="258"/>
        <v>15</v>
      </c>
      <c r="T170" s="191">
        <f t="shared" si="259"/>
        <v>2.9321342229958418</v>
      </c>
      <c r="U170" s="191">
        <f t="shared" si="196"/>
        <v>2.9321342229958418</v>
      </c>
      <c r="V170" s="191">
        <f t="shared" si="197"/>
        <v>3.4450663194468119</v>
      </c>
      <c r="W170" s="175">
        <f t="shared" si="198"/>
        <v>350</v>
      </c>
      <c r="X170" s="386">
        <f t="shared" si="199"/>
        <v>156.80861740894397</v>
      </c>
      <c r="Z170" s="191">
        <f t="shared" si="200"/>
        <v>1.3136683244726464</v>
      </c>
      <c r="AA170" s="153">
        <f t="shared" si="201"/>
        <v>1.5434745326702111</v>
      </c>
      <c r="AB170" s="153">
        <f t="shared" si="260"/>
        <v>0.14622213484608731</v>
      </c>
      <c r="AC170" s="153"/>
      <c r="AD170" s="153">
        <f t="shared" si="203"/>
        <v>0.96344647519582249</v>
      </c>
      <c r="AE170" s="317">
        <f t="shared" si="261"/>
        <v>1518.9371405909183</v>
      </c>
      <c r="AF170" s="463">
        <f t="shared" si="262"/>
        <v>6.9127284595300251E-2</v>
      </c>
      <c r="AH170" s="153">
        <f t="shared" si="263"/>
        <v>1.8618986725025255</v>
      </c>
      <c r="AI170" s="153">
        <f t="shared" si="264"/>
        <v>2.9321342229958418</v>
      </c>
      <c r="AJ170" s="153">
        <f t="shared" si="265"/>
        <v>2.7645438688858088</v>
      </c>
      <c r="AL170" s="317">
        <f t="shared" si="266"/>
        <v>300</v>
      </c>
      <c r="AM170" s="147">
        <f t="shared" si="267"/>
        <v>156.80861740894397</v>
      </c>
      <c r="AO170">
        <f t="shared" si="211"/>
        <v>300</v>
      </c>
      <c r="AP170">
        <f t="shared" si="212"/>
        <v>156.80861740894397</v>
      </c>
      <c r="AR170" s="5">
        <f t="shared" si="249"/>
        <v>6.3772005424426537</v>
      </c>
      <c r="AS170" s="5">
        <f t="shared" si="246"/>
        <v>2.9321342229958418</v>
      </c>
      <c r="AT170" s="5">
        <f t="shared" si="247"/>
        <v>3.4450663194468119</v>
      </c>
      <c r="AU170" s="153">
        <f t="shared" si="248"/>
        <v>0.45978391356542614</v>
      </c>
      <c r="AW170" s="5">
        <f t="shared" ref="AW170:AW210" si="275">F170*AS170/Vout_ripple*1000</f>
        <v>5.8642684459916836</v>
      </c>
      <c r="AX170" s="5"/>
      <c r="AY170" s="5">
        <f t="shared" ref="AY170:AY210" si="276">G170*AS170/Vout_ripple2*1000</f>
        <v>1.0995503336234407</v>
      </c>
      <c r="AZ170" s="5"/>
      <c r="BA170" s="5">
        <f t="shared" ref="BA170:BA210" si="277">H170/Efficiency/J170*AT170/Vinripple1</f>
        <v>3.448514834281093</v>
      </c>
      <c r="BB170" s="5"/>
      <c r="BC170" s="5"/>
      <c r="BD170" s="153">
        <f t="shared" ref="BD170:BD210" si="278">AI170*SQRT(AU170/3)</f>
        <v>1.1478895595619021</v>
      </c>
      <c r="BE170" s="153">
        <f t="shared" ref="BE170:BE210" si="279">AI170*Npri_sec1*SQRT((1-AU170)/3)*(Pout/Pout_total)</f>
        <v>0.62212403498081847</v>
      </c>
      <c r="BF170" s="153">
        <f t="shared" ref="BF170:BF210" si="280">AI170*Npri_sec2*SQRT((1-AU170)/3)*(Pout2/Pout_total)</f>
        <v>0.12458745380269466</v>
      </c>
      <c r="BG170" s="153"/>
      <c r="BH170" s="463">
        <f t="shared" ref="BH170:BH210" si="281">Rdson*BD170^2</f>
        <v>0.14494154850463392</v>
      </c>
      <c r="BI170" s="463">
        <f t="shared" ref="BI170:BI210" si="282">0.5*L170*AI170*AM170*1000*Trise</f>
        <v>3.8300000000000001E-2</v>
      </c>
      <c r="BJ170" s="463">
        <f t="shared" ref="BJ170:BJ210" si="283">Qg*Vdd*AM170*1000</f>
        <v>7.8404308704471994E-3</v>
      </c>
      <c r="BK170" s="463">
        <f t="shared" ref="BK170:BK210" si="284">0.5*(Coss+Csw)*L170^2*AM170*1000</f>
        <v>9.7926997252747242E-3</v>
      </c>
      <c r="BL170">
        <f t="shared" ref="BL170:BL210" si="285">J170*IQ</f>
        <v>2.6099999999999999E-3</v>
      </c>
      <c r="BM170">
        <f t="shared" si="268"/>
        <v>6.2723446963577592E-6</v>
      </c>
      <c r="BN170">
        <f t="shared" si="269"/>
        <v>0.22918691172857933</v>
      </c>
      <c r="BO170" s="147">
        <f t="shared" ref="BO170:BO210" si="286">SUM(BH170:BL170)*1000</f>
        <v>203.48467910035583</v>
      </c>
      <c r="BP170" s="153">
        <f t="shared" ref="BP170:BP210" si="287">Vfwd2*F170</f>
        <v>0.12</v>
      </c>
      <c r="BQ170" s="153">
        <f t="shared" ref="BQ170:BQ210" si="288">Vfwd2*G170</f>
        <v>2.4E-2</v>
      </c>
      <c r="BR170" s="463"/>
      <c r="BT170" s="147">
        <f t="shared" ref="BT170:BT210" si="289">SUM(BP170:BS170)*1000</f>
        <v>144</v>
      </c>
      <c r="BU170" s="463">
        <f t="shared" ref="BU170:BU210" si="290">Rdcr_pri*BD170^2</f>
        <v>0.1120002874808535</v>
      </c>
      <c r="BV170" s="463">
        <f t="shared" ref="BV170:BV210" si="291">Rdcr_sec*BE170^2</f>
        <v>7.3537279831154781E-2</v>
      </c>
      <c r="BW170" s="463">
        <f t="shared" ref="BW170:BW210" si="292">Rdcr_sec2*BF170^2</f>
        <v>7.7610168225192885E-4</v>
      </c>
      <c r="BX170" s="463">
        <f t="shared" ref="BX170:BX210" si="293">AI170^2.5*AM170^2.5*k_core</f>
        <v>0</v>
      </c>
      <c r="BY170" s="463">
        <f t="shared" si="274"/>
        <v>0.211828634886674</v>
      </c>
      <c r="BZ170" s="463">
        <f t="shared" si="250"/>
        <v>0.18631366899426019</v>
      </c>
      <c r="CA170" s="549">
        <f t="shared" si="270"/>
        <v>0.67407407407407427</v>
      </c>
      <c r="CB170" s="147">
        <f t="shared" ref="CB170:CB192" si="294">SUM(BU170:CA170)*1000</f>
        <v>1258.5300469492686</v>
      </c>
      <c r="CC170" s="153">
        <f t="shared" si="251"/>
        <v>1.2590896206893276</v>
      </c>
      <c r="CD170" s="5">
        <f t="shared" ref="CD170:CD192" si="295">MIN(H170+I170,O170+P170)</f>
        <v>5.46</v>
      </c>
      <c r="CE170" s="153">
        <f t="shared" ref="CE170:CE192" si="296">CD170/(CD170+CC170)</f>
        <v>0.8126100868170657</v>
      </c>
      <c r="CF170" s="5">
        <f t="shared" ref="CF170:CF192" si="297">CE170*100</f>
        <v>81.261008681706571</v>
      </c>
      <c r="CG170">
        <f t="shared" ref="CG170:CG192" si="298">F170/Iout*100</f>
        <v>60</v>
      </c>
      <c r="CI170" s="59">
        <f t="shared" si="271"/>
        <v>-50</v>
      </c>
      <c r="CJ170">
        <f t="shared" si="272"/>
        <v>-50</v>
      </c>
    </row>
    <row r="171" spans="5:88" x14ac:dyDescent="0.25">
      <c r="E171" s="150">
        <v>61</v>
      </c>
      <c r="F171" s="191">
        <f t="shared" si="273"/>
        <v>0.30499999999999999</v>
      </c>
      <c r="G171" s="191">
        <f t="shared" si="252"/>
        <v>6.0999999999999999E-2</v>
      </c>
      <c r="H171" s="191">
        <f t="shared" si="253"/>
        <v>4.5750000000000002</v>
      </c>
      <c r="I171" s="191">
        <f t="shared" si="254"/>
        <v>0.97599999999999998</v>
      </c>
      <c r="J171" s="472">
        <f t="shared" si="186"/>
        <v>9</v>
      </c>
      <c r="K171" s="386">
        <f t="shared" si="187"/>
        <v>7.66</v>
      </c>
      <c r="L171" s="386">
        <f t="shared" si="188"/>
        <v>16.66</v>
      </c>
      <c r="M171" s="386"/>
      <c r="N171" s="191">
        <f t="shared" si="189"/>
        <v>0.45978391356542619</v>
      </c>
      <c r="O171" s="152">
        <f t="shared" si="255"/>
        <v>6.2923449599620076</v>
      </c>
      <c r="P171" s="152">
        <f t="shared" si="256"/>
        <v>1.6287385354141657</v>
      </c>
      <c r="Q171" s="191">
        <f t="shared" si="192"/>
        <v>0.41948966399746718</v>
      </c>
      <c r="R171" s="191">
        <f t="shared" si="257"/>
        <v>0.39327155999762548</v>
      </c>
      <c r="S171" s="191">
        <f t="shared" si="258"/>
        <v>15</v>
      </c>
      <c r="T171" s="191">
        <f t="shared" si="259"/>
        <v>2.9810031267124391</v>
      </c>
      <c r="U171" s="191">
        <f t="shared" si="196"/>
        <v>2.9810031267124395</v>
      </c>
      <c r="V171" s="191">
        <f t="shared" si="197"/>
        <v>3.5024840914375921</v>
      </c>
      <c r="W171" s="175">
        <f t="shared" si="198"/>
        <v>350</v>
      </c>
      <c r="X171" s="386">
        <f t="shared" si="199"/>
        <v>154.23798433666619</v>
      </c>
      <c r="Z171" s="191">
        <f t="shared" si="200"/>
        <v>1.3136683244726464</v>
      </c>
      <c r="AA171" s="153">
        <f t="shared" si="201"/>
        <v>1.5434745326702111</v>
      </c>
      <c r="AB171" s="153">
        <f t="shared" si="260"/>
        <v>0.14622213484608731</v>
      </c>
      <c r="AC171" s="153"/>
      <c r="AD171" s="153">
        <f t="shared" si="203"/>
        <v>0.96344647519582249</v>
      </c>
      <c r="AE171" s="317">
        <f t="shared" si="261"/>
        <v>1544.2527596007669</v>
      </c>
      <c r="AF171" s="463">
        <f t="shared" si="262"/>
        <v>6.9127284595300251E-2</v>
      </c>
      <c r="AH171" s="153">
        <f t="shared" si="263"/>
        <v>1.8773503787104966</v>
      </c>
      <c r="AI171" s="153">
        <f t="shared" si="264"/>
        <v>2.9810031267124391</v>
      </c>
      <c r="AJ171" s="153">
        <f t="shared" si="265"/>
        <v>2.8007430568240288</v>
      </c>
      <c r="AL171" s="317">
        <f t="shared" si="266"/>
        <v>305</v>
      </c>
      <c r="AM171" s="147">
        <f t="shared" si="267"/>
        <v>154.23798433666619</v>
      </c>
      <c r="AO171">
        <f t="shared" si="211"/>
        <v>305</v>
      </c>
      <c r="AP171">
        <f t="shared" si="212"/>
        <v>154.23798433666619</v>
      </c>
      <c r="AR171" s="5">
        <f t="shared" si="249"/>
        <v>6.4834872181500316</v>
      </c>
      <c r="AS171" s="5">
        <f t="shared" si="246"/>
        <v>2.9810031267124395</v>
      </c>
      <c r="AT171" s="5">
        <f t="shared" si="247"/>
        <v>3.5024840914375921</v>
      </c>
      <c r="AU171" s="153">
        <f t="shared" si="248"/>
        <v>0.45978391356542619</v>
      </c>
      <c r="AW171" s="5">
        <f t="shared" si="275"/>
        <v>6.0613730243152935</v>
      </c>
      <c r="AX171" s="5"/>
      <c r="AY171" s="5">
        <f t="shared" si="276"/>
        <v>1.1365074420591175</v>
      </c>
      <c r="AZ171" s="5"/>
      <c r="BA171" s="5">
        <f t="shared" si="277"/>
        <v>3.5644232495444292</v>
      </c>
      <c r="BB171" s="5"/>
      <c r="BC171" s="5"/>
      <c r="BD171" s="153">
        <f t="shared" si="278"/>
        <v>1.1670210522212672</v>
      </c>
      <c r="BE171" s="153">
        <f t="shared" si="279"/>
        <v>0.63249276889716533</v>
      </c>
      <c r="BF171" s="153">
        <f t="shared" si="280"/>
        <v>0.12666391136607286</v>
      </c>
      <c r="BG171" s="153"/>
      <c r="BH171" s="463">
        <f t="shared" si="281"/>
        <v>0.14981319499603968</v>
      </c>
      <c r="BI171" s="463">
        <f t="shared" si="282"/>
        <v>3.8299999999999994E-2</v>
      </c>
      <c r="BJ171" s="463">
        <f t="shared" si="283"/>
        <v>7.7118992168333095E-3</v>
      </c>
      <c r="BK171" s="463">
        <f t="shared" si="284"/>
        <v>9.632163664204647E-3</v>
      </c>
      <c r="BL171">
        <f t="shared" si="285"/>
        <v>2.6099999999999999E-3</v>
      </c>
      <c r="BM171">
        <f t="shared" si="268"/>
        <v>6.1695193734666472E-6</v>
      </c>
      <c r="BN171">
        <f t="shared" si="269"/>
        <v>0.23478787096299644</v>
      </c>
      <c r="BO171" s="147">
        <f t="shared" si="286"/>
        <v>208.06725787707762</v>
      </c>
      <c r="BP171" s="153">
        <f t="shared" si="287"/>
        <v>0.122</v>
      </c>
      <c r="BQ171" s="153">
        <f t="shared" si="288"/>
        <v>2.4400000000000002E-2</v>
      </c>
      <c r="BR171" s="463"/>
      <c r="BT171" s="147">
        <f t="shared" si="289"/>
        <v>146.4</v>
      </c>
      <c r="BU171" s="463">
        <f t="shared" si="290"/>
        <v>0.11576474158784886</v>
      </c>
      <c r="BV171" s="463">
        <f t="shared" si="291"/>
        <v>7.6008949514368568E-2</v>
      </c>
      <c r="BW171" s="463">
        <f t="shared" si="292"/>
        <v>8.0218732212761809E-4</v>
      </c>
      <c r="BX171" s="463">
        <f t="shared" si="293"/>
        <v>0</v>
      </c>
      <c r="BY171" s="463">
        <f t="shared" si="274"/>
        <v>0.21905983504821869</v>
      </c>
      <c r="BZ171" s="463">
        <f t="shared" si="250"/>
        <v>0.19257587842434504</v>
      </c>
      <c r="CA171" s="549">
        <f t="shared" si="270"/>
        <v>0.68530864197530872</v>
      </c>
      <c r="CB171" s="147">
        <f t="shared" si="294"/>
        <v>1289.5202338722177</v>
      </c>
      <c r="CC171" s="153">
        <f t="shared" si="251"/>
        <v>1.2855563479865237</v>
      </c>
      <c r="CD171" s="5">
        <f t="shared" si="295"/>
        <v>5.5510000000000002</v>
      </c>
      <c r="CE171" s="153">
        <f t="shared" si="296"/>
        <v>0.81195849451820279</v>
      </c>
      <c r="CF171" s="5">
        <f t="shared" si="297"/>
        <v>81.19584945182028</v>
      </c>
      <c r="CG171">
        <f t="shared" si="298"/>
        <v>61</v>
      </c>
      <c r="CI171" s="59">
        <f t="shared" si="271"/>
        <v>-50</v>
      </c>
      <c r="CJ171">
        <f t="shared" si="272"/>
        <v>-50</v>
      </c>
    </row>
    <row r="172" spans="5:88" x14ac:dyDescent="0.25">
      <c r="E172" s="150">
        <v>62</v>
      </c>
      <c r="F172" s="191">
        <f t="shared" si="273"/>
        <v>0.31</v>
      </c>
      <c r="G172" s="191">
        <f t="shared" si="252"/>
        <v>6.2E-2</v>
      </c>
      <c r="H172" s="191">
        <f t="shared" si="253"/>
        <v>4.6500000000000004</v>
      </c>
      <c r="I172" s="191">
        <f t="shared" si="254"/>
        <v>0.99199999999999999</v>
      </c>
      <c r="J172" s="472">
        <f t="shared" si="186"/>
        <v>9</v>
      </c>
      <c r="K172" s="386">
        <f t="shared" si="187"/>
        <v>7.66</v>
      </c>
      <c r="L172" s="386">
        <f t="shared" si="188"/>
        <v>16.66</v>
      </c>
      <c r="M172" s="386"/>
      <c r="N172" s="191">
        <f t="shared" si="189"/>
        <v>0.45978391356542619</v>
      </c>
      <c r="O172" s="152">
        <f t="shared" si="255"/>
        <v>6.2923449599620076</v>
      </c>
      <c r="P172" s="152">
        <f t="shared" si="256"/>
        <v>1.6287385354141657</v>
      </c>
      <c r="Q172" s="191">
        <f t="shared" si="192"/>
        <v>0.41948966399746718</v>
      </c>
      <c r="R172" s="191">
        <f t="shared" si="257"/>
        <v>0.39327155999762548</v>
      </c>
      <c r="S172" s="191">
        <f t="shared" si="258"/>
        <v>15</v>
      </c>
      <c r="T172" s="191">
        <f t="shared" si="259"/>
        <v>3.0298720304290367</v>
      </c>
      <c r="U172" s="191">
        <f t="shared" si="196"/>
        <v>3.0298720304290367</v>
      </c>
      <c r="V172" s="191">
        <f t="shared" si="197"/>
        <v>3.5599018634283723</v>
      </c>
      <c r="W172" s="175">
        <f t="shared" si="198"/>
        <v>350</v>
      </c>
      <c r="X172" s="386">
        <f t="shared" si="199"/>
        <v>151.75027491188126</v>
      </c>
      <c r="Z172" s="191">
        <f t="shared" si="200"/>
        <v>1.3136683244726464</v>
      </c>
      <c r="AA172" s="153">
        <f t="shared" si="201"/>
        <v>1.5434745326702111</v>
      </c>
      <c r="AB172" s="153">
        <f t="shared" si="260"/>
        <v>0.14622213484608731</v>
      </c>
      <c r="AC172" s="153"/>
      <c r="AD172" s="153">
        <f t="shared" si="203"/>
        <v>0.96344647519582249</v>
      </c>
      <c r="AE172" s="317">
        <f t="shared" si="261"/>
        <v>1569.5683786106156</v>
      </c>
      <c r="AF172" s="463">
        <f t="shared" si="262"/>
        <v>6.9127284595300251E-2</v>
      </c>
      <c r="AH172" s="153">
        <f t="shared" si="263"/>
        <v>1.8926759422104522</v>
      </c>
      <c r="AI172" s="153">
        <f t="shared" si="264"/>
        <v>3.0298720304290367</v>
      </c>
      <c r="AJ172" s="153">
        <f t="shared" si="265"/>
        <v>2.8369422447622492</v>
      </c>
      <c r="AL172" s="317">
        <f t="shared" si="266"/>
        <v>310</v>
      </c>
      <c r="AM172" s="147">
        <f t="shared" si="267"/>
        <v>151.75027491188126</v>
      </c>
      <c r="AO172">
        <f t="shared" si="211"/>
        <v>310</v>
      </c>
      <c r="AP172">
        <f t="shared" si="212"/>
        <v>151.75027491188126</v>
      </c>
      <c r="AR172" s="5">
        <f t="shared" si="249"/>
        <v>6.5897738938574086</v>
      </c>
      <c r="AS172" s="5">
        <f t="shared" si="246"/>
        <v>3.0298720304290367</v>
      </c>
      <c r="AT172" s="5">
        <f t="shared" si="247"/>
        <v>3.5599018634283719</v>
      </c>
      <c r="AU172" s="153">
        <f t="shared" si="248"/>
        <v>0.45978391356542619</v>
      </c>
      <c r="AW172" s="5">
        <f t="shared" si="275"/>
        <v>6.2617355295533432</v>
      </c>
      <c r="AX172" s="5"/>
      <c r="AY172" s="5">
        <f t="shared" si="276"/>
        <v>1.1740754117912517</v>
      </c>
      <c r="AZ172" s="5"/>
      <c r="BA172" s="5">
        <f t="shared" si="277"/>
        <v>3.6822475063823661</v>
      </c>
      <c r="BB172" s="5"/>
      <c r="BC172" s="5"/>
      <c r="BD172" s="153">
        <f t="shared" si="278"/>
        <v>1.1861525448806323</v>
      </c>
      <c r="BE172" s="153">
        <f t="shared" si="279"/>
        <v>0.6428615028135124</v>
      </c>
      <c r="BF172" s="153">
        <f t="shared" si="280"/>
        <v>0.12874036892945112</v>
      </c>
      <c r="BG172" s="153"/>
      <c r="BH172" s="463">
        <f t="shared" si="281"/>
        <v>0.15476536456994805</v>
      </c>
      <c r="BI172" s="463">
        <f t="shared" si="282"/>
        <v>3.8300000000000008E-2</v>
      </c>
      <c r="BJ172" s="463">
        <f t="shared" si="283"/>
        <v>7.5875137455940628E-3</v>
      </c>
      <c r="BK172" s="463">
        <f t="shared" si="284"/>
        <v>9.4768061857497341E-3</v>
      </c>
      <c r="BL172">
        <f t="shared" si="285"/>
        <v>2.6099999999999999E-3</v>
      </c>
      <c r="BM172">
        <f t="shared" si="268"/>
        <v>6.0700109964752507E-6</v>
      </c>
      <c r="BN172">
        <f t="shared" si="269"/>
        <v>0.24050655330161927</v>
      </c>
      <c r="BO172" s="147">
        <f t="shared" si="286"/>
        <v>212.73968450129186</v>
      </c>
      <c r="BP172" s="153">
        <f t="shared" si="287"/>
        <v>0.124</v>
      </c>
      <c r="BQ172" s="153">
        <f t="shared" si="288"/>
        <v>2.4800000000000003E-2</v>
      </c>
      <c r="BR172" s="463"/>
      <c r="BT172" s="147">
        <f t="shared" si="289"/>
        <v>148.79999999999998</v>
      </c>
      <c r="BU172" s="463">
        <f t="shared" si="290"/>
        <v>0.11959141807677805</v>
      </c>
      <c r="BV172" s="463">
        <f t="shared" si="291"/>
        <v>7.8521473241933037E-2</v>
      </c>
      <c r="BW172" s="463">
        <f t="shared" si="292"/>
        <v>8.2870412960455917E-4</v>
      </c>
      <c r="BX172" s="463">
        <f t="shared" si="293"/>
        <v>0</v>
      </c>
      <c r="BY172" s="463">
        <f t="shared" si="274"/>
        <v>0.22641810522953337</v>
      </c>
      <c r="BZ172" s="463">
        <f t="shared" si="250"/>
        <v>0.19894159544831563</v>
      </c>
      <c r="CA172" s="549">
        <f t="shared" si="270"/>
        <v>0.69654320987654339</v>
      </c>
      <c r="CB172" s="147">
        <f t="shared" si="294"/>
        <v>1320.8445060027082</v>
      </c>
      <c r="CC172" s="153">
        <f t="shared" si="251"/>
        <v>1.312267868407696</v>
      </c>
      <c r="CD172" s="5">
        <f t="shared" si="295"/>
        <v>5.6420000000000003</v>
      </c>
      <c r="CE172" s="153">
        <f t="shared" si="296"/>
        <v>0.81130035637983511</v>
      </c>
      <c r="CF172" s="5">
        <f t="shared" si="297"/>
        <v>81.130035637983511</v>
      </c>
      <c r="CG172">
        <f t="shared" si="298"/>
        <v>62</v>
      </c>
      <c r="CI172" s="59">
        <f t="shared" si="271"/>
        <v>-50</v>
      </c>
      <c r="CJ172">
        <f t="shared" si="272"/>
        <v>-50</v>
      </c>
    </row>
    <row r="173" spans="5:88" x14ac:dyDescent="0.25">
      <c r="E173" s="150">
        <v>63</v>
      </c>
      <c r="F173" s="191">
        <f t="shared" si="273"/>
        <v>0.315</v>
      </c>
      <c r="G173" s="191">
        <f t="shared" si="252"/>
        <v>6.3E-2</v>
      </c>
      <c r="H173" s="191">
        <f t="shared" si="253"/>
        <v>4.7249999999999996</v>
      </c>
      <c r="I173" s="191">
        <f t="shared" si="254"/>
        <v>1.008</v>
      </c>
      <c r="J173" s="472">
        <f t="shared" si="186"/>
        <v>9</v>
      </c>
      <c r="K173" s="386">
        <f t="shared" si="187"/>
        <v>7.66</v>
      </c>
      <c r="L173" s="386">
        <f t="shared" si="188"/>
        <v>16.66</v>
      </c>
      <c r="M173" s="386"/>
      <c r="N173" s="191">
        <f t="shared" si="189"/>
        <v>0.45978391356542619</v>
      </c>
      <c r="O173" s="152">
        <f t="shared" si="255"/>
        <v>6.2923449599620076</v>
      </c>
      <c r="P173" s="152">
        <f t="shared" si="256"/>
        <v>1.6287385354141657</v>
      </c>
      <c r="Q173" s="191">
        <f t="shared" si="192"/>
        <v>0.41948966399746718</v>
      </c>
      <c r="R173" s="191">
        <f t="shared" si="257"/>
        <v>0.39327155999762548</v>
      </c>
      <c r="S173" s="191">
        <f t="shared" si="258"/>
        <v>15</v>
      </c>
      <c r="T173" s="191">
        <f t="shared" si="259"/>
        <v>3.0787409341456335</v>
      </c>
      <c r="U173" s="191">
        <f t="shared" si="196"/>
        <v>3.0787409341456335</v>
      </c>
      <c r="V173" s="191">
        <f t="shared" si="197"/>
        <v>3.6173196354191521</v>
      </c>
      <c r="W173" s="175">
        <f t="shared" si="198"/>
        <v>350</v>
      </c>
      <c r="X173" s="386">
        <f t="shared" si="199"/>
        <v>149.34154038947045</v>
      </c>
      <c r="Z173" s="191">
        <f t="shared" si="200"/>
        <v>1.3136683244726464</v>
      </c>
      <c r="AA173" s="153">
        <f t="shared" si="201"/>
        <v>1.5434745326702111</v>
      </c>
      <c r="AB173" s="153">
        <f t="shared" si="260"/>
        <v>0.14622213484608731</v>
      </c>
      <c r="AC173" s="153"/>
      <c r="AD173" s="153">
        <f t="shared" si="203"/>
        <v>0.96344647519582249</v>
      </c>
      <c r="AE173" s="317">
        <f t="shared" si="261"/>
        <v>1594.8839976204642</v>
      </c>
      <c r="AF173" s="463">
        <f t="shared" si="262"/>
        <v>6.9127284595300251E-2</v>
      </c>
      <c r="AH173" s="153">
        <f t="shared" si="263"/>
        <v>1.9078784028338913</v>
      </c>
      <c r="AI173" s="153">
        <f t="shared" si="264"/>
        <v>3.0787409341456335</v>
      </c>
      <c r="AJ173" s="153">
        <f t="shared" si="265"/>
        <v>2.8731414327004696</v>
      </c>
      <c r="AL173" s="317">
        <f t="shared" si="266"/>
        <v>315</v>
      </c>
      <c r="AM173" s="147">
        <f t="shared" si="267"/>
        <v>149.34154038947045</v>
      </c>
      <c r="AO173">
        <f t="shared" si="211"/>
        <v>315</v>
      </c>
      <c r="AP173">
        <f t="shared" si="212"/>
        <v>149.34154038947045</v>
      </c>
      <c r="AR173" s="5">
        <f t="shared" si="249"/>
        <v>6.6960605695647866</v>
      </c>
      <c r="AS173" s="5">
        <f t="shared" si="246"/>
        <v>3.0787409341456335</v>
      </c>
      <c r="AT173" s="5">
        <f t="shared" si="247"/>
        <v>3.617319635419153</v>
      </c>
      <c r="AU173" s="153">
        <f t="shared" si="248"/>
        <v>0.45978391356542608</v>
      </c>
      <c r="AW173" s="5">
        <f t="shared" si="275"/>
        <v>6.4653559617058303</v>
      </c>
      <c r="AX173" s="5"/>
      <c r="AY173" s="5">
        <f t="shared" si="276"/>
        <v>1.2122542428198431</v>
      </c>
      <c r="AZ173" s="5"/>
      <c r="BA173" s="5">
        <f t="shared" si="277"/>
        <v>3.8019876047949044</v>
      </c>
      <c r="BB173" s="5"/>
      <c r="BC173" s="5"/>
      <c r="BD173" s="153">
        <f t="shared" si="278"/>
        <v>1.2052840375399971</v>
      </c>
      <c r="BE173" s="153">
        <f t="shared" si="279"/>
        <v>0.65323023672985936</v>
      </c>
      <c r="BF173" s="153">
        <f t="shared" si="280"/>
        <v>0.13081682649282939</v>
      </c>
      <c r="BG173" s="153"/>
      <c r="BH173" s="463">
        <f t="shared" si="281"/>
        <v>0.1597980572263589</v>
      </c>
      <c r="BI173" s="463">
        <f t="shared" si="282"/>
        <v>3.8299999999999994E-2</v>
      </c>
      <c r="BJ173" s="463">
        <f t="shared" si="283"/>
        <v>7.4670770194735225E-3</v>
      </c>
      <c r="BK173" s="463">
        <f t="shared" si="284"/>
        <v>9.3263806907378337E-3</v>
      </c>
      <c r="BL173">
        <f t="shared" si="285"/>
        <v>2.6099999999999999E-3</v>
      </c>
      <c r="BM173">
        <f t="shared" si="268"/>
        <v>5.9736616155788186E-6</v>
      </c>
      <c r="BN173">
        <f t="shared" si="269"/>
        <v>0.24634309616256767</v>
      </c>
      <c r="BO173" s="147">
        <f t="shared" si="286"/>
        <v>217.50151493657023</v>
      </c>
      <c r="BP173" s="153">
        <f t="shared" si="287"/>
        <v>0.126</v>
      </c>
      <c r="BQ173" s="153">
        <f t="shared" si="288"/>
        <v>2.52E-2</v>
      </c>
      <c r="BR173" s="463"/>
      <c r="BT173" s="147">
        <f t="shared" si="289"/>
        <v>151.19999999999999</v>
      </c>
      <c r="BU173" s="463">
        <f t="shared" si="290"/>
        <v>0.12348031694764097</v>
      </c>
      <c r="BV173" s="463">
        <f t="shared" si="291"/>
        <v>8.1074851013848148E-2</v>
      </c>
      <c r="BW173" s="463">
        <f t="shared" si="292"/>
        <v>8.5565210468275133E-4</v>
      </c>
      <c r="BX173" s="463">
        <f t="shared" si="293"/>
        <v>0</v>
      </c>
      <c r="BY173" s="463">
        <f t="shared" si="274"/>
        <v>0.23390382865496318</v>
      </c>
      <c r="BZ173" s="463">
        <f t="shared" si="250"/>
        <v>0.20541082006617187</v>
      </c>
      <c r="CA173" s="549">
        <f t="shared" si="270"/>
        <v>0.70777777777777773</v>
      </c>
      <c r="CB173" s="147">
        <f t="shared" si="294"/>
        <v>1352.5032465650845</v>
      </c>
      <c r="CC173" s="153">
        <f t="shared" si="251"/>
        <v>1.3392247025953086</v>
      </c>
      <c r="CD173" s="5">
        <f t="shared" si="295"/>
        <v>5.7329999999999997</v>
      </c>
      <c r="CE173" s="153">
        <f t="shared" si="296"/>
        <v>0.81063600791645507</v>
      </c>
      <c r="CF173" s="5">
        <f t="shared" si="297"/>
        <v>81.063600791645513</v>
      </c>
      <c r="CG173">
        <f t="shared" si="298"/>
        <v>63</v>
      </c>
      <c r="CI173" s="59">
        <f t="shared" si="271"/>
        <v>-50</v>
      </c>
      <c r="CJ173">
        <f t="shared" si="272"/>
        <v>-50</v>
      </c>
    </row>
    <row r="174" spans="5:88" x14ac:dyDescent="0.25">
      <c r="E174" s="150">
        <v>64</v>
      </c>
      <c r="F174" s="191">
        <f t="shared" si="273"/>
        <v>0.32</v>
      </c>
      <c r="G174" s="191">
        <f t="shared" ref="G174:G210" si="299">IF(PLOT_TYPE=1, E174/100*Iout2, min_I*EXP(Q174*rr/100))</f>
        <v>6.4000000000000001E-2</v>
      </c>
      <c r="H174" s="191">
        <f t="shared" ref="H174:H210" si="300">F174*Vout</f>
        <v>4.8</v>
      </c>
      <c r="I174" s="191">
        <f t="shared" ref="I174:I210" si="301">Vout2*G174</f>
        <v>1.024</v>
      </c>
      <c r="J174" s="472">
        <f t="shared" ref="J174:J210" si="302">VIN_min</f>
        <v>9</v>
      </c>
      <c r="K174" s="386">
        <f t="shared" ref="K174:K210" si="303">(S174+Vfwd1)*Nps</f>
        <v>7.66</v>
      </c>
      <c r="L174" s="386">
        <f t="shared" ref="L174:L210" si="304">(Vout+Vfwd1)*Nps+J174</f>
        <v>16.66</v>
      </c>
      <c r="M174" s="386"/>
      <c r="N174" s="191">
        <f t="shared" ref="N174:N210" si="305">(Vout+Vfwd1)*Nps/((Vout+Vfwd1)*Nps+J174)</f>
        <v>0.45978391356542619</v>
      </c>
      <c r="O174" s="152">
        <f t="shared" ref="O174:O205" si="306">N174*J174*Isw_max*0.5*Efficiency*Pout/(Pout+Pout2)</f>
        <v>6.2923449599620076</v>
      </c>
      <c r="P174" s="152">
        <f t="shared" ref="P174:P210" si="307">N174*J174*Isw_max*0.5*Efficiency*(Pout2/Pout_total)</f>
        <v>1.6287385354141657</v>
      </c>
      <c r="Q174" s="191">
        <f t="shared" ref="Q174:Q210" si="308">O174/Vout</f>
        <v>0.41948966399746718</v>
      </c>
      <c r="R174" s="191">
        <f t="shared" ref="R174:R210" si="309">O174/Vout2</f>
        <v>0.39327155999762548</v>
      </c>
      <c r="S174" s="191">
        <f t="shared" ref="S174:S210" si="310">MIN(Vout,O174/F174)</f>
        <v>15</v>
      </c>
      <c r="T174" s="191">
        <f t="shared" ref="T174:T210" si="311">MIN(2*(Vout*F174+Vout2*G174)/(Efficiency*J174*N174), Isw_max)</f>
        <v>3.1276098378622312</v>
      </c>
      <c r="U174" s="191">
        <f t="shared" ref="U174:U210" si="312">L*T174/J174*1000000</f>
        <v>3.1276098378622312</v>
      </c>
      <c r="V174" s="191">
        <f t="shared" ref="V174:V210" si="313">L*T174/K174*1000000</f>
        <v>3.6747374074099324</v>
      </c>
      <c r="W174" s="175">
        <f t="shared" ref="W174:W210" si="314">IF(1/((350000*L)*(1/J174+1/K174))&gt;Isw_min, 350, 0.001/((Isw_min*L)*(1/J174+1/K174)))</f>
        <v>350</v>
      </c>
      <c r="X174" s="386">
        <f t="shared" ref="X174:X210" si="315">MIN(1/(U174+V174)*1000, 350)</f>
        <v>147.00807882088498</v>
      </c>
      <c r="Z174" s="191">
        <f t="shared" ref="Z174:Z210" si="316">1/((W174*1000*L)*(1/J174+1/K174))</f>
        <v>1.3136683244726464</v>
      </c>
      <c r="AA174" s="153">
        <f t="shared" ref="AA174:AA210" si="317">L*Z174/K174*1000000</f>
        <v>1.5434745326702111</v>
      </c>
      <c r="AB174" s="153">
        <f t="shared" ref="AB174:AB205" si="318">0.5*AA174*Z174*Nps*W174/1000*(Pout/(Pout+Pout2))</f>
        <v>0.14622213484608731</v>
      </c>
      <c r="AC174" s="153"/>
      <c r="AD174" s="153">
        <f t="shared" ref="AD174:AD210" si="319">L*Isw_min/K174*1000000</f>
        <v>0.96344647519582249</v>
      </c>
      <c r="AE174" s="317">
        <f t="shared" ref="AE174:AE205" si="320">MAX(10, F174/(0.5*AD174/1000000*Isw_min*Nps)/1000*Pout_total/Pout)</f>
        <v>1620.1996166303127</v>
      </c>
      <c r="AF174" s="463">
        <f t="shared" ref="AF174:AF210" si="321">0.5*AD174/1000000*Isw_min*Nps*W174*1000*(Pout/Pout_total)</f>
        <v>6.9127284595300251E-2</v>
      </c>
      <c r="AH174" s="153">
        <f t="shared" ref="AH174:AH210" si="322">SQRT((H174+I174)/(0.5*L*Fsw_DCM))</f>
        <v>1.9229606802474608</v>
      </c>
      <c r="AI174" s="153">
        <f t="shared" ref="AI174:AI205" si="323">MAX(IF(F174&gt;AB174,T174,AH174),Isw_min)</f>
        <v>3.1276098378622312</v>
      </c>
      <c r="AJ174" s="153">
        <f t="shared" ref="AJ174:AJ205" si="324">IF(F174&gt;AF174, (AI174-Isw_min)/1.08*0.8+1.2, AE174*0.2/350+1)</f>
        <v>2.90934062063869</v>
      </c>
      <c r="AL174" s="317">
        <f t="shared" ref="AL174:AL210" si="325">F174*1000</f>
        <v>320</v>
      </c>
      <c r="AM174" s="147">
        <f t="shared" ref="AM174:AM210" si="326">IF(F174&gt;AF174, X174, AE174)</f>
        <v>147.00807882088498</v>
      </c>
      <c r="AO174">
        <f t="shared" ref="AO174:AO210" si="327">IF(H174&gt;O174, "",AL174)</f>
        <v>320</v>
      </c>
      <c r="AP174">
        <f t="shared" ref="AP174:AP210" si="328">IF(H174&gt;O174, "",AM174)</f>
        <v>147.00807882088498</v>
      </c>
      <c r="AR174" s="5">
        <f t="shared" si="249"/>
        <v>6.8023472452721636</v>
      </c>
      <c r="AS174" s="5">
        <f t="shared" si="246"/>
        <v>3.1276098378622312</v>
      </c>
      <c r="AT174" s="5">
        <f t="shared" si="247"/>
        <v>3.6747374074099324</v>
      </c>
      <c r="AU174" s="153">
        <f t="shared" si="248"/>
        <v>0.45978391356542614</v>
      </c>
      <c r="AW174" s="5">
        <f t="shared" si="275"/>
        <v>6.6722343207727608</v>
      </c>
      <c r="AX174" s="5"/>
      <c r="AY174" s="5">
        <f t="shared" si="276"/>
        <v>1.2510439351448925</v>
      </c>
      <c r="AZ174" s="5"/>
      <c r="BA174" s="5">
        <f t="shared" si="277"/>
        <v>3.9236435447820424</v>
      </c>
      <c r="BB174" s="5"/>
      <c r="BC174" s="5"/>
      <c r="BD174" s="153">
        <f t="shared" si="278"/>
        <v>1.2244155301993622</v>
      </c>
      <c r="BE174" s="153">
        <f t="shared" si="279"/>
        <v>0.66359897064620643</v>
      </c>
      <c r="BF174" s="153">
        <f t="shared" si="280"/>
        <v>0.13289328405620762</v>
      </c>
      <c r="BG174" s="153"/>
      <c r="BH174" s="463">
        <f t="shared" si="281"/>
        <v>0.16491127296527239</v>
      </c>
      <c r="BI174" s="463">
        <f t="shared" si="282"/>
        <v>3.8300000000000001E-2</v>
      </c>
      <c r="BJ174" s="463">
        <f t="shared" si="283"/>
        <v>7.3504039410442487E-3</v>
      </c>
      <c r="BK174" s="463">
        <f t="shared" si="284"/>
        <v>9.1806559924450561E-3</v>
      </c>
      <c r="BL174">
        <f t="shared" si="285"/>
        <v>2.6099999999999999E-3</v>
      </c>
      <c r="BM174">
        <f t="shared" ref="BM174:BM210" si="329">(J174-Vdd)*Qg*AM174</f>
        <v>5.8803231528353993E-6</v>
      </c>
      <c r="BN174">
        <f t="shared" ref="BN174:BN205" si="330">(BI174+BJ174+BK174+BL174+BM174+BH174*(1+RdsonTC*(Ta-25)))/(1-BH174*RdsonTC*ThetaJA)</f>
        <v>0.25229767695516858</v>
      </c>
      <c r="BO174" s="147">
        <f t="shared" si="286"/>
        <v>222.35233289876169</v>
      </c>
      <c r="BP174" s="153">
        <f t="shared" si="287"/>
        <v>0.128</v>
      </c>
      <c r="BQ174" s="153">
        <f t="shared" si="288"/>
        <v>2.5600000000000001E-2</v>
      </c>
      <c r="BR174" s="463"/>
      <c r="BT174" s="147">
        <f t="shared" si="289"/>
        <v>153.60000000000002</v>
      </c>
      <c r="BU174" s="463">
        <f t="shared" si="290"/>
        <v>0.12743143820043776</v>
      </c>
      <c r="BV174" s="463">
        <f t="shared" si="291"/>
        <v>8.36690828301139E-2</v>
      </c>
      <c r="BW174" s="463">
        <f t="shared" si="292"/>
        <v>8.8303124736219436E-4</v>
      </c>
      <c r="BX174" s="463">
        <f t="shared" si="293"/>
        <v>0</v>
      </c>
      <c r="BY174" s="463">
        <f t="shared" si="274"/>
        <v>0.24151739579099846</v>
      </c>
      <c r="BZ174" s="463">
        <f t="shared" si="250"/>
        <v>0.21198355227791385</v>
      </c>
      <c r="CA174" s="549">
        <f t="shared" ref="CA174:CA210" si="331">0.5*Lleak*0.000000001*AI174^2*AM174*1000</f>
        <v>0.7190123456790124</v>
      </c>
      <c r="CB174" s="147">
        <f t="shared" si="294"/>
        <v>1384.4968460258387</v>
      </c>
      <c r="CC174" s="153">
        <f t="shared" si="251"/>
        <v>1.3664274184251795</v>
      </c>
      <c r="CD174" s="5">
        <f t="shared" si="295"/>
        <v>5.8239999999999998</v>
      </c>
      <c r="CE174" s="153">
        <f t="shared" si="296"/>
        <v>0.80996575879150601</v>
      </c>
      <c r="CF174" s="5">
        <f t="shared" si="297"/>
        <v>80.996575879150598</v>
      </c>
      <c r="CG174">
        <f t="shared" si="298"/>
        <v>64</v>
      </c>
      <c r="CI174" s="59">
        <f t="shared" ref="CI174:CI210" si="332">IF(ABS(F174-Ioutmax_Vinmin)&lt;Iout/200, AM174, -50)</f>
        <v>-50</v>
      </c>
      <c r="CJ174">
        <f t="shared" ref="CJ174:CJ210" si="333">IF(ABS(F174-Ioutmax_Vinmin)&lt;Iout/200, (O174+P174)*CE174, -50)</f>
        <v>-50</v>
      </c>
    </row>
    <row r="175" spans="5:88" x14ac:dyDescent="0.25">
      <c r="E175" s="150">
        <v>65</v>
      </c>
      <c r="F175" s="191">
        <f t="shared" ref="F175:F206" si="334">IF(PLOT_TYPE=1, E175/100*Iout_max, min_I*EXP(O175*rr/100))</f>
        <v>0.32500000000000001</v>
      </c>
      <c r="G175" s="191">
        <f t="shared" si="299"/>
        <v>6.5000000000000002E-2</v>
      </c>
      <c r="H175" s="191">
        <f t="shared" si="300"/>
        <v>4.875</v>
      </c>
      <c r="I175" s="191">
        <f t="shared" si="301"/>
        <v>1.04</v>
      </c>
      <c r="J175" s="472">
        <f t="shared" si="302"/>
        <v>9</v>
      </c>
      <c r="K175" s="386">
        <f t="shared" si="303"/>
        <v>7.66</v>
      </c>
      <c r="L175" s="386">
        <f t="shared" si="304"/>
        <v>16.66</v>
      </c>
      <c r="M175" s="386"/>
      <c r="N175" s="191">
        <f t="shared" si="305"/>
        <v>0.45978391356542619</v>
      </c>
      <c r="O175" s="152">
        <f t="shared" si="306"/>
        <v>6.2923449599620076</v>
      </c>
      <c r="P175" s="152">
        <f t="shared" si="307"/>
        <v>1.6287385354141657</v>
      </c>
      <c r="Q175" s="191">
        <f t="shared" si="308"/>
        <v>0.41948966399746718</v>
      </c>
      <c r="R175" s="191">
        <f t="shared" si="309"/>
        <v>0.39327155999762548</v>
      </c>
      <c r="S175" s="191">
        <f t="shared" si="310"/>
        <v>15</v>
      </c>
      <c r="T175" s="191">
        <f t="shared" si="311"/>
        <v>3.1764787415788285</v>
      </c>
      <c r="U175" s="191">
        <f t="shared" si="312"/>
        <v>3.1764787415788289</v>
      </c>
      <c r="V175" s="191">
        <f t="shared" si="313"/>
        <v>3.7321551794007126</v>
      </c>
      <c r="W175" s="175">
        <f t="shared" si="314"/>
        <v>350</v>
      </c>
      <c r="X175" s="386">
        <f t="shared" si="315"/>
        <v>144.74641606979444</v>
      </c>
      <c r="Z175" s="191">
        <f t="shared" si="316"/>
        <v>1.3136683244726464</v>
      </c>
      <c r="AA175" s="153">
        <f t="shared" si="317"/>
        <v>1.5434745326702111</v>
      </c>
      <c r="AB175" s="153">
        <f t="shared" si="318"/>
        <v>0.14622213484608731</v>
      </c>
      <c r="AC175" s="153"/>
      <c r="AD175" s="153">
        <f t="shared" si="319"/>
        <v>0.96344647519582249</v>
      </c>
      <c r="AE175" s="317">
        <f t="shared" si="320"/>
        <v>1645.5152356401616</v>
      </c>
      <c r="AF175" s="463">
        <f t="shared" si="321"/>
        <v>6.9127284595300251E-2</v>
      </c>
      <c r="AH175" s="153">
        <f t="shared" si="322"/>
        <v>1.9379255804998177</v>
      </c>
      <c r="AI175" s="153">
        <f t="shared" si="323"/>
        <v>3.1764787415788285</v>
      </c>
      <c r="AJ175" s="153">
        <f t="shared" si="324"/>
        <v>2.9455398085769104</v>
      </c>
      <c r="AL175" s="317">
        <f t="shared" si="325"/>
        <v>325</v>
      </c>
      <c r="AM175" s="147">
        <f t="shared" si="326"/>
        <v>144.74641606979444</v>
      </c>
      <c r="AO175">
        <f t="shared" si="327"/>
        <v>325</v>
      </c>
      <c r="AP175">
        <f t="shared" si="328"/>
        <v>144.74641606979444</v>
      </c>
      <c r="AR175" s="5">
        <f t="shared" si="249"/>
        <v>6.9086339209795407</v>
      </c>
      <c r="AS175" s="5">
        <f t="shared" si="246"/>
        <v>3.1764787415788289</v>
      </c>
      <c r="AT175" s="5">
        <f t="shared" si="247"/>
        <v>3.7321551794007117</v>
      </c>
      <c r="AU175" s="153">
        <f t="shared" si="248"/>
        <v>0.45978391356542625</v>
      </c>
      <c r="AW175" s="5">
        <f t="shared" si="275"/>
        <v>6.8823706067541304</v>
      </c>
      <c r="AX175" s="5"/>
      <c r="AY175" s="5">
        <f t="shared" si="276"/>
        <v>1.2904444887663993</v>
      </c>
      <c r="AZ175" s="5"/>
      <c r="BA175" s="5">
        <f t="shared" si="277"/>
        <v>4.0472153263437809</v>
      </c>
      <c r="BB175" s="5"/>
      <c r="BC175" s="5"/>
      <c r="BD175" s="153">
        <f t="shared" si="278"/>
        <v>1.2435470228587273</v>
      </c>
      <c r="BE175" s="153">
        <f t="shared" si="279"/>
        <v>0.67396770456255328</v>
      </c>
      <c r="BF175" s="153">
        <f t="shared" si="280"/>
        <v>0.13496974161958583</v>
      </c>
      <c r="BG175" s="153"/>
      <c r="BH175" s="463">
        <f t="shared" si="281"/>
        <v>0.17010501178668846</v>
      </c>
      <c r="BI175" s="463">
        <f t="shared" si="282"/>
        <v>3.8299999999999994E-2</v>
      </c>
      <c r="BJ175" s="463">
        <f t="shared" si="283"/>
        <v>7.237320803489722E-3</v>
      </c>
      <c r="BK175" s="463">
        <f t="shared" si="284"/>
        <v>9.0394151310228231E-3</v>
      </c>
      <c r="BL175">
        <f t="shared" si="285"/>
        <v>2.6099999999999999E-3</v>
      </c>
      <c r="BM175">
        <f t="shared" si="329"/>
        <v>5.7898566427917779E-6</v>
      </c>
      <c r="BN175">
        <f t="shared" si="330"/>
        <v>0.25837051109410336</v>
      </c>
      <c r="BO175" s="147">
        <f t="shared" si="286"/>
        <v>227.29174772120101</v>
      </c>
      <c r="BP175" s="153">
        <f t="shared" si="287"/>
        <v>0.13</v>
      </c>
      <c r="BQ175" s="153">
        <f t="shared" si="288"/>
        <v>2.6000000000000002E-2</v>
      </c>
      <c r="BR175" s="463"/>
      <c r="BT175" s="147">
        <f t="shared" si="289"/>
        <v>156</v>
      </c>
      <c r="BU175" s="463">
        <f t="shared" si="290"/>
        <v>0.13144478183516836</v>
      </c>
      <c r="BV175" s="463">
        <f t="shared" si="291"/>
        <v>8.6304168690730251E-2</v>
      </c>
      <c r="BW175" s="463">
        <f t="shared" si="292"/>
        <v>9.1084155764288805E-4</v>
      </c>
      <c r="BX175" s="463">
        <f t="shared" si="293"/>
        <v>0</v>
      </c>
      <c r="BY175" s="463">
        <f t="shared" si="274"/>
        <v>0.24925920439825708</v>
      </c>
      <c r="BZ175" s="463">
        <f t="shared" si="250"/>
        <v>0.2186597920835415</v>
      </c>
      <c r="CA175" s="549">
        <f t="shared" si="331"/>
        <v>0.73024691358024707</v>
      </c>
      <c r="CB175" s="147">
        <f t="shared" si="294"/>
        <v>1416.8257021455872</v>
      </c>
      <c r="CC175" s="153">
        <f t="shared" si="251"/>
        <v>1.3938766290726075</v>
      </c>
      <c r="CD175" s="5">
        <f t="shared" si="295"/>
        <v>5.915</v>
      </c>
      <c r="CE175" s="153">
        <f t="shared" si="296"/>
        <v>0.80928989503966076</v>
      </c>
      <c r="CF175" s="5">
        <f t="shared" si="297"/>
        <v>80.928989503966079</v>
      </c>
      <c r="CG175">
        <f t="shared" si="298"/>
        <v>65</v>
      </c>
      <c r="CI175" s="59">
        <f t="shared" si="332"/>
        <v>-50</v>
      </c>
      <c r="CJ175">
        <f t="shared" si="333"/>
        <v>-50</v>
      </c>
    </row>
    <row r="176" spans="5:88" x14ac:dyDescent="0.25">
      <c r="E176" s="150">
        <v>66</v>
      </c>
      <c r="F176" s="191">
        <f t="shared" si="334"/>
        <v>0.33</v>
      </c>
      <c r="G176" s="191">
        <f t="shared" si="299"/>
        <v>6.6000000000000003E-2</v>
      </c>
      <c r="H176" s="191">
        <f t="shared" si="300"/>
        <v>4.95</v>
      </c>
      <c r="I176" s="191">
        <f t="shared" si="301"/>
        <v>1.056</v>
      </c>
      <c r="J176" s="472">
        <f t="shared" si="302"/>
        <v>9</v>
      </c>
      <c r="K176" s="386">
        <f t="shared" si="303"/>
        <v>7.66</v>
      </c>
      <c r="L176" s="386">
        <f t="shared" si="304"/>
        <v>16.66</v>
      </c>
      <c r="M176" s="386"/>
      <c r="N176" s="191">
        <f t="shared" si="305"/>
        <v>0.45978391356542619</v>
      </c>
      <c r="O176" s="152">
        <f t="shared" si="306"/>
        <v>6.2923449599620076</v>
      </c>
      <c r="P176" s="152">
        <f t="shared" si="307"/>
        <v>1.6287385354141657</v>
      </c>
      <c r="Q176" s="191">
        <f t="shared" si="308"/>
        <v>0.41948966399746718</v>
      </c>
      <c r="R176" s="191">
        <f t="shared" si="309"/>
        <v>0.39327155999762548</v>
      </c>
      <c r="S176" s="191">
        <f t="shared" si="310"/>
        <v>15</v>
      </c>
      <c r="T176" s="191">
        <f t="shared" si="311"/>
        <v>3.2253476452954262</v>
      </c>
      <c r="U176" s="191">
        <f t="shared" si="312"/>
        <v>3.2253476452954262</v>
      </c>
      <c r="V176" s="191">
        <f t="shared" si="313"/>
        <v>3.7895729513914924</v>
      </c>
      <c r="W176" s="175">
        <f t="shared" si="314"/>
        <v>350</v>
      </c>
      <c r="X176" s="386">
        <f t="shared" si="315"/>
        <v>142.55328855358542</v>
      </c>
      <c r="Z176" s="191">
        <f t="shared" si="316"/>
        <v>1.3136683244726464</v>
      </c>
      <c r="AA176" s="153">
        <f t="shared" si="317"/>
        <v>1.5434745326702111</v>
      </c>
      <c r="AB176" s="153">
        <f t="shared" si="318"/>
        <v>0.14622213484608731</v>
      </c>
      <c r="AC176" s="153"/>
      <c r="AD176" s="153">
        <f t="shared" si="319"/>
        <v>0.96344647519582249</v>
      </c>
      <c r="AE176" s="317">
        <f t="shared" si="320"/>
        <v>1670.83085465001</v>
      </c>
      <c r="AF176" s="463">
        <f t="shared" si="321"/>
        <v>6.9127284595300251E-2</v>
      </c>
      <c r="AH176" s="153">
        <f t="shared" si="322"/>
        <v>1.9527758021169079</v>
      </c>
      <c r="AI176" s="153">
        <f t="shared" si="323"/>
        <v>3.2253476452954262</v>
      </c>
      <c r="AJ176" s="153">
        <f t="shared" si="324"/>
        <v>2.9817389965151304</v>
      </c>
      <c r="AL176" s="317">
        <f t="shared" si="325"/>
        <v>330</v>
      </c>
      <c r="AM176" s="147">
        <f t="shared" si="326"/>
        <v>142.55328855358542</v>
      </c>
      <c r="AO176">
        <f t="shared" si="327"/>
        <v>330</v>
      </c>
      <c r="AP176">
        <f t="shared" si="328"/>
        <v>142.55328855358542</v>
      </c>
      <c r="AR176" s="5">
        <f t="shared" si="249"/>
        <v>7.0149205966869195</v>
      </c>
      <c r="AS176" s="5">
        <f t="shared" si="246"/>
        <v>3.2253476452954262</v>
      </c>
      <c r="AT176" s="5">
        <f t="shared" si="247"/>
        <v>3.7895729513914933</v>
      </c>
      <c r="AU176" s="153">
        <f t="shared" si="248"/>
        <v>0.45978391356542614</v>
      </c>
      <c r="AW176" s="5">
        <f t="shared" si="275"/>
        <v>7.0957648196499372</v>
      </c>
      <c r="AX176" s="5"/>
      <c r="AY176" s="5">
        <f t="shared" si="276"/>
        <v>1.3304559036843633</v>
      </c>
      <c r="AZ176" s="5"/>
      <c r="BA176" s="5">
        <f t="shared" si="277"/>
        <v>4.1727029494801222</v>
      </c>
      <c r="BB176" s="5"/>
      <c r="BC176" s="5"/>
      <c r="BD176" s="153">
        <f t="shared" si="278"/>
        <v>1.2626785155180924</v>
      </c>
      <c r="BE176" s="153">
        <f t="shared" si="279"/>
        <v>0.68433643847890036</v>
      </c>
      <c r="BF176" s="153">
        <f t="shared" si="280"/>
        <v>0.13704619918296412</v>
      </c>
      <c r="BG176" s="153"/>
      <c r="BH176" s="463">
        <f t="shared" si="281"/>
        <v>0.1753792736906071</v>
      </c>
      <c r="BI176" s="463">
        <f t="shared" si="282"/>
        <v>3.8300000000000001E-2</v>
      </c>
      <c r="BJ176" s="463">
        <f t="shared" si="283"/>
        <v>7.127664427679271E-3</v>
      </c>
      <c r="BK176" s="463">
        <f t="shared" si="284"/>
        <v>8.902454295704295E-3</v>
      </c>
      <c r="BL176">
        <f t="shared" si="285"/>
        <v>2.6099999999999999E-3</v>
      </c>
      <c r="BM176">
        <f t="shared" si="329"/>
        <v>5.7021315421434165E-6</v>
      </c>
      <c r="BN176">
        <f t="shared" si="330"/>
        <v>0.26456185021141609</v>
      </c>
      <c r="BO176" s="147">
        <f t="shared" si="286"/>
        <v>232.31939241399067</v>
      </c>
      <c r="BP176" s="153">
        <f t="shared" si="287"/>
        <v>0.13200000000000001</v>
      </c>
      <c r="BQ176" s="153">
        <f t="shared" si="288"/>
        <v>2.6400000000000003E-2</v>
      </c>
      <c r="BR176" s="463"/>
      <c r="BT176" s="147">
        <f t="shared" si="289"/>
        <v>158.4</v>
      </c>
      <c r="BU176" s="463">
        <f t="shared" si="290"/>
        <v>0.13552034785183276</v>
      </c>
      <c r="BV176" s="463">
        <f t="shared" si="291"/>
        <v>8.8980108595697299E-2</v>
      </c>
      <c r="BW176" s="463">
        <f t="shared" si="292"/>
        <v>9.390830355248339E-4</v>
      </c>
      <c r="BX176" s="463">
        <f t="shared" si="293"/>
        <v>0</v>
      </c>
      <c r="BY176" s="463">
        <f t="shared" si="274"/>
        <v>0.25712965958455564</v>
      </c>
      <c r="BZ176" s="463">
        <f t="shared" si="250"/>
        <v>0.2254395394830549</v>
      </c>
      <c r="CA176" s="549">
        <f t="shared" si="331"/>
        <v>0.74148148148148152</v>
      </c>
      <c r="CB176" s="147">
        <f t="shared" si="294"/>
        <v>1449.4902200321471</v>
      </c>
      <c r="CC176" s="153">
        <f t="shared" si="251"/>
        <v>1.4215729912774533</v>
      </c>
      <c r="CD176" s="5">
        <f t="shared" si="295"/>
        <v>6.0060000000000002</v>
      </c>
      <c r="CE176" s="153">
        <f t="shared" si="296"/>
        <v>0.80860868106622807</v>
      </c>
      <c r="CF176" s="5">
        <f t="shared" si="297"/>
        <v>80.860868106622803</v>
      </c>
      <c r="CG176">
        <f t="shared" si="298"/>
        <v>66</v>
      </c>
      <c r="CI176" s="59">
        <f t="shared" si="332"/>
        <v>-50</v>
      </c>
      <c r="CJ176">
        <f t="shared" si="333"/>
        <v>-50</v>
      </c>
    </row>
    <row r="177" spans="5:88" x14ac:dyDescent="0.25">
      <c r="E177" s="150">
        <v>67</v>
      </c>
      <c r="F177" s="191">
        <f t="shared" si="334"/>
        <v>0.33500000000000002</v>
      </c>
      <c r="G177" s="191">
        <f t="shared" si="299"/>
        <v>6.7000000000000004E-2</v>
      </c>
      <c r="H177" s="191">
        <f t="shared" si="300"/>
        <v>5.0250000000000004</v>
      </c>
      <c r="I177" s="191">
        <f t="shared" si="301"/>
        <v>1.0720000000000001</v>
      </c>
      <c r="J177" s="472">
        <f t="shared" si="302"/>
        <v>9</v>
      </c>
      <c r="K177" s="386">
        <f t="shared" si="303"/>
        <v>7.66</v>
      </c>
      <c r="L177" s="386">
        <f t="shared" si="304"/>
        <v>16.66</v>
      </c>
      <c r="M177" s="386"/>
      <c r="N177" s="191">
        <f t="shared" si="305"/>
        <v>0.45978391356542619</v>
      </c>
      <c r="O177" s="152">
        <f t="shared" si="306"/>
        <v>6.2923449599620076</v>
      </c>
      <c r="P177" s="152">
        <f t="shared" si="307"/>
        <v>1.6287385354141657</v>
      </c>
      <c r="Q177" s="191">
        <f t="shared" si="308"/>
        <v>0.41948966399746718</v>
      </c>
      <c r="R177" s="191">
        <f t="shared" si="309"/>
        <v>0.39327155999762548</v>
      </c>
      <c r="S177" s="191">
        <f t="shared" si="310"/>
        <v>15</v>
      </c>
      <c r="T177" s="191">
        <f t="shared" si="311"/>
        <v>3.2742165490120234</v>
      </c>
      <c r="U177" s="191">
        <f t="shared" si="312"/>
        <v>3.2742165490120234</v>
      </c>
      <c r="V177" s="191">
        <f t="shared" si="313"/>
        <v>3.8469907233822727</v>
      </c>
      <c r="W177" s="175">
        <f t="shared" si="314"/>
        <v>350</v>
      </c>
      <c r="X177" s="386">
        <f t="shared" si="315"/>
        <v>140.42562753039761</v>
      </c>
      <c r="Z177" s="191">
        <f t="shared" si="316"/>
        <v>1.3136683244726464</v>
      </c>
      <c r="AA177" s="153">
        <f t="shared" si="317"/>
        <v>1.5434745326702111</v>
      </c>
      <c r="AB177" s="153">
        <f t="shared" si="318"/>
        <v>0.14622213484608731</v>
      </c>
      <c r="AC177" s="153"/>
      <c r="AD177" s="153">
        <f t="shared" si="319"/>
        <v>0.96344647519582249</v>
      </c>
      <c r="AE177" s="317">
        <f t="shared" si="320"/>
        <v>1696.1464736598589</v>
      </c>
      <c r="AF177" s="463">
        <f t="shared" si="321"/>
        <v>6.9127284595300251E-2</v>
      </c>
      <c r="AH177" s="153">
        <f t="shared" si="322"/>
        <v>1.9675139417831609</v>
      </c>
      <c r="AI177" s="153">
        <f t="shared" si="323"/>
        <v>3.2742165490120234</v>
      </c>
      <c r="AJ177" s="153">
        <f t="shared" si="324"/>
        <v>3.0179381844533504</v>
      </c>
      <c r="AL177" s="317">
        <f t="shared" si="325"/>
        <v>335</v>
      </c>
      <c r="AM177" s="147">
        <f t="shared" si="326"/>
        <v>140.42562753039761</v>
      </c>
      <c r="AO177">
        <f t="shared" si="327"/>
        <v>335</v>
      </c>
      <c r="AP177">
        <f t="shared" si="328"/>
        <v>140.42562753039761</v>
      </c>
      <c r="AR177" s="5">
        <f t="shared" si="249"/>
        <v>7.1212072723942956</v>
      </c>
      <c r="AS177" s="5">
        <f t="shared" si="246"/>
        <v>3.2742165490120234</v>
      </c>
      <c r="AT177" s="5">
        <f t="shared" si="247"/>
        <v>3.8469907233822722</v>
      </c>
      <c r="AU177" s="153">
        <f t="shared" si="248"/>
        <v>0.45978391356542619</v>
      </c>
      <c r="AW177" s="5">
        <f t="shared" si="275"/>
        <v>7.3124169594601849</v>
      </c>
      <c r="AX177" s="5"/>
      <c r="AY177" s="5">
        <f t="shared" si="276"/>
        <v>1.3710781798987848</v>
      </c>
      <c r="AZ177" s="5"/>
      <c r="BA177" s="5">
        <f t="shared" si="277"/>
        <v>4.3001064141910623</v>
      </c>
      <c r="BB177" s="5"/>
      <c r="BC177" s="5"/>
      <c r="BD177" s="153">
        <f t="shared" si="278"/>
        <v>1.2818100081774575</v>
      </c>
      <c r="BE177" s="153">
        <f t="shared" si="279"/>
        <v>0.69470517239524721</v>
      </c>
      <c r="BF177" s="153">
        <f t="shared" si="280"/>
        <v>0.13912265674634236</v>
      </c>
      <c r="BG177" s="153"/>
      <c r="BH177" s="463">
        <f t="shared" si="281"/>
        <v>0.1807340586770283</v>
      </c>
      <c r="BI177" s="463">
        <f t="shared" si="282"/>
        <v>3.8300000000000008E-2</v>
      </c>
      <c r="BJ177" s="463">
        <f t="shared" si="283"/>
        <v>7.0212813765198803E-3</v>
      </c>
      <c r="BK177" s="463">
        <f t="shared" si="284"/>
        <v>8.7695818435296075E-3</v>
      </c>
      <c r="BL177">
        <f t="shared" si="285"/>
        <v>2.6099999999999999E-3</v>
      </c>
      <c r="BM177">
        <f t="shared" si="329"/>
        <v>5.6170251012159045E-6</v>
      </c>
      <c r="BN177">
        <f t="shared" si="330"/>
        <v>0.27087198054617395</v>
      </c>
      <c r="BO177" s="147">
        <f t="shared" si="286"/>
        <v>237.4349218970778</v>
      </c>
      <c r="BP177" s="153">
        <f t="shared" si="287"/>
        <v>0.13400000000000001</v>
      </c>
      <c r="BQ177" s="153">
        <f t="shared" si="288"/>
        <v>2.6800000000000004E-2</v>
      </c>
      <c r="BR177" s="463"/>
      <c r="BT177" s="147">
        <f t="shared" si="289"/>
        <v>160.80000000000001</v>
      </c>
      <c r="BU177" s="463">
        <f t="shared" si="290"/>
        <v>0.13965813625043097</v>
      </c>
      <c r="BV177" s="463">
        <f t="shared" si="291"/>
        <v>9.1696902545014933E-2</v>
      </c>
      <c r="BW177" s="463">
        <f t="shared" si="292"/>
        <v>9.6775568100803007E-4</v>
      </c>
      <c r="BX177" s="463">
        <f t="shared" si="293"/>
        <v>0</v>
      </c>
      <c r="BY177" s="463">
        <f t="shared" si="274"/>
        <v>0.26512917385908247</v>
      </c>
      <c r="BZ177" s="463">
        <f t="shared" si="250"/>
        <v>0.23232279447645393</v>
      </c>
      <c r="CA177" s="549">
        <f t="shared" si="331"/>
        <v>0.7527160493827163</v>
      </c>
      <c r="CB177" s="147">
        <f t="shared" si="294"/>
        <v>1482.4908121947067</v>
      </c>
      <c r="CC177" s="153">
        <f t="shared" si="251"/>
        <v>1.4495172037879727</v>
      </c>
      <c r="CD177" s="5">
        <f t="shared" si="295"/>
        <v>6.0970000000000004</v>
      </c>
      <c r="CE177" s="153">
        <f t="shared" si="296"/>
        <v>0.80792236144901552</v>
      </c>
      <c r="CF177" s="5">
        <f t="shared" si="297"/>
        <v>80.792236144901551</v>
      </c>
      <c r="CG177">
        <f t="shared" si="298"/>
        <v>67</v>
      </c>
      <c r="CI177" s="59">
        <f t="shared" si="332"/>
        <v>-50</v>
      </c>
      <c r="CJ177">
        <f t="shared" si="333"/>
        <v>-50</v>
      </c>
    </row>
    <row r="178" spans="5:88" x14ac:dyDescent="0.25">
      <c r="E178" s="150">
        <v>68</v>
      </c>
      <c r="F178" s="191">
        <f t="shared" si="334"/>
        <v>0.34</v>
      </c>
      <c r="G178" s="191">
        <f t="shared" si="299"/>
        <v>6.8000000000000005E-2</v>
      </c>
      <c r="H178" s="191">
        <f t="shared" si="300"/>
        <v>5.1000000000000005</v>
      </c>
      <c r="I178" s="191">
        <f t="shared" si="301"/>
        <v>1.0880000000000001</v>
      </c>
      <c r="J178" s="472">
        <f t="shared" si="302"/>
        <v>9</v>
      </c>
      <c r="K178" s="386">
        <f t="shared" si="303"/>
        <v>7.66</v>
      </c>
      <c r="L178" s="386">
        <f t="shared" si="304"/>
        <v>16.66</v>
      </c>
      <c r="M178" s="386"/>
      <c r="N178" s="191">
        <f t="shared" si="305"/>
        <v>0.45978391356542619</v>
      </c>
      <c r="O178" s="152">
        <f t="shared" si="306"/>
        <v>6.2923449599620076</v>
      </c>
      <c r="P178" s="152">
        <f t="shared" si="307"/>
        <v>1.6287385354141657</v>
      </c>
      <c r="Q178" s="191">
        <f t="shared" si="308"/>
        <v>0.41948966399746718</v>
      </c>
      <c r="R178" s="191">
        <f t="shared" si="309"/>
        <v>0.39327155999762548</v>
      </c>
      <c r="S178" s="191">
        <f t="shared" si="310"/>
        <v>15</v>
      </c>
      <c r="T178" s="191">
        <f t="shared" si="311"/>
        <v>3.3230854527286211</v>
      </c>
      <c r="U178" s="191">
        <f t="shared" si="312"/>
        <v>3.3230854527286211</v>
      </c>
      <c r="V178" s="191">
        <f t="shared" si="313"/>
        <v>3.9044084953730538</v>
      </c>
      <c r="W178" s="175">
        <f t="shared" si="314"/>
        <v>350</v>
      </c>
      <c r="X178" s="386">
        <f t="shared" si="315"/>
        <v>138.36054477259759</v>
      </c>
      <c r="Z178" s="191">
        <f t="shared" si="316"/>
        <v>1.3136683244726464</v>
      </c>
      <c r="AA178" s="153">
        <f t="shared" si="317"/>
        <v>1.5434745326702111</v>
      </c>
      <c r="AB178" s="153">
        <f t="shared" si="318"/>
        <v>0.14622213484608731</v>
      </c>
      <c r="AC178" s="153"/>
      <c r="AD178" s="153">
        <f t="shared" si="319"/>
        <v>0.96344647519582249</v>
      </c>
      <c r="AE178" s="317">
        <f t="shared" si="320"/>
        <v>1721.4620926697075</v>
      </c>
      <c r="AF178" s="463">
        <f t="shared" si="321"/>
        <v>6.9127284595300251E-2</v>
      </c>
      <c r="AH178" s="153">
        <f t="shared" si="322"/>
        <v>1.9821424996424675</v>
      </c>
      <c r="AI178" s="153">
        <f t="shared" si="323"/>
        <v>3.3230854527286211</v>
      </c>
      <c r="AJ178" s="153">
        <f t="shared" si="324"/>
        <v>3.0541373723915712</v>
      </c>
      <c r="AL178" s="317">
        <f t="shared" si="325"/>
        <v>340</v>
      </c>
      <c r="AM178" s="147">
        <f t="shared" si="326"/>
        <v>138.36054477259759</v>
      </c>
      <c r="AO178">
        <f t="shared" si="327"/>
        <v>340</v>
      </c>
      <c r="AP178">
        <f t="shared" si="328"/>
        <v>138.36054477259759</v>
      </c>
      <c r="AR178" s="5">
        <f t="shared" si="249"/>
        <v>7.2274939481016753</v>
      </c>
      <c r="AS178" s="5">
        <f t="shared" si="246"/>
        <v>3.3230854527286211</v>
      </c>
      <c r="AT178" s="5">
        <f t="shared" si="247"/>
        <v>3.9044084953730542</v>
      </c>
      <c r="AU178" s="153">
        <f t="shared" si="248"/>
        <v>0.45978391356542614</v>
      </c>
      <c r="AW178" s="5">
        <f t="shared" si="275"/>
        <v>7.5323270261848752</v>
      </c>
      <c r="AX178" s="5"/>
      <c r="AY178" s="5">
        <f t="shared" si="276"/>
        <v>1.4123113174096642</v>
      </c>
      <c r="AZ178" s="5"/>
      <c r="BA178" s="5">
        <f t="shared" si="277"/>
        <v>4.4294257204766048</v>
      </c>
      <c r="BB178" s="5"/>
      <c r="BC178" s="5"/>
      <c r="BD178" s="153">
        <f t="shared" si="278"/>
        <v>1.3009415008368226</v>
      </c>
      <c r="BE178" s="153">
        <f t="shared" si="279"/>
        <v>0.70507390631159439</v>
      </c>
      <c r="BF178" s="153">
        <f t="shared" si="280"/>
        <v>0.1411991143097206</v>
      </c>
      <c r="BG178" s="153"/>
      <c r="BH178" s="463">
        <f t="shared" si="281"/>
        <v>0.18616936674595211</v>
      </c>
      <c r="BI178" s="463">
        <f t="shared" si="282"/>
        <v>3.8299999999999994E-2</v>
      </c>
      <c r="BJ178" s="463">
        <f t="shared" si="283"/>
        <v>6.9180272386298799E-3</v>
      </c>
      <c r="BK178" s="463">
        <f t="shared" si="284"/>
        <v>8.6406174046541676E-3</v>
      </c>
      <c r="BL178">
        <f t="shared" si="285"/>
        <v>2.6099999999999999E-3</v>
      </c>
      <c r="BM178">
        <f t="shared" si="329"/>
        <v>5.534421790903904E-6</v>
      </c>
      <c r="BN178">
        <f t="shared" si="330"/>
        <v>0.27730122149395964</v>
      </c>
      <c r="BO178" s="147">
        <f t="shared" si="286"/>
        <v>242.63801138923617</v>
      </c>
      <c r="BP178" s="153">
        <f t="shared" si="287"/>
        <v>0.13600000000000001</v>
      </c>
      <c r="BQ178" s="153">
        <f t="shared" si="288"/>
        <v>2.7200000000000002E-2</v>
      </c>
      <c r="BR178" s="463"/>
      <c r="BT178" s="147">
        <f t="shared" si="289"/>
        <v>163.20000000000002</v>
      </c>
      <c r="BU178" s="463">
        <f t="shared" si="290"/>
        <v>0.143858147030963</v>
      </c>
      <c r="BV178" s="463">
        <f t="shared" si="291"/>
        <v>9.4454550538683291E-2</v>
      </c>
      <c r="BW178" s="463">
        <f t="shared" si="292"/>
        <v>9.9685949409247712E-4</v>
      </c>
      <c r="BX178" s="463">
        <f t="shared" si="293"/>
        <v>0</v>
      </c>
      <c r="BY178" s="463">
        <f t="shared" si="274"/>
        <v>0.2732581671876862</v>
      </c>
      <c r="BZ178" s="463">
        <f t="shared" si="250"/>
        <v>0.23930955706373877</v>
      </c>
      <c r="CA178" s="549">
        <f t="shared" si="331"/>
        <v>0.76395061728395075</v>
      </c>
      <c r="CB178" s="147">
        <f t="shared" si="294"/>
        <v>1515.8278985991144</v>
      </c>
      <c r="CC178" s="153">
        <f t="shared" si="251"/>
        <v>1.4777100059655965</v>
      </c>
      <c r="CD178" s="5">
        <f t="shared" si="295"/>
        <v>6.1880000000000006</v>
      </c>
      <c r="CE178" s="153">
        <f t="shared" si="296"/>
        <v>0.80723116256477023</v>
      </c>
      <c r="CF178" s="5">
        <f t="shared" si="297"/>
        <v>80.723116256477027</v>
      </c>
      <c r="CG178">
        <f t="shared" si="298"/>
        <v>68</v>
      </c>
      <c r="CI178" s="59">
        <f t="shared" si="332"/>
        <v>-50</v>
      </c>
      <c r="CJ178">
        <f t="shared" si="333"/>
        <v>-50</v>
      </c>
    </row>
    <row r="179" spans="5:88" x14ac:dyDescent="0.25">
      <c r="E179" s="150">
        <v>69</v>
      </c>
      <c r="F179" s="191">
        <f t="shared" si="334"/>
        <v>0.34499999999999997</v>
      </c>
      <c r="G179" s="191">
        <f t="shared" si="299"/>
        <v>6.8999999999999992E-2</v>
      </c>
      <c r="H179" s="191">
        <f t="shared" si="300"/>
        <v>5.1749999999999998</v>
      </c>
      <c r="I179" s="191">
        <f t="shared" si="301"/>
        <v>1.1039999999999999</v>
      </c>
      <c r="J179" s="472">
        <f t="shared" si="302"/>
        <v>9</v>
      </c>
      <c r="K179" s="386">
        <f t="shared" si="303"/>
        <v>7.66</v>
      </c>
      <c r="L179" s="386">
        <f t="shared" si="304"/>
        <v>16.66</v>
      </c>
      <c r="M179" s="386"/>
      <c r="N179" s="191">
        <f t="shared" si="305"/>
        <v>0.45978391356542619</v>
      </c>
      <c r="O179" s="152">
        <f t="shared" si="306"/>
        <v>6.2923449599620076</v>
      </c>
      <c r="P179" s="152">
        <f t="shared" si="307"/>
        <v>1.6287385354141657</v>
      </c>
      <c r="Q179" s="191">
        <f t="shared" si="308"/>
        <v>0.41948966399746718</v>
      </c>
      <c r="R179" s="191">
        <f t="shared" si="309"/>
        <v>0.39327155999762548</v>
      </c>
      <c r="S179" s="191">
        <f t="shared" si="310"/>
        <v>15</v>
      </c>
      <c r="T179" s="191">
        <f t="shared" si="311"/>
        <v>3.3719543564452179</v>
      </c>
      <c r="U179" s="191">
        <f t="shared" si="312"/>
        <v>3.3719543564452179</v>
      </c>
      <c r="V179" s="191">
        <f t="shared" si="313"/>
        <v>3.9618262673638331</v>
      </c>
      <c r="W179" s="175">
        <f t="shared" si="314"/>
        <v>350</v>
      </c>
      <c r="X179" s="386">
        <f t="shared" si="315"/>
        <v>136.35531948603824</v>
      </c>
      <c r="Z179" s="191">
        <f t="shared" si="316"/>
        <v>1.3136683244726464</v>
      </c>
      <c r="AA179" s="153">
        <f t="shared" si="317"/>
        <v>1.5434745326702111</v>
      </c>
      <c r="AB179" s="153">
        <f t="shared" si="318"/>
        <v>0.14622213484608731</v>
      </c>
      <c r="AC179" s="153"/>
      <c r="AD179" s="153">
        <f t="shared" si="319"/>
        <v>0.96344647519582249</v>
      </c>
      <c r="AE179" s="317">
        <f t="shared" si="320"/>
        <v>1746.777711679556</v>
      </c>
      <c r="AF179" s="463">
        <f t="shared" si="321"/>
        <v>6.9127284595300251E-2</v>
      </c>
      <c r="AH179" s="153">
        <f t="shared" si="322"/>
        <v>1.9966638842495916</v>
      </c>
      <c r="AI179" s="153">
        <f t="shared" si="323"/>
        <v>3.3719543564452179</v>
      </c>
      <c r="AJ179" s="153">
        <f t="shared" si="324"/>
        <v>3.0903365603297912</v>
      </c>
      <c r="AL179" s="317">
        <f t="shared" si="325"/>
        <v>345</v>
      </c>
      <c r="AM179" s="147">
        <f t="shared" si="326"/>
        <v>136.35531948603824</v>
      </c>
      <c r="AO179">
        <f t="shared" si="327"/>
        <v>345</v>
      </c>
      <c r="AP179">
        <f t="shared" si="328"/>
        <v>136.35531948603824</v>
      </c>
      <c r="AR179" s="5">
        <f t="shared" si="249"/>
        <v>7.3337806238090515</v>
      </c>
      <c r="AS179" s="5">
        <f t="shared" ref="AS179:AS242" si="335">L*AI179/J179*1000000</f>
        <v>3.3719543564452179</v>
      </c>
      <c r="AT179" s="5">
        <f t="shared" ref="AT179:AT242" si="336">AR179-AS179</f>
        <v>3.9618262673638336</v>
      </c>
      <c r="AU179" s="153">
        <f t="shared" ref="AU179:AU242" si="337">AS179/AR179</f>
        <v>0.45978391356542614</v>
      </c>
      <c r="AW179" s="5">
        <f t="shared" si="275"/>
        <v>7.755495019824</v>
      </c>
      <c r="AX179" s="5"/>
      <c r="AY179" s="5">
        <f t="shared" si="276"/>
        <v>1.454155316217</v>
      </c>
      <c r="AZ179" s="5"/>
      <c r="BA179" s="5">
        <f t="shared" si="277"/>
        <v>4.5606608683367451</v>
      </c>
      <c r="BB179" s="5"/>
      <c r="BC179" s="5"/>
      <c r="BD179" s="153">
        <f t="shared" si="278"/>
        <v>1.3200729934961875</v>
      </c>
      <c r="BE179" s="153">
        <f t="shared" si="279"/>
        <v>0.71544264022794124</v>
      </c>
      <c r="BF179" s="153">
        <f t="shared" si="280"/>
        <v>0.14327557187309883</v>
      </c>
      <c r="BG179" s="153"/>
      <c r="BH179" s="463">
        <f t="shared" si="281"/>
        <v>0.1916851978973784</v>
      </c>
      <c r="BI179" s="463">
        <f t="shared" si="282"/>
        <v>3.8300000000000001E-2</v>
      </c>
      <c r="BJ179" s="463">
        <f t="shared" si="283"/>
        <v>6.8177659743019117E-3</v>
      </c>
      <c r="BK179" s="463">
        <f t="shared" si="284"/>
        <v>8.5153910654562834E-3</v>
      </c>
      <c r="BL179">
        <f t="shared" si="285"/>
        <v>2.6099999999999999E-3</v>
      </c>
      <c r="BM179">
        <f t="shared" si="329"/>
        <v>5.4542127794415296E-6</v>
      </c>
      <c r="BN179">
        <f t="shared" si="330"/>
        <v>0.28384992430045314</v>
      </c>
      <c r="BO179" s="147">
        <f t="shared" si="286"/>
        <v>247.92835493713662</v>
      </c>
      <c r="BP179" s="153">
        <f t="shared" si="287"/>
        <v>0.13799999999999998</v>
      </c>
      <c r="BQ179" s="153">
        <f t="shared" si="288"/>
        <v>2.76E-2</v>
      </c>
      <c r="BR179" s="463"/>
      <c r="BT179" s="147">
        <f t="shared" si="289"/>
        <v>165.59999999999997</v>
      </c>
      <c r="BU179" s="463">
        <f t="shared" si="290"/>
        <v>0.14812038019342877</v>
      </c>
      <c r="BV179" s="463">
        <f t="shared" si="291"/>
        <v>9.7253052576702206E-2</v>
      </c>
      <c r="BW179" s="463">
        <f t="shared" si="292"/>
        <v>1.0263944747781757E-3</v>
      </c>
      <c r="BX179" s="463">
        <f t="shared" si="293"/>
        <v>0</v>
      </c>
      <c r="BY179" s="463">
        <f t="shared" si="274"/>
        <v>0.28151706704929341</v>
      </c>
      <c r="BZ179" s="463">
        <f t="shared" si="250"/>
        <v>0.24639982724490914</v>
      </c>
      <c r="CA179" s="549">
        <f t="shared" si="331"/>
        <v>0.77518518518518531</v>
      </c>
      <c r="CB179" s="147">
        <f t="shared" si="294"/>
        <v>1549.501906724297</v>
      </c>
      <c r="CC179" s="153">
        <f t="shared" si="251"/>
        <v>1.5061521765349317</v>
      </c>
      <c r="CD179" s="5">
        <f t="shared" si="295"/>
        <v>6.2789999999999999</v>
      </c>
      <c r="CE179" s="153">
        <f t="shared" si="296"/>
        <v>0.80653529405955682</v>
      </c>
      <c r="CF179" s="5">
        <f t="shared" si="297"/>
        <v>80.65352940595568</v>
      </c>
      <c r="CG179">
        <f t="shared" si="298"/>
        <v>69</v>
      </c>
      <c r="CI179" s="59">
        <f t="shared" si="332"/>
        <v>-50</v>
      </c>
      <c r="CJ179">
        <f t="shared" si="333"/>
        <v>-50</v>
      </c>
    </row>
    <row r="180" spans="5:88" x14ac:dyDescent="0.25">
      <c r="E180" s="150">
        <v>70</v>
      </c>
      <c r="F180" s="191">
        <f t="shared" si="334"/>
        <v>0.35</v>
      </c>
      <c r="G180" s="191">
        <f t="shared" si="299"/>
        <v>6.9999999999999993E-2</v>
      </c>
      <c r="H180" s="191">
        <f t="shared" si="300"/>
        <v>5.25</v>
      </c>
      <c r="I180" s="191">
        <f t="shared" si="301"/>
        <v>1.1199999999999999</v>
      </c>
      <c r="J180" s="472">
        <f t="shared" si="302"/>
        <v>9</v>
      </c>
      <c r="K180" s="386">
        <f t="shared" si="303"/>
        <v>7.66</v>
      </c>
      <c r="L180" s="386">
        <f t="shared" si="304"/>
        <v>16.66</v>
      </c>
      <c r="M180" s="386"/>
      <c r="N180" s="191">
        <f t="shared" si="305"/>
        <v>0.45978391356542619</v>
      </c>
      <c r="O180" s="152">
        <f t="shared" si="306"/>
        <v>6.2923449599620076</v>
      </c>
      <c r="P180" s="152">
        <f t="shared" si="307"/>
        <v>1.6287385354141657</v>
      </c>
      <c r="Q180" s="191">
        <f t="shared" si="308"/>
        <v>0.41948966399746718</v>
      </c>
      <c r="R180" s="191">
        <f t="shared" si="309"/>
        <v>0.39327155999762548</v>
      </c>
      <c r="S180" s="191">
        <f t="shared" si="310"/>
        <v>15</v>
      </c>
      <c r="T180" s="191">
        <f t="shared" si="311"/>
        <v>3.4208232601618151</v>
      </c>
      <c r="U180" s="191">
        <f t="shared" si="312"/>
        <v>3.4208232601618151</v>
      </c>
      <c r="V180" s="191">
        <f t="shared" si="313"/>
        <v>4.0192440393546125</v>
      </c>
      <c r="W180" s="175">
        <f t="shared" si="314"/>
        <v>350</v>
      </c>
      <c r="X180" s="386">
        <f t="shared" si="315"/>
        <v>134.40738635052344</v>
      </c>
      <c r="Z180" s="191">
        <f t="shared" si="316"/>
        <v>1.3136683244726464</v>
      </c>
      <c r="AA180" s="153">
        <f t="shared" si="317"/>
        <v>1.5434745326702111</v>
      </c>
      <c r="AB180" s="153">
        <f t="shared" si="318"/>
        <v>0.14622213484608731</v>
      </c>
      <c r="AC180" s="153"/>
      <c r="AD180" s="153">
        <f t="shared" si="319"/>
        <v>0.96344647519582249</v>
      </c>
      <c r="AE180" s="317">
        <f t="shared" si="320"/>
        <v>1772.0933306894046</v>
      </c>
      <c r="AF180" s="463">
        <f t="shared" si="321"/>
        <v>6.9127284595300251E-2</v>
      </c>
      <c r="AH180" s="153">
        <f t="shared" si="322"/>
        <v>2.0110804171997807</v>
      </c>
      <c r="AI180" s="153">
        <f t="shared" si="323"/>
        <v>3.4208232601618151</v>
      </c>
      <c r="AJ180" s="153">
        <f t="shared" si="324"/>
        <v>3.1265357482680116</v>
      </c>
      <c r="AL180" s="317">
        <f t="shared" si="325"/>
        <v>350</v>
      </c>
      <c r="AM180" s="147">
        <f t="shared" si="326"/>
        <v>134.40738635052344</v>
      </c>
      <c r="AO180">
        <f t="shared" si="327"/>
        <v>350</v>
      </c>
      <c r="AP180">
        <f t="shared" si="328"/>
        <v>134.40738635052344</v>
      </c>
      <c r="AR180" s="5">
        <f t="shared" si="249"/>
        <v>7.4400672995164268</v>
      </c>
      <c r="AS180" s="5">
        <f t="shared" si="335"/>
        <v>3.4208232601618151</v>
      </c>
      <c r="AT180" s="5">
        <f t="shared" si="336"/>
        <v>4.0192440393546116</v>
      </c>
      <c r="AU180" s="153">
        <f t="shared" si="337"/>
        <v>0.45978391356542625</v>
      </c>
      <c r="AW180" s="5">
        <f t="shared" si="275"/>
        <v>7.9819209403775675</v>
      </c>
      <c r="AX180" s="5"/>
      <c r="AY180" s="5">
        <f t="shared" si="276"/>
        <v>1.4966101763207942</v>
      </c>
      <c r="AZ180" s="5"/>
      <c r="BA180" s="5">
        <f t="shared" si="277"/>
        <v>4.6938118577714842</v>
      </c>
      <c r="BB180" s="5"/>
      <c r="BC180" s="5"/>
      <c r="BD180" s="153">
        <f t="shared" si="278"/>
        <v>1.3392044861555525</v>
      </c>
      <c r="BE180" s="153">
        <f t="shared" si="279"/>
        <v>0.72581137414428809</v>
      </c>
      <c r="BF180" s="153">
        <f t="shared" si="280"/>
        <v>0.14535202943647704</v>
      </c>
      <c r="BG180" s="153"/>
      <c r="BH180" s="463">
        <f t="shared" si="281"/>
        <v>0.19728155213130733</v>
      </c>
      <c r="BI180" s="463">
        <f t="shared" si="282"/>
        <v>3.8300000000000008E-2</v>
      </c>
      <c r="BJ180" s="463">
        <f t="shared" si="283"/>
        <v>6.7203693175261715E-3</v>
      </c>
      <c r="BK180" s="463">
        <f t="shared" si="284"/>
        <v>8.3937426216640527E-3</v>
      </c>
      <c r="BL180">
        <f t="shared" si="285"/>
        <v>2.6099999999999999E-3</v>
      </c>
      <c r="BM180">
        <f t="shared" si="329"/>
        <v>5.3762954540209373E-6</v>
      </c>
      <c r="BN180">
        <f t="shared" si="330"/>
        <v>0.29051847088517102</v>
      </c>
      <c r="BO180" s="147">
        <f t="shared" si="286"/>
        <v>253.30566407049753</v>
      </c>
      <c r="BP180" s="153">
        <f t="shared" si="287"/>
        <v>0.13999999999999999</v>
      </c>
      <c r="BQ180" s="153">
        <f t="shared" si="288"/>
        <v>2.7999999999999997E-2</v>
      </c>
      <c r="BR180" s="463"/>
      <c r="BT180" s="147">
        <f t="shared" si="289"/>
        <v>167.99999999999997</v>
      </c>
      <c r="BU180" s="463">
        <f t="shared" si="290"/>
        <v>0.15244483573782841</v>
      </c>
      <c r="BV180" s="463">
        <f t="shared" si="291"/>
        <v>0.10009240865907175</v>
      </c>
      <c r="BW180" s="463">
        <f t="shared" si="292"/>
        <v>1.0563606230651246E-3</v>
      </c>
      <c r="BX180" s="463">
        <f t="shared" si="293"/>
        <v>0</v>
      </c>
      <c r="BY180" s="463">
        <f t="shared" si="274"/>
        <v>0.28990630849347238</v>
      </c>
      <c r="BZ180" s="463">
        <f t="shared" si="250"/>
        <v>0.25359360501996531</v>
      </c>
      <c r="CA180" s="549">
        <f t="shared" si="331"/>
        <v>0.78641975308641998</v>
      </c>
      <c r="CB180" s="147">
        <f t="shared" si="294"/>
        <v>1583.5132716198229</v>
      </c>
      <c r="CC180" s="153">
        <f t="shared" si="251"/>
        <v>1.5348445324650632</v>
      </c>
      <c r="CD180" s="5">
        <f t="shared" si="295"/>
        <v>6.37</v>
      </c>
      <c r="CE180" s="153">
        <f t="shared" si="296"/>
        <v>0.80583495018004692</v>
      </c>
      <c r="CF180" s="5">
        <f t="shared" si="297"/>
        <v>80.583495018004697</v>
      </c>
      <c r="CG180">
        <f t="shared" si="298"/>
        <v>70</v>
      </c>
      <c r="CI180" s="59">
        <f t="shared" si="332"/>
        <v>-50</v>
      </c>
      <c r="CJ180">
        <f t="shared" si="333"/>
        <v>-50</v>
      </c>
    </row>
    <row r="181" spans="5:88" x14ac:dyDescent="0.25">
      <c r="E181" s="150">
        <v>71</v>
      </c>
      <c r="F181" s="191">
        <f t="shared" si="334"/>
        <v>0.35499999999999998</v>
      </c>
      <c r="G181" s="191">
        <f t="shared" si="299"/>
        <v>7.0999999999999994E-2</v>
      </c>
      <c r="H181" s="191">
        <f t="shared" si="300"/>
        <v>5.3249999999999993</v>
      </c>
      <c r="I181" s="191">
        <f t="shared" si="301"/>
        <v>1.1359999999999999</v>
      </c>
      <c r="J181" s="472">
        <f t="shared" si="302"/>
        <v>9</v>
      </c>
      <c r="K181" s="386">
        <f t="shared" si="303"/>
        <v>7.66</v>
      </c>
      <c r="L181" s="386">
        <f t="shared" si="304"/>
        <v>16.66</v>
      </c>
      <c r="M181" s="386"/>
      <c r="N181" s="191">
        <f t="shared" si="305"/>
        <v>0.45978391356542619</v>
      </c>
      <c r="O181" s="152">
        <f t="shared" si="306"/>
        <v>6.2923449599620076</v>
      </c>
      <c r="P181" s="152">
        <f t="shared" si="307"/>
        <v>1.6287385354141657</v>
      </c>
      <c r="Q181" s="191">
        <f t="shared" si="308"/>
        <v>0.41948966399746718</v>
      </c>
      <c r="R181" s="191">
        <f t="shared" si="309"/>
        <v>0.39327155999762548</v>
      </c>
      <c r="S181" s="191">
        <f t="shared" si="310"/>
        <v>15</v>
      </c>
      <c r="T181" s="191">
        <f t="shared" si="311"/>
        <v>3.4696921638784124</v>
      </c>
      <c r="U181" s="191">
        <f t="shared" si="312"/>
        <v>3.4696921638784124</v>
      </c>
      <c r="V181" s="191">
        <f t="shared" si="313"/>
        <v>4.0766618113453932</v>
      </c>
      <c r="W181" s="175">
        <f t="shared" si="314"/>
        <v>350</v>
      </c>
      <c r="X181" s="386">
        <f t="shared" si="315"/>
        <v>132.51432457093858</v>
      </c>
      <c r="Z181" s="191">
        <f t="shared" si="316"/>
        <v>1.3136683244726464</v>
      </c>
      <c r="AA181" s="153">
        <f t="shared" si="317"/>
        <v>1.5434745326702111</v>
      </c>
      <c r="AB181" s="153">
        <f t="shared" si="318"/>
        <v>0.14622213484608731</v>
      </c>
      <c r="AC181" s="153"/>
      <c r="AD181" s="153">
        <f t="shared" si="319"/>
        <v>0.96344647519582249</v>
      </c>
      <c r="AE181" s="317">
        <f t="shared" si="320"/>
        <v>1797.4089496992533</v>
      </c>
      <c r="AF181" s="463">
        <f t="shared" si="321"/>
        <v>6.9127284595300251E-2</v>
      </c>
      <c r="AH181" s="153">
        <f t="shared" si="322"/>
        <v>2.0253943374617749</v>
      </c>
      <c r="AI181" s="153">
        <f t="shared" si="323"/>
        <v>3.4696921638784124</v>
      </c>
      <c r="AJ181" s="153">
        <f t="shared" si="324"/>
        <v>3.1627349362062316</v>
      </c>
      <c r="AL181" s="317">
        <f t="shared" si="325"/>
        <v>355</v>
      </c>
      <c r="AM181" s="147">
        <f t="shared" si="326"/>
        <v>132.51432457093858</v>
      </c>
      <c r="AO181">
        <f t="shared" si="327"/>
        <v>355</v>
      </c>
      <c r="AP181">
        <f t="shared" si="328"/>
        <v>132.51432457093858</v>
      </c>
      <c r="AR181" s="5">
        <f t="shared" si="249"/>
        <v>7.5463539752238056</v>
      </c>
      <c r="AS181" s="5">
        <f t="shared" si="335"/>
        <v>3.4696921638784124</v>
      </c>
      <c r="AT181" s="5">
        <f t="shared" si="336"/>
        <v>4.0766618113453932</v>
      </c>
      <c r="AU181" s="153">
        <f t="shared" si="337"/>
        <v>0.45978391356542619</v>
      </c>
      <c r="AW181" s="5">
        <f t="shared" si="275"/>
        <v>8.2116047878455767</v>
      </c>
      <c r="AX181" s="5"/>
      <c r="AY181" s="5">
        <f t="shared" si="276"/>
        <v>1.5396758977210454</v>
      </c>
      <c r="AZ181" s="5"/>
      <c r="BA181" s="5">
        <f t="shared" si="277"/>
        <v>4.8288786887808284</v>
      </c>
      <c r="BB181" s="5"/>
      <c r="BC181" s="5"/>
      <c r="BD181" s="153">
        <f t="shared" si="278"/>
        <v>1.3583359788149174</v>
      </c>
      <c r="BE181" s="153">
        <f t="shared" si="279"/>
        <v>0.73618010806063505</v>
      </c>
      <c r="BF181" s="153">
        <f t="shared" si="280"/>
        <v>0.14742848699985531</v>
      </c>
      <c r="BG181" s="153"/>
      <c r="BH181" s="463">
        <f t="shared" si="281"/>
        <v>0.20295842944773879</v>
      </c>
      <c r="BI181" s="463">
        <f t="shared" si="282"/>
        <v>3.8300000000000001E-2</v>
      </c>
      <c r="BJ181" s="463">
        <f t="shared" si="283"/>
        <v>6.625716228546929E-3</v>
      </c>
      <c r="BK181" s="463">
        <f t="shared" si="284"/>
        <v>8.2755208945983604E-3</v>
      </c>
      <c r="BL181">
        <f t="shared" si="285"/>
        <v>2.6099999999999999E-3</v>
      </c>
      <c r="BM181">
        <f t="shared" si="329"/>
        <v>5.3005729828375438E-6</v>
      </c>
      <c r="BN181">
        <f t="shared" si="330"/>
        <v>0.29730727278301261</v>
      </c>
      <c r="BO181" s="147">
        <f t="shared" si="286"/>
        <v>258.76966657088406</v>
      </c>
      <c r="BP181" s="153">
        <f t="shared" si="287"/>
        <v>0.14199999999999999</v>
      </c>
      <c r="BQ181" s="153">
        <f t="shared" si="288"/>
        <v>2.8399999999999998E-2</v>
      </c>
      <c r="BR181" s="463"/>
      <c r="BT181" s="147">
        <f t="shared" si="289"/>
        <v>170.4</v>
      </c>
      <c r="BU181" s="463">
        <f t="shared" si="290"/>
        <v>0.15683151366416179</v>
      </c>
      <c r="BV181" s="463">
        <f t="shared" si="291"/>
        <v>0.10297261878579199</v>
      </c>
      <c r="BW181" s="463">
        <f t="shared" si="292"/>
        <v>1.0867579389533253E-3</v>
      </c>
      <c r="BX181" s="463">
        <f t="shared" si="293"/>
        <v>0</v>
      </c>
      <c r="BY181" s="463">
        <f t="shared" si="274"/>
        <v>0.2984263341991531</v>
      </c>
      <c r="BZ181" s="463">
        <f t="shared" si="250"/>
        <v>0.26089089038890706</v>
      </c>
      <c r="CA181" s="549">
        <f t="shared" si="331"/>
        <v>0.79765432098765443</v>
      </c>
      <c r="CB181" s="147">
        <f t="shared" si="294"/>
        <v>1617.8624359646219</v>
      </c>
      <c r="CC181" s="153">
        <f t="shared" si="251"/>
        <v>1.5637879279698201</v>
      </c>
      <c r="CD181" s="5">
        <f t="shared" si="295"/>
        <v>6.4609999999999994</v>
      </c>
      <c r="CE181" s="153">
        <f t="shared" si="296"/>
        <v>0.80513031098063659</v>
      </c>
      <c r="CF181" s="5">
        <f t="shared" si="297"/>
        <v>80.513031098063664</v>
      </c>
      <c r="CG181">
        <f t="shared" si="298"/>
        <v>71</v>
      </c>
      <c r="CI181" s="59">
        <f t="shared" si="332"/>
        <v>-50</v>
      </c>
      <c r="CJ181">
        <f t="shared" si="333"/>
        <v>-50</v>
      </c>
    </row>
    <row r="182" spans="5:88" x14ac:dyDescent="0.25">
      <c r="E182" s="150">
        <v>72</v>
      </c>
      <c r="F182" s="191">
        <f t="shared" si="334"/>
        <v>0.36</v>
      </c>
      <c r="G182" s="191">
        <f t="shared" si="299"/>
        <v>7.1999999999999995E-2</v>
      </c>
      <c r="H182" s="191">
        <f t="shared" si="300"/>
        <v>5.3999999999999995</v>
      </c>
      <c r="I182" s="191">
        <f t="shared" si="301"/>
        <v>1.1519999999999999</v>
      </c>
      <c r="J182" s="472">
        <f t="shared" si="302"/>
        <v>9</v>
      </c>
      <c r="K182" s="386">
        <f t="shared" si="303"/>
        <v>7.66</v>
      </c>
      <c r="L182" s="386">
        <f t="shared" si="304"/>
        <v>16.66</v>
      </c>
      <c r="M182" s="386"/>
      <c r="N182" s="191">
        <f t="shared" si="305"/>
        <v>0.45978391356542619</v>
      </c>
      <c r="O182" s="152">
        <f t="shared" si="306"/>
        <v>6.2923449599620076</v>
      </c>
      <c r="P182" s="152">
        <f t="shared" si="307"/>
        <v>1.6287385354141657</v>
      </c>
      <c r="Q182" s="191">
        <f t="shared" si="308"/>
        <v>0.41948966399746718</v>
      </c>
      <c r="R182" s="191">
        <f t="shared" si="309"/>
        <v>0.39327155999762548</v>
      </c>
      <c r="S182" s="191">
        <f t="shared" si="310"/>
        <v>15</v>
      </c>
      <c r="T182" s="191">
        <f t="shared" si="311"/>
        <v>3.5185610675950096</v>
      </c>
      <c r="U182" s="191">
        <f t="shared" si="312"/>
        <v>3.5185610675950101</v>
      </c>
      <c r="V182" s="191">
        <f t="shared" si="313"/>
        <v>4.134079583336173</v>
      </c>
      <c r="W182" s="175">
        <f t="shared" si="314"/>
        <v>350</v>
      </c>
      <c r="X182" s="386">
        <f t="shared" si="315"/>
        <v>130.67384784078666</v>
      </c>
      <c r="Z182" s="191">
        <f t="shared" si="316"/>
        <v>1.3136683244726464</v>
      </c>
      <c r="AA182" s="153">
        <f t="shared" si="317"/>
        <v>1.5434745326702111</v>
      </c>
      <c r="AB182" s="153">
        <f t="shared" si="318"/>
        <v>0.14622213484608731</v>
      </c>
      <c r="AC182" s="153"/>
      <c r="AD182" s="153">
        <f t="shared" si="319"/>
        <v>0.96344647519582249</v>
      </c>
      <c r="AE182" s="317">
        <f t="shared" si="320"/>
        <v>1822.7245687091017</v>
      </c>
      <c r="AF182" s="463">
        <f t="shared" si="321"/>
        <v>6.9127284595300251E-2</v>
      </c>
      <c r="AH182" s="153">
        <f t="shared" si="322"/>
        <v>2.0396078054371141</v>
      </c>
      <c r="AI182" s="153">
        <f t="shared" si="323"/>
        <v>3.5185610675950096</v>
      </c>
      <c r="AJ182" s="153">
        <f t="shared" si="324"/>
        <v>3.1989341241444516</v>
      </c>
      <c r="AL182" s="317">
        <f t="shared" si="325"/>
        <v>360</v>
      </c>
      <c r="AM182" s="147">
        <f t="shared" si="326"/>
        <v>130.67384784078666</v>
      </c>
      <c r="AO182">
        <f t="shared" si="327"/>
        <v>360</v>
      </c>
      <c r="AP182">
        <f t="shared" si="328"/>
        <v>130.67384784078666</v>
      </c>
      <c r="AR182" s="5">
        <f t="shared" si="249"/>
        <v>7.6526406509311826</v>
      </c>
      <c r="AS182" s="5">
        <f t="shared" si="335"/>
        <v>3.5185610675950101</v>
      </c>
      <c r="AT182" s="5">
        <f t="shared" si="336"/>
        <v>4.1340795833361721</v>
      </c>
      <c r="AU182" s="153">
        <f t="shared" si="337"/>
        <v>0.45978391356542625</v>
      </c>
      <c r="AW182" s="5">
        <f t="shared" si="275"/>
        <v>8.4445465622280231</v>
      </c>
      <c r="AX182" s="5"/>
      <c r="AY182" s="5">
        <f t="shared" si="276"/>
        <v>1.5833524804177546</v>
      </c>
      <c r="AZ182" s="5"/>
      <c r="BA182" s="5">
        <f t="shared" si="277"/>
        <v>4.9658613613647704</v>
      </c>
      <c r="BB182" s="5"/>
      <c r="BC182" s="5"/>
      <c r="BD182" s="153">
        <f t="shared" si="278"/>
        <v>1.3774674714742825</v>
      </c>
      <c r="BE182" s="153">
        <f t="shared" si="279"/>
        <v>0.74654884197698201</v>
      </c>
      <c r="BF182" s="153">
        <f t="shared" si="280"/>
        <v>0.14950494456323354</v>
      </c>
      <c r="BG182" s="153"/>
      <c r="BH182" s="463">
        <f t="shared" si="281"/>
        <v>0.20871582984667286</v>
      </c>
      <c r="BI182" s="463">
        <f t="shared" si="282"/>
        <v>3.8300000000000001E-2</v>
      </c>
      <c r="BJ182" s="463">
        <f t="shared" si="283"/>
        <v>6.5336923920393331E-3</v>
      </c>
      <c r="BK182" s="463">
        <f t="shared" si="284"/>
        <v>8.1605831043956058E-3</v>
      </c>
      <c r="BL182">
        <f t="shared" si="285"/>
        <v>2.6099999999999999E-3</v>
      </c>
      <c r="BM182">
        <f t="shared" si="329"/>
        <v>5.2269539136314666E-6</v>
      </c>
      <c r="BN182">
        <f t="shared" si="330"/>
        <v>0.30421677019264631</v>
      </c>
      <c r="BO182" s="147">
        <f t="shared" si="286"/>
        <v>264.3201053431078</v>
      </c>
      <c r="BP182" s="153">
        <f t="shared" si="287"/>
        <v>0.14399999999999999</v>
      </c>
      <c r="BQ182" s="153">
        <f t="shared" si="288"/>
        <v>2.8799999999999999E-2</v>
      </c>
      <c r="BR182" s="463"/>
      <c r="BT182" s="147">
        <f t="shared" si="289"/>
        <v>172.79999999999998</v>
      </c>
      <c r="BU182" s="463">
        <f t="shared" si="290"/>
        <v>0.16128041397242904</v>
      </c>
      <c r="BV182" s="463">
        <f t="shared" si="291"/>
        <v>0.10589368295686284</v>
      </c>
      <c r="BW182" s="463">
        <f t="shared" si="292"/>
        <v>1.1175864224427768E-3</v>
      </c>
      <c r="BX182" s="463">
        <f t="shared" si="293"/>
        <v>0</v>
      </c>
      <c r="BY182" s="463">
        <f t="shared" si="274"/>
        <v>0.30707759453452438</v>
      </c>
      <c r="BZ182" s="463">
        <f t="shared" si="250"/>
        <v>0.26829168335173464</v>
      </c>
      <c r="CA182" s="549">
        <f t="shared" si="331"/>
        <v>0.80888888888888888</v>
      </c>
      <c r="CB182" s="147">
        <f t="shared" si="294"/>
        <v>1652.5498501268828</v>
      </c>
      <c r="CC182" s="153">
        <f t="shared" si="251"/>
        <v>1.5929832536160595</v>
      </c>
      <c r="CD182" s="5">
        <f t="shared" si="295"/>
        <v>6.5519999999999996</v>
      </c>
      <c r="CE182" s="153">
        <f t="shared" si="296"/>
        <v>0.8044215434195231</v>
      </c>
      <c r="CF182" s="5">
        <f t="shared" si="297"/>
        <v>80.442154341952303</v>
      </c>
      <c r="CG182">
        <f t="shared" si="298"/>
        <v>72</v>
      </c>
      <c r="CI182" s="59">
        <f t="shared" si="332"/>
        <v>-50</v>
      </c>
      <c r="CJ182">
        <f t="shared" si="333"/>
        <v>-50</v>
      </c>
    </row>
    <row r="183" spans="5:88" x14ac:dyDescent="0.25">
      <c r="E183" s="150">
        <v>73</v>
      </c>
      <c r="F183" s="191">
        <f t="shared" si="334"/>
        <v>0.36499999999999999</v>
      </c>
      <c r="G183" s="191">
        <f t="shared" si="299"/>
        <v>7.2999999999999995E-2</v>
      </c>
      <c r="H183" s="191">
        <f t="shared" si="300"/>
        <v>5.4749999999999996</v>
      </c>
      <c r="I183" s="191">
        <f t="shared" si="301"/>
        <v>1.1679999999999999</v>
      </c>
      <c r="J183" s="472">
        <f t="shared" si="302"/>
        <v>9</v>
      </c>
      <c r="K183" s="386">
        <f t="shared" si="303"/>
        <v>7.66</v>
      </c>
      <c r="L183" s="386">
        <f t="shared" si="304"/>
        <v>16.66</v>
      </c>
      <c r="M183" s="386"/>
      <c r="N183" s="191">
        <f t="shared" si="305"/>
        <v>0.45978391356542619</v>
      </c>
      <c r="O183" s="152">
        <f t="shared" si="306"/>
        <v>6.2923449599620076</v>
      </c>
      <c r="P183" s="152">
        <f t="shared" si="307"/>
        <v>1.6287385354141657</v>
      </c>
      <c r="Q183" s="191">
        <f t="shared" si="308"/>
        <v>0.41948966399746718</v>
      </c>
      <c r="R183" s="191">
        <f t="shared" si="309"/>
        <v>0.39327155999762548</v>
      </c>
      <c r="S183" s="191">
        <f t="shared" si="310"/>
        <v>15</v>
      </c>
      <c r="T183" s="191">
        <f t="shared" si="311"/>
        <v>3.5674299713116073</v>
      </c>
      <c r="U183" s="191">
        <f t="shared" si="312"/>
        <v>3.5674299713116078</v>
      </c>
      <c r="V183" s="191">
        <f t="shared" si="313"/>
        <v>4.1914973553269546</v>
      </c>
      <c r="W183" s="175">
        <f t="shared" si="314"/>
        <v>350</v>
      </c>
      <c r="X183" s="386">
        <f t="shared" si="315"/>
        <v>128.88379513063884</v>
      </c>
      <c r="Z183" s="191">
        <f t="shared" si="316"/>
        <v>1.3136683244726464</v>
      </c>
      <c r="AA183" s="153">
        <f t="shared" si="317"/>
        <v>1.5434745326702111</v>
      </c>
      <c r="AB183" s="153">
        <f t="shared" si="318"/>
        <v>0.14622213484608731</v>
      </c>
      <c r="AC183" s="153"/>
      <c r="AD183" s="153">
        <f t="shared" si="319"/>
        <v>0.96344647519582249</v>
      </c>
      <c r="AE183" s="317">
        <f t="shared" si="320"/>
        <v>1848.0401877189504</v>
      </c>
      <c r="AF183" s="463">
        <f t="shared" si="321"/>
        <v>6.9127284595300251E-2</v>
      </c>
      <c r="AH183" s="153">
        <f t="shared" si="322"/>
        <v>2.0537229067665819</v>
      </c>
      <c r="AI183" s="153">
        <f t="shared" si="323"/>
        <v>3.5674299713116073</v>
      </c>
      <c r="AJ183" s="153">
        <f t="shared" si="324"/>
        <v>3.235133312082672</v>
      </c>
      <c r="AL183" s="317">
        <f t="shared" si="325"/>
        <v>365</v>
      </c>
      <c r="AM183" s="147">
        <f t="shared" si="326"/>
        <v>128.88379513063884</v>
      </c>
      <c r="AO183">
        <f t="shared" si="327"/>
        <v>365</v>
      </c>
      <c r="AP183">
        <f t="shared" si="328"/>
        <v>128.88379513063884</v>
      </c>
      <c r="AR183" s="5">
        <f t="shared" si="249"/>
        <v>7.7589273266385641</v>
      </c>
      <c r="AS183" s="5">
        <f t="shared" si="335"/>
        <v>3.5674299713116078</v>
      </c>
      <c r="AT183" s="5">
        <f t="shared" si="336"/>
        <v>4.1914973553269563</v>
      </c>
      <c r="AU183" s="153">
        <f t="shared" si="337"/>
        <v>0.45978391356542603</v>
      </c>
      <c r="AW183" s="5">
        <f t="shared" si="275"/>
        <v>8.6807462635249113</v>
      </c>
      <c r="AX183" s="5"/>
      <c r="AY183" s="5">
        <f t="shared" si="276"/>
        <v>1.6276399244109208</v>
      </c>
      <c r="AZ183" s="5"/>
      <c r="BA183" s="5">
        <f t="shared" si="277"/>
        <v>5.1047598755233201</v>
      </c>
      <c r="BB183" s="5"/>
      <c r="BC183" s="5"/>
      <c r="BD183" s="153">
        <f t="shared" si="278"/>
        <v>1.3965989641336474</v>
      </c>
      <c r="BE183" s="153">
        <f t="shared" si="279"/>
        <v>0.75691757589332909</v>
      </c>
      <c r="BF183" s="153">
        <f t="shared" si="280"/>
        <v>0.15158140212661181</v>
      </c>
      <c r="BG183" s="153"/>
      <c r="BH183" s="463">
        <f t="shared" si="281"/>
        <v>0.21455375332810944</v>
      </c>
      <c r="BI183" s="463">
        <f t="shared" si="282"/>
        <v>3.8299999999999987E-2</v>
      </c>
      <c r="BJ183" s="463">
        <f t="shared" si="283"/>
        <v>6.4441897565319416E-3</v>
      </c>
      <c r="BK183" s="463">
        <f t="shared" si="284"/>
        <v>8.0487942947463469E-3</v>
      </c>
      <c r="BL183">
        <f t="shared" si="285"/>
        <v>2.6099999999999999E-3</v>
      </c>
      <c r="BM183">
        <f t="shared" si="329"/>
        <v>5.1553518052255541E-6</v>
      </c>
      <c r="BN183">
        <f t="shared" si="330"/>
        <v>0.31124743112198366</v>
      </c>
      <c r="BO183" s="147">
        <f t="shared" si="286"/>
        <v>269.95673737938773</v>
      </c>
      <c r="BP183" s="153">
        <f t="shared" si="287"/>
        <v>0.14599999999999999</v>
      </c>
      <c r="BQ183" s="153">
        <f t="shared" si="288"/>
        <v>2.92E-2</v>
      </c>
      <c r="BR183" s="463"/>
      <c r="BT183" s="147">
        <f t="shared" si="289"/>
        <v>175.2</v>
      </c>
      <c r="BU183" s="463">
        <f t="shared" si="290"/>
        <v>0.16579153666263002</v>
      </c>
      <c r="BV183" s="463">
        <f t="shared" si="291"/>
        <v>0.10885560117228439</v>
      </c>
      <c r="BW183" s="463">
        <f t="shared" si="292"/>
        <v>1.1488460735334797E-3</v>
      </c>
      <c r="BX183" s="463">
        <f t="shared" si="293"/>
        <v>0</v>
      </c>
      <c r="BY183" s="463">
        <f t="shared" si="274"/>
        <v>0.31586054761811766</v>
      </c>
      <c r="BZ183" s="463">
        <f t="shared" si="250"/>
        <v>0.27579598390844789</v>
      </c>
      <c r="CA183" s="549">
        <f t="shared" si="331"/>
        <v>0.82012345679012322</v>
      </c>
      <c r="CB183" s="147">
        <f t="shared" si="294"/>
        <v>1687.5759722251366</v>
      </c>
      <c r="CC183" s="153">
        <f t="shared" si="251"/>
        <v>1.6224314355302245</v>
      </c>
      <c r="CD183" s="5">
        <f t="shared" si="295"/>
        <v>6.6429999999999998</v>
      </c>
      <c r="CE183" s="153">
        <f t="shared" si="296"/>
        <v>0.80370880235531872</v>
      </c>
      <c r="CF183" s="5">
        <f t="shared" si="297"/>
        <v>80.370880235531871</v>
      </c>
      <c r="CG183">
        <f t="shared" si="298"/>
        <v>73</v>
      </c>
      <c r="CI183" s="59">
        <f t="shared" si="332"/>
        <v>-50</v>
      </c>
      <c r="CJ183">
        <f t="shared" si="333"/>
        <v>-50</v>
      </c>
    </row>
    <row r="184" spans="5:88" x14ac:dyDescent="0.25">
      <c r="E184" s="150">
        <v>74</v>
      </c>
      <c r="F184" s="191">
        <f t="shared" si="334"/>
        <v>0.37</v>
      </c>
      <c r="G184" s="191">
        <f t="shared" si="299"/>
        <v>7.3999999999999996E-2</v>
      </c>
      <c r="H184" s="191">
        <f t="shared" si="300"/>
        <v>5.55</v>
      </c>
      <c r="I184" s="191">
        <f t="shared" si="301"/>
        <v>1.1839999999999999</v>
      </c>
      <c r="J184" s="472">
        <f t="shared" si="302"/>
        <v>9</v>
      </c>
      <c r="K184" s="386">
        <f t="shared" si="303"/>
        <v>7.66</v>
      </c>
      <c r="L184" s="386">
        <f t="shared" si="304"/>
        <v>16.66</v>
      </c>
      <c r="M184" s="386"/>
      <c r="N184" s="191">
        <f t="shared" si="305"/>
        <v>0.45978391356542619</v>
      </c>
      <c r="O184" s="152">
        <f t="shared" si="306"/>
        <v>6.2923449599620076</v>
      </c>
      <c r="P184" s="152">
        <f t="shared" si="307"/>
        <v>1.6287385354141657</v>
      </c>
      <c r="Q184" s="191">
        <f t="shared" si="308"/>
        <v>0.41948966399746718</v>
      </c>
      <c r="R184" s="191">
        <f t="shared" si="309"/>
        <v>0.39327155999762548</v>
      </c>
      <c r="S184" s="191">
        <f t="shared" si="310"/>
        <v>15</v>
      </c>
      <c r="T184" s="191">
        <f t="shared" si="311"/>
        <v>3.6162988750282046</v>
      </c>
      <c r="U184" s="191">
        <f t="shared" si="312"/>
        <v>3.6162988750282046</v>
      </c>
      <c r="V184" s="191">
        <f t="shared" si="313"/>
        <v>4.2489151273177344</v>
      </c>
      <c r="W184" s="175">
        <f t="shared" si="314"/>
        <v>350</v>
      </c>
      <c r="X184" s="386">
        <f t="shared" si="315"/>
        <v>127.14212222346811</v>
      </c>
      <c r="Z184" s="191">
        <f t="shared" si="316"/>
        <v>1.3136683244726464</v>
      </c>
      <c r="AA184" s="153">
        <f t="shared" si="317"/>
        <v>1.5434745326702111</v>
      </c>
      <c r="AB184" s="153">
        <f t="shared" si="318"/>
        <v>0.14622213484608731</v>
      </c>
      <c r="AC184" s="153"/>
      <c r="AD184" s="153">
        <f t="shared" si="319"/>
        <v>0.96344647519582249</v>
      </c>
      <c r="AE184" s="317">
        <f t="shared" si="320"/>
        <v>1873.3558067287991</v>
      </c>
      <c r="AF184" s="463">
        <f t="shared" si="321"/>
        <v>6.9127284595300251E-2</v>
      </c>
      <c r="AH184" s="153">
        <f t="shared" si="322"/>
        <v>2.0677416559027764</v>
      </c>
      <c r="AI184" s="153">
        <f t="shared" si="323"/>
        <v>3.6162988750282046</v>
      </c>
      <c r="AJ184" s="153">
        <f t="shared" si="324"/>
        <v>3.2713325000208924</v>
      </c>
      <c r="AL184" s="317">
        <f t="shared" si="325"/>
        <v>370</v>
      </c>
      <c r="AM184" s="147">
        <f t="shared" si="326"/>
        <v>127.14212222346811</v>
      </c>
      <c r="AO184">
        <f t="shared" si="327"/>
        <v>370</v>
      </c>
      <c r="AP184">
        <f t="shared" si="328"/>
        <v>127.14212222346811</v>
      </c>
      <c r="AR184" s="5">
        <f t="shared" si="249"/>
        <v>7.8652140023459385</v>
      </c>
      <c r="AS184" s="5">
        <f t="shared" si="335"/>
        <v>3.6162988750282046</v>
      </c>
      <c r="AT184" s="5">
        <f t="shared" si="336"/>
        <v>4.2489151273177335</v>
      </c>
      <c r="AU184" s="153">
        <f t="shared" si="337"/>
        <v>0.45978391356542614</v>
      </c>
      <c r="AW184" s="5">
        <f t="shared" si="275"/>
        <v>8.9202038917362376</v>
      </c>
      <c r="AX184" s="5"/>
      <c r="AY184" s="5">
        <f t="shared" si="276"/>
        <v>1.6725382297005444</v>
      </c>
      <c r="AZ184" s="5"/>
      <c r="BA184" s="5">
        <f t="shared" si="277"/>
        <v>5.2455742312564597</v>
      </c>
      <c r="BB184" s="5"/>
      <c r="BC184" s="5"/>
      <c r="BD184" s="153">
        <f t="shared" si="278"/>
        <v>1.4157304567930125</v>
      </c>
      <c r="BE184" s="153">
        <f t="shared" si="279"/>
        <v>0.76728630980967605</v>
      </c>
      <c r="BF184" s="153">
        <f t="shared" si="280"/>
        <v>0.15365785968999005</v>
      </c>
      <c r="BG184" s="153"/>
      <c r="BH184" s="463">
        <f t="shared" si="281"/>
        <v>0.22047219989204872</v>
      </c>
      <c r="BI184" s="463">
        <f t="shared" si="282"/>
        <v>3.8300000000000008E-2</v>
      </c>
      <c r="BJ184" s="463">
        <f t="shared" si="283"/>
        <v>6.3571061111734051E-3</v>
      </c>
      <c r="BK184" s="463">
        <f t="shared" si="284"/>
        <v>7.9400268042768059E-3</v>
      </c>
      <c r="BL184">
        <f t="shared" si="285"/>
        <v>2.6099999999999999E-3</v>
      </c>
      <c r="BM184">
        <f t="shared" si="329"/>
        <v>5.0856848889387248E-6</v>
      </c>
      <c r="BN184">
        <f t="shared" si="330"/>
        <v>0.31839975062205611</v>
      </c>
      <c r="BO184" s="147">
        <f t="shared" si="286"/>
        <v>275.67933280749895</v>
      </c>
      <c r="BP184" s="153">
        <f t="shared" si="287"/>
        <v>0.14799999999999999</v>
      </c>
      <c r="BQ184" s="153">
        <f t="shared" si="288"/>
        <v>2.9600000000000001E-2</v>
      </c>
      <c r="BR184" s="463"/>
      <c r="BT184" s="147">
        <f t="shared" si="289"/>
        <v>177.59999999999997</v>
      </c>
      <c r="BU184" s="463">
        <f t="shared" si="290"/>
        <v>0.17036488173476491</v>
      </c>
      <c r="BV184" s="463">
        <f t="shared" si="291"/>
        <v>0.11185837343205653</v>
      </c>
      <c r="BW184" s="463">
        <f t="shared" si="292"/>
        <v>1.1805368922254336E-3</v>
      </c>
      <c r="BX184" s="463">
        <f t="shared" si="293"/>
        <v>0</v>
      </c>
      <c r="BY184" s="463">
        <f t="shared" si="274"/>
        <v>0.32477565938109898</v>
      </c>
      <c r="BZ184" s="463">
        <f t="shared" si="250"/>
        <v>0.28340379205904687</v>
      </c>
      <c r="CA184" s="549">
        <f t="shared" si="331"/>
        <v>0.83135802469135811</v>
      </c>
      <c r="CB184" s="147">
        <f t="shared" si="294"/>
        <v>1722.9412681905508</v>
      </c>
      <c r="CC184" s="153">
        <f t="shared" si="251"/>
        <v>1.6521334346945131</v>
      </c>
      <c r="CD184" s="5">
        <f t="shared" si="295"/>
        <v>6.734</v>
      </c>
      <c r="CE184" s="153">
        <f t="shared" si="296"/>
        <v>0.80299223145443599</v>
      </c>
      <c r="CF184" s="5">
        <f t="shared" si="297"/>
        <v>80.299223145443605</v>
      </c>
      <c r="CG184">
        <f t="shared" si="298"/>
        <v>74</v>
      </c>
      <c r="CI184" s="59">
        <f t="shared" si="332"/>
        <v>-50</v>
      </c>
      <c r="CJ184">
        <f t="shared" si="333"/>
        <v>-50</v>
      </c>
    </row>
    <row r="185" spans="5:88" x14ac:dyDescent="0.25">
      <c r="E185" s="150">
        <v>75</v>
      </c>
      <c r="F185" s="191">
        <f t="shared" si="334"/>
        <v>0.375</v>
      </c>
      <c r="G185" s="191">
        <f t="shared" si="299"/>
        <v>7.5000000000000011E-2</v>
      </c>
      <c r="H185" s="191">
        <f t="shared" si="300"/>
        <v>5.625</v>
      </c>
      <c r="I185" s="191">
        <f t="shared" si="301"/>
        <v>1.2000000000000002</v>
      </c>
      <c r="J185" s="472">
        <f t="shared" si="302"/>
        <v>9</v>
      </c>
      <c r="K185" s="386">
        <f t="shared" si="303"/>
        <v>7.66</v>
      </c>
      <c r="L185" s="386">
        <f t="shared" si="304"/>
        <v>16.66</v>
      </c>
      <c r="M185" s="386"/>
      <c r="N185" s="191">
        <f t="shared" si="305"/>
        <v>0.45978391356542619</v>
      </c>
      <c r="O185" s="152">
        <f t="shared" si="306"/>
        <v>6.2923449599620076</v>
      </c>
      <c r="P185" s="152">
        <f t="shared" si="307"/>
        <v>1.6287385354141657</v>
      </c>
      <c r="Q185" s="191">
        <f t="shared" si="308"/>
        <v>0.41948966399746718</v>
      </c>
      <c r="R185" s="191">
        <f t="shared" si="309"/>
        <v>0.39327155999762548</v>
      </c>
      <c r="S185" s="191">
        <f t="shared" si="310"/>
        <v>15</v>
      </c>
      <c r="T185" s="191">
        <f t="shared" si="311"/>
        <v>3.6651677787448023</v>
      </c>
      <c r="U185" s="191">
        <f t="shared" si="312"/>
        <v>3.6651677787448027</v>
      </c>
      <c r="V185" s="191">
        <f t="shared" si="313"/>
        <v>4.3063328993085142</v>
      </c>
      <c r="W185" s="175">
        <f t="shared" si="314"/>
        <v>350</v>
      </c>
      <c r="X185" s="386">
        <f t="shared" si="315"/>
        <v>125.44689392715516</v>
      </c>
      <c r="Z185" s="191">
        <f t="shared" si="316"/>
        <v>1.3136683244726464</v>
      </c>
      <c r="AA185" s="153">
        <f t="shared" si="317"/>
        <v>1.5434745326702111</v>
      </c>
      <c r="AB185" s="153">
        <f t="shared" si="318"/>
        <v>0.14622213484608731</v>
      </c>
      <c r="AC185" s="153"/>
      <c r="AD185" s="153">
        <f t="shared" si="319"/>
        <v>0.96344647519582249</v>
      </c>
      <c r="AE185" s="317">
        <f t="shared" si="320"/>
        <v>1898.6714257386477</v>
      </c>
      <c r="AF185" s="463">
        <f t="shared" si="321"/>
        <v>6.9127284595300251E-2</v>
      </c>
      <c r="AH185" s="153">
        <f t="shared" si="322"/>
        <v>2.0816659994661331</v>
      </c>
      <c r="AI185" s="153">
        <f t="shared" si="323"/>
        <v>3.6651677787448023</v>
      </c>
      <c r="AJ185" s="153">
        <f t="shared" si="324"/>
        <v>3.3075316879591128</v>
      </c>
      <c r="AL185" s="317">
        <f t="shared" si="325"/>
        <v>375</v>
      </c>
      <c r="AM185" s="147">
        <f t="shared" si="326"/>
        <v>125.44689392715516</v>
      </c>
      <c r="AO185">
        <f t="shared" si="327"/>
        <v>375</v>
      </c>
      <c r="AP185">
        <f t="shared" si="328"/>
        <v>125.44689392715516</v>
      </c>
      <c r="AR185" s="5">
        <f t="shared" si="249"/>
        <v>7.9715006780533182</v>
      </c>
      <c r="AS185" s="5">
        <f t="shared" si="335"/>
        <v>3.6651677787448027</v>
      </c>
      <c r="AT185" s="5">
        <f t="shared" si="336"/>
        <v>4.306332899308515</v>
      </c>
      <c r="AU185" s="153">
        <f t="shared" si="337"/>
        <v>0.45978391356542614</v>
      </c>
      <c r="AW185" s="5">
        <f t="shared" si="275"/>
        <v>9.1629194468620074</v>
      </c>
      <c r="AX185" s="5"/>
      <c r="AY185" s="5">
        <f t="shared" si="276"/>
        <v>1.7180473962866265</v>
      </c>
      <c r="AZ185" s="5"/>
      <c r="BA185" s="5">
        <f t="shared" si="277"/>
        <v>5.388304428564207</v>
      </c>
      <c r="BB185" s="5"/>
      <c r="BC185" s="5"/>
      <c r="BD185" s="153">
        <f t="shared" si="278"/>
        <v>1.4348619494523775</v>
      </c>
      <c r="BE185" s="153">
        <f t="shared" si="279"/>
        <v>0.77765504372602312</v>
      </c>
      <c r="BF185" s="153">
        <f t="shared" si="280"/>
        <v>0.15573431725336831</v>
      </c>
      <c r="BG185" s="153"/>
      <c r="BH185" s="463">
        <f t="shared" si="281"/>
        <v>0.22647116953849047</v>
      </c>
      <c r="BI185" s="463">
        <f t="shared" si="282"/>
        <v>3.8299999999999994E-2</v>
      </c>
      <c r="BJ185" s="463">
        <f t="shared" si="283"/>
        <v>6.2723446963577571E-3</v>
      </c>
      <c r="BK185" s="463">
        <f t="shared" si="284"/>
        <v>7.8341597802197797E-3</v>
      </c>
      <c r="BL185">
        <f t="shared" si="285"/>
        <v>2.6099999999999999E-3</v>
      </c>
      <c r="BM185">
        <f t="shared" si="329"/>
        <v>5.0178757570862067E-6</v>
      </c>
      <c r="BN185">
        <f t="shared" si="330"/>
        <v>0.32567425010154427</v>
      </c>
      <c r="BO185" s="147">
        <f t="shared" si="286"/>
        <v>281.48767401506797</v>
      </c>
      <c r="BP185" s="153">
        <f t="shared" si="287"/>
        <v>0.15000000000000002</v>
      </c>
      <c r="BQ185" s="153">
        <f t="shared" si="288"/>
        <v>3.0000000000000006E-2</v>
      </c>
      <c r="BR185" s="463"/>
      <c r="BT185" s="147">
        <f t="shared" si="289"/>
        <v>180.00000000000003</v>
      </c>
      <c r="BU185" s="463">
        <f t="shared" si="290"/>
        <v>0.17500044918883356</v>
      </c>
      <c r="BV185" s="463">
        <f t="shared" si="291"/>
        <v>0.11490199973617936</v>
      </c>
      <c r="BW185" s="463">
        <f t="shared" si="292"/>
        <v>1.2126588785186386E-3</v>
      </c>
      <c r="BX185" s="463">
        <f t="shared" si="293"/>
        <v>0</v>
      </c>
      <c r="BY185" s="463">
        <f t="shared" si="274"/>
        <v>0.33382340363078072</v>
      </c>
      <c r="BZ185" s="463">
        <f t="shared" si="250"/>
        <v>0.29111510780353156</v>
      </c>
      <c r="CA185" s="549">
        <f t="shared" si="331"/>
        <v>0.84259259259259256</v>
      </c>
      <c r="CB185" s="147">
        <f t="shared" si="294"/>
        <v>1758.6462118304364</v>
      </c>
      <c r="CC185" s="153">
        <f t="shared" si="251"/>
        <v>1.6820902463249177</v>
      </c>
      <c r="CD185" s="5">
        <f t="shared" si="295"/>
        <v>6.8250000000000002</v>
      </c>
      <c r="CE185" s="153">
        <f t="shared" si="296"/>
        <v>0.80227196401829826</v>
      </c>
      <c r="CF185" s="5">
        <f t="shared" si="297"/>
        <v>80.227196401829829</v>
      </c>
      <c r="CG185">
        <f t="shared" si="298"/>
        <v>75</v>
      </c>
      <c r="CI185" s="59">
        <f t="shared" si="332"/>
        <v>-50</v>
      </c>
      <c r="CJ185">
        <f t="shared" si="333"/>
        <v>-50</v>
      </c>
    </row>
    <row r="186" spans="5:88" x14ac:dyDescent="0.25">
      <c r="E186" s="150">
        <v>76</v>
      </c>
      <c r="F186" s="191">
        <f t="shared" si="334"/>
        <v>0.38</v>
      </c>
      <c r="G186" s="191">
        <f t="shared" si="299"/>
        <v>7.6000000000000012E-2</v>
      </c>
      <c r="H186" s="191">
        <f t="shared" si="300"/>
        <v>5.7</v>
      </c>
      <c r="I186" s="191">
        <f t="shared" si="301"/>
        <v>1.2160000000000002</v>
      </c>
      <c r="J186" s="472">
        <f t="shared" si="302"/>
        <v>9</v>
      </c>
      <c r="K186" s="386">
        <f t="shared" si="303"/>
        <v>7.66</v>
      </c>
      <c r="L186" s="386">
        <f t="shared" si="304"/>
        <v>16.66</v>
      </c>
      <c r="M186" s="386"/>
      <c r="N186" s="191">
        <f t="shared" si="305"/>
        <v>0.45978391356542619</v>
      </c>
      <c r="O186" s="152">
        <f t="shared" si="306"/>
        <v>6.2923449599620076</v>
      </c>
      <c r="P186" s="152">
        <f t="shared" si="307"/>
        <v>1.6287385354141657</v>
      </c>
      <c r="Q186" s="191">
        <f t="shared" si="308"/>
        <v>0.41948966399746718</v>
      </c>
      <c r="R186" s="191">
        <f t="shared" si="309"/>
        <v>0.39327155999762548</v>
      </c>
      <c r="S186" s="191">
        <f t="shared" si="310"/>
        <v>15</v>
      </c>
      <c r="T186" s="191">
        <f t="shared" si="311"/>
        <v>3.7140366824613995</v>
      </c>
      <c r="U186" s="191">
        <f t="shared" si="312"/>
        <v>3.7140366824614</v>
      </c>
      <c r="V186" s="191">
        <f t="shared" si="313"/>
        <v>4.3637506712992948</v>
      </c>
      <c r="W186" s="175">
        <f t="shared" si="314"/>
        <v>350</v>
      </c>
      <c r="X186" s="386">
        <f t="shared" si="315"/>
        <v>123.79627690179787</v>
      </c>
      <c r="Z186" s="191">
        <f t="shared" si="316"/>
        <v>1.3136683244726464</v>
      </c>
      <c r="AA186" s="153">
        <f t="shared" si="317"/>
        <v>1.5434745326702111</v>
      </c>
      <c r="AB186" s="153">
        <f t="shared" si="318"/>
        <v>0.14622213484608731</v>
      </c>
      <c r="AC186" s="153"/>
      <c r="AD186" s="153">
        <f t="shared" si="319"/>
        <v>0.96344647519582249</v>
      </c>
      <c r="AE186" s="317">
        <f t="shared" si="320"/>
        <v>1923.9870447484966</v>
      </c>
      <c r="AF186" s="463">
        <f t="shared" si="321"/>
        <v>6.9127284595300251E-2</v>
      </c>
      <c r="AH186" s="153">
        <f t="shared" si="322"/>
        <v>2.0954978194002285</v>
      </c>
      <c r="AI186" s="153">
        <f t="shared" si="323"/>
        <v>3.7140366824613995</v>
      </c>
      <c r="AJ186" s="153">
        <f t="shared" si="324"/>
        <v>3.3437308758973332</v>
      </c>
      <c r="AL186" s="317">
        <f t="shared" si="325"/>
        <v>380</v>
      </c>
      <c r="AM186" s="147">
        <f t="shared" si="326"/>
        <v>123.79627690179787</v>
      </c>
      <c r="AO186">
        <f t="shared" si="327"/>
        <v>380</v>
      </c>
      <c r="AP186">
        <f t="shared" si="328"/>
        <v>123.79627690179787</v>
      </c>
      <c r="AR186" s="5">
        <f t="shared" si="249"/>
        <v>8.0777873537606943</v>
      </c>
      <c r="AS186" s="5">
        <f t="shared" si="335"/>
        <v>3.7140366824614</v>
      </c>
      <c r="AT186" s="5">
        <f t="shared" si="336"/>
        <v>4.3637506712992948</v>
      </c>
      <c r="AU186" s="153">
        <f t="shared" si="337"/>
        <v>0.45978391356542619</v>
      </c>
      <c r="AW186" s="5">
        <f t="shared" si="275"/>
        <v>9.4088929289022118</v>
      </c>
      <c r="AX186" s="5"/>
      <c r="AY186" s="5">
        <f t="shared" si="276"/>
        <v>1.7641674241691652</v>
      </c>
      <c r="AZ186" s="5"/>
      <c r="BA186" s="5">
        <f t="shared" si="277"/>
        <v>5.5329504674465522</v>
      </c>
      <c r="BB186" s="5"/>
      <c r="BC186" s="5"/>
      <c r="BD186" s="153">
        <f t="shared" si="278"/>
        <v>1.4539934421117426</v>
      </c>
      <c r="BE186" s="153">
        <f t="shared" si="279"/>
        <v>0.78802377764236997</v>
      </c>
      <c r="BF186" s="153">
        <f t="shared" si="280"/>
        <v>0.15781077481674652</v>
      </c>
      <c r="BG186" s="153"/>
      <c r="BH186" s="463">
        <f t="shared" si="281"/>
        <v>0.23255066226743487</v>
      </c>
      <c r="BI186" s="463">
        <f t="shared" si="282"/>
        <v>3.8300000000000001E-2</v>
      </c>
      <c r="BJ186" s="463">
        <f t="shared" si="283"/>
        <v>6.1898138450898928E-3</v>
      </c>
      <c r="BK186" s="463">
        <f t="shared" si="284"/>
        <v>7.731078730480046E-3</v>
      </c>
      <c r="BL186">
        <f t="shared" si="285"/>
        <v>2.6099999999999999E-3</v>
      </c>
      <c r="BM186">
        <f t="shared" si="329"/>
        <v>4.9518510760719147E-6</v>
      </c>
      <c r="BN186">
        <f t="shared" si="330"/>
        <v>0.3330714767150465</v>
      </c>
      <c r="BO186" s="147">
        <f t="shared" si="286"/>
        <v>287.38155484300484</v>
      </c>
      <c r="BP186" s="153">
        <f t="shared" si="287"/>
        <v>0.15200000000000002</v>
      </c>
      <c r="BQ186" s="153">
        <f t="shared" si="288"/>
        <v>3.0400000000000007E-2</v>
      </c>
      <c r="BR186" s="463"/>
      <c r="BT186" s="147">
        <f t="shared" si="289"/>
        <v>182.40000000000003</v>
      </c>
      <c r="BU186" s="463">
        <f t="shared" si="290"/>
        <v>0.17969823902483606</v>
      </c>
      <c r="BV186" s="463">
        <f t="shared" si="291"/>
        <v>0.11798648008465276</v>
      </c>
      <c r="BW186" s="463">
        <f t="shared" si="292"/>
        <v>1.2452120324130938E-3</v>
      </c>
      <c r="BX186" s="463">
        <f t="shared" si="293"/>
        <v>0</v>
      </c>
      <c r="BY186" s="463">
        <f t="shared" si="274"/>
        <v>0.34300426211537227</v>
      </c>
      <c r="BZ186" s="463">
        <f t="shared" si="250"/>
        <v>0.29892993114190186</v>
      </c>
      <c r="CA186" s="549">
        <f t="shared" si="331"/>
        <v>0.85382716049382723</v>
      </c>
      <c r="CB186" s="147">
        <f t="shared" si="294"/>
        <v>1794.6912848930033</v>
      </c>
      <c r="CC186" s="153">
        <f t="shared" si="251"/>
        <v>1.712302899324246</v>
      </c>
      <c r="CD186" s="5">
        <f t="shared" si="295"/>
        <v>6.9160000000000004</v>
      </c>
      <c r="CE186" s="153">
        <f t="shared" si="296"/>
        <v>0.80154812373840623</v>
      </c>
      <c r="CF186" s="5">
        <f t="shared" si="297"/>
        <v>80.154812373840628</v>
      </c>
      <c r="CG186">
        <f t="shared" si="298"/>
        <v>76</v>
      </c>
      <c r="CI186" s="59">
        <f t="shared" si="332"/>
        <v>-50</v>
      </c>
      <c r="CJ186">
        <f t="shared" si="333"/>
        <v>-50</v>
      </c>
    </row>
    <row r="187" spans="5:88" x14ac:dyDescent="0.25">
      <c r="E187" s="150">
        <v>77</v>
      </c>
      <c r="F187" s="191">
        <f t="shared" si="334"/>
        <v>0.38500000000000001</v>
      </c>
      <c r="G187" s="191">
        <f t="shared" si="299"/>
        <v>7.7000000000000013E-2</v>
      </c>
      <c r="H187" s="191">
        <f t="shared" si="300"/>
        <v>5.7750000000000004</v>
      </c>
      <c r="I187" s="191">
        <f t="shared" si="301"/>
        <v>1.2320000000000002</v>
      </c>
      <c r="J187" s="472">
        <f t="shared" si="302"/>
        <v>9</v>
      </c>
      <c r="K187" s="386">
        <f t="shared" si="303"/>
        <v>7.66</v>
      </c>
      <c r="L187" s="386">
        <f t="shared" si="304"/>
        <v>16.66</v>
      </c>
      <c r="M187" s="386"/>
      <c r="N187" s="191">
        <f t="shared" si="305"/>
        <v>0.45978391356542619</v>
      </c>
      <c r="O187" s="152">
        <f t="shared" si="306"/>
        <v>6.2923449599620076</v>
      </c>
      <c r="P187" s="152">
        <f t="shared" si="307"/>
        <v>1.6287385354141657</v>
      </c>
      <c r="Q187" s="191">
        <f t="shared" si="308"/>
        <v>0.41948966399746718</v>
      </c>
      <c r="R187" s="191">
        <f t="shared" si="309"/>
        <v>0.39327155999762548</v>
      </c>
      <c r="S187" s="191">
        <f t="shared" si="310"/>
        <v>15</v>
      </c>
      <c r="T187" s="191">
        <f t="shared" si="311"/>
        <v>3.7629055861779972</v>
      </c>
      <c r="U187" s="191">
        <f t="shared" si="312"/>
        <v>3.7629055861779972</v>
      </c>
      <c r="V187" s="191">
        <f t="shared" si="313"/>
        <v>4.4211684432900746</v>
      </c>
      <c r="W187" s="175">
        <f t="shared" si="314"/>
        <v>350</v>
      </c>
      <c r="X187" s="386">
        <f t="shared" si="315"/>
        <v>122.18853304593037</v>
      </c>
      <c r="Z187" s="191">
        <f t="shared" si="316"/>
        <v>1.3136683244726464</v>
      </c>
      <c r="AA187" s="153">
        <f t="shared" si="317"/>
        <v>1.5434745326702111</v>
      </c>
      <c r="AB187" s="153">
        <f t="shared" si="318"/>
        <v>0.14622213484608731</v>
      </c>
      <c r="AC187" s="153"/>
      <c r="AD187" s="153">
        <f t="shared" si="319"/>
        <v>0.96344647519582249</v>
      </c>
      <c r="AE187" s="317">
        <f t="shared" si="320"/>
        <v>1949.3026637583453</v>
      </c>
      <c r="AF187" s="463">
        <f t="shared" si="321"/>
        <v>6.9127284595300251E-2</v>
      </c>
      <c r="AH187" s="153">
        <f t="shared" si="322"/>
        <v>2.1092389359408501</v>
      </c>
      <c r="AI187" s="153">
        <f t="shared" si="323"/>
        <v>3.7629055861779972</v>
      </c>
      <c r="AJ187" s="153">
        <f t="shared" si="324"/>
        <v>3.3799300638355536</v>
      </c>
      <c r="AL187" s="317">
        <f t="shared" si="325"/>
        <v>385</v>
      </c>
      <c r="AM187" s="147">
        <f t="shared" si="326"/>
        <v>122.18853304593037</v>
      </c>
      <c r="AO187">
        <f t="shared" si="327"/>
        <v>385</v>
      </c>
      <c r="AP187">
        <f t="shared" si="328"/>
        <v>122.18853304593037</v>
      </c>
      <c r="AR187" s="5">
        <f t="shared" si="249"/>
        <v>8.1840740294680714</v>
      </c>
      <c r="AS187" s="5">
        <f t="shared" si="335"/>
        <v>3.7629055861779972</v>
      </c>
      <c r="AT187" s="5">
        <f t="shared" si="336"/>
        <v>4.4211684432900746</v>
      </c>
      <c r="AU187" s="153">
        <f t="shared" si="337"/>
        <v>0.45978391356542619</v>
      </c>
      <c r="AW187" s="5">
        <f t="shared" si="275"/>
        <v>9.6581243378568598</v>
      </c>
      <c r="AX187" s="5"/>
      <c r="AY187" s="5">
        <f t="shared" si="276"/>
        <v>1.8108983133481613</v>
      </c>
      <c r="AZ187" s="5"/>
      <c r="BA187" s="5">
        <f t="shared" si="277"/>
        <v>5.6795123479034988</v>
      </c>
      <c r="BB187" s="5"/>
      <c r="BC187" s="5"/>
      <c r="BD187" s="153">
        <f t="shared" si="278"/>
        <v>1.4731249347711077</v>
      </c>
      <c r="BE187" s="153">
        <f t="shared" si="279"/>
        <v>0.79839251155871704</v>
      </c>
      <c r="BF187" s="153">
        <f t="shared" si="280"/>
        <v>0.15988723238012476</v>
      </c>
      <c r="BG187" s="153"/>
      <c r="BH187" s="463">
        <f t="shared" si="281"/>
        <v>0.23871067807888185</v>
      </c>
      <c r="BI187" s="463">
        <f t="shared" si="282"/>
        <v>3.8300000000000001E-2</v>
      </c>
      <c r="BJ187" s="463">
        <f t="shared" si="283"/>
        <v>6.1094266522965183E-3</v>
      </c>
      <c r="BK187" s="463">
        <f t="shared" si="284"/>
        <v>7.6306751106036833E-3</v>
      </c>
      <c r="BL187">
        <f t="shared" si="285"/>
        <v>2.6099999999999999E-3</v>
      </c>
      <c r="BM187">
        <f t="shared" si="329"/>
        <v>4.8875413218372146E-6</v>
      </c>
      <c r="BN187">
        <f t="shared" si="330"/>
        <v>0.34059200281889374</v>
      </c>
      <c r="BO187" s="147">
        <f t="shared" si="286"/>
        <v>293.36077984178206</v>
      </c>
      <c r="BP187" s="153">
        <f t="shared" si="287"/>
        <v>0.15400000000000003</v>
      </c>
      <c r="BQ187" s="153">
        <f t="shared" si="288"/>
        <v>3.0800000000000008E-2</v>
      </c>
      <c r="BR187" s="463"/>
      <c r="BT187" s="147">
        <f t="shared" si="289"/>
        <v>184.8</v>
      </c>
      <c r="BU187" s="463">
        <f t="shared" si="290"/>
        <v>0.18445825124277235</v>
      </c>
      <c r="BV187" s="463">
        <f t="shared" si="291"/>
        <v>0.12111181447747688</v>
      </c>
      <c r="BW187" s="463">
        <f t="shared" si="292"/>
        <v>1.2781963539088008E-3</v>
      </c>
      <c r="BX187" s="463">
        <f t="shared" si="293"/>
        <v>0</v>
      </c>
      <c r="BY187" s="463">
        <f t="shared" si="274"/>
        <v>0.35231872458998681</v>
      </c>
      <c r="BZ187" s="463">
        <f t="shared" si="250"/>
        <v>0.30684826207415805</v>
      </c>
      <c r="CA187" s="549">
        <f t="shared" si="331"/>
        <v>0.86506172839506201</v>
      </c>
      <c r="CB187" s="147">
        <f t="shared" si="294"/>
        <v>1831.0769771333648</v>
      </c>
      <c r="CC187" s="153">
        <f t="shared" si="251"/>
        <v>1.7427724558039426</v>
      </c>
      <c r="CD187" s="5">
        <f t="shared" si="295"/>
        <v>7.0070000000000006</v>
      </c>
      <c r="CE187" s="153">
        <f t="shared" si="296"/>
        <v>0.80082082538638855</v>
      </c>
      <c r="CF187" s="5">
        <f t="shared" si="297"/>
        <v>80.082082538638858</v>
      </c>
      <c r="CG187">
        <f t="shared" si="298"/>
        <v>77</v>
      </c>
      <c r="CI187" s="59">
        <f t="shared" si="332"/>
        <v>-50</v>
      </c>
      <c r="CJ187">
        <f t="shared" si="333"/>
        <v>-50</v>
      </c>
    </row>
    <row r="188" spans="5:88" x14ac:dyDescent="0.25">
      <c r="E188" s="150">
        <v>78</v>
      </c>
      <c r="F188" s="191">
        <f t="shared" si="334"/>
        <v>0.39</v>
      </c>
      <c r="G188" s="191">
        <f t="shared" si="299"/>
        <v>7.8000000000000014E-2</v>
      </c>
      <c r="H188" s="191">
        <f t="shared" si="300"/>
        <v>5.8500000000000005</v>
      </c>
      <c r="I188" s="191">
        <f t="shared" si="301"/>
        <v>1.2480000000000002</v>
      </c>
      <c r="J188" s="472">
        <f t="shared" si="302"/>
        <v>9</v>
      </c>
      <c r="K188" s="386">
        <f t="shared" si="303"/>
        <v>7.66</v>
      </c>
      <c r="L188" s="386">
        <f t="shared" si="304"/>
        <v>16.66</v>
      </c>
      <c r="M188" s="386"/>
      <c r="N188" s="191">
        <f t="shared" si="305"/>
        <v>0.45978391356542619</v>
      </c>
      <c r="O188" s="152">
        <f t="shared" si="306"/>
        <v>6.2923449599620076</v>
      </c>
      <c r="P188" s="152">
        <f t="shared" si="307"/>
        <v>1.6287385354141657</v>
      </c>
      <c r="Q188" s="191">
        <f t="shared" si="308"/>
        <v>0.41948966399746718</v>
      </c>
      <c r="R188" s="191">
        <f t="shared" si="309"/>
        <v>0.39327155999762548</v>
      </c>
      <c r="S188" s="191">
        <f t="shared" si="310"/>
        <v>15</v>
      </c>
      <c r="T188" s="191">
        <f t="shared" si="311"/>
        <v>3.8117744898945944</v>
      </c>
      <c r="U188" s="191">
        <f t="shared" si="312"/>
        <v>3.8117744898945944</v>
      </c>
      <c r="V188" s="191">
        <f t="shared" si="313"/>
        <v>4.4785862152808553</v>
      </c>
      <c r="W188" s="175">
        <f t="shared" si="314"/>
        <v>350</v>
      </c>
      <c r="X188" s="386">
        <f t="shared" si="315"/>
        <v>120.62201339149534</v>
      </c>
      <c r="Z188" s="191">
        <f t="shared" si="316"/>
        <v>1.3136683244726464</v>
      </c>
      <c r="AA188" s="153">
        <f t="shared" si="317"/>
        <v>1.5434745326702111</v>
      </c>
      <c r="AB188" s="153">
        <f t="shared" si="318"/>
        <v>0.14622213484608731</v>
      </c>
      <c r="AC188" s="153"/>
      <c r="AD188" s="153">
        <f t="shared" si="319"/>
        <v>0.96344647519582249</v>
      </c>
      <c r="AE188" s="317">
        <f t="shared" si="320"/>
        <v>1974.6182827681939</v>
      </c>
      <c r="AF188" s="463">
        <f t="shared" si="321"/>
        <v>6.9127284595300251E-2</v>
      </c>
      <c r="AH188" s="153">
        <f t="shared" si="322"/>
        <v>2.122891110412088</v>
      </c>
      <c r="AI188" s="153">
        <f t="shared" si="323"/>
        <v>3.8117744898945944</v>
      </c>
      <c r="AJ188" s="153">
        <f t="shared" si="324"/>
        <v>3.4161292517737731</v>
      </c>
      <c r="AL188" s="317">
        <f t="shared" si="325"/>
        <v>390</v>
      </c>
      <c r="AM188" s="147">
        <f t="shared" si="326"/>
        <v>120.62201339149534</v>
      </c>
      <c r="AO188">
        <f t="shared" si="327"/>
        <v>390</v>
      </c>
      <c r="AP188">
        <f t="shared" si="328"/>
        <v>120.62201339149534</v>
      </c>
      <c r="AR188" s="5">
        <f t="shared" si="249"/>
        <v>8.290360705175452</v>
      </c>
      <c r="AS188" s="5">
        <f t="shared" si="335"/>
        <v>3.8117744898945944</v>
      </c>
      <c r="AT188" s="5">
        <f t="shared" si="336"/>
        <v>4.478586215280858</v>
      </c>
      <c r="AU188" s="153">
        <f t="shared" si="337"/>
        <v>0.45978391356542603</v>
      </c>
      <c r="AW188" s="5">
        <f t="shared" si="275"/>
        <v>9.9106136737259476</v>
      </c>
      <c r="AX188" s="5"/>
      <c r="AY188" s="5">
        <f t="shared" si="276"/>
        <v>1.858240063823615</v>
      </c>
      <c r="AZ188" s="5"/>
      <c r="BA188" s="5">
        <f t="shared" si="277"/>
        <v>5.8279900699350495</v>
      </c>
      <c r="BB188" s="5"/>
      <c r="BC188" s="5"/>
      <c r="BD188" s="153">
        <f t="shared" si="278"/>
        <v>1.4922564274304726</v>
      </c>
      <c r="BE188" s="153">
        <f t="shared" si="279"/>
        <v>0.80876124547506412</v>
      </c>
      <c r="BF188" s="153">
        <f t="shared" si="280"/>
        <v>0.16196368994350302</v>
      </c>
      <c r="BG188" s="153"/>
      <c r="BH188" s="463">
        <f t="shared" si="281"/>
        <v>0.24495121697283131</v>
      </c>
      <c r="BI188" s="463">
        <f t="shared" si="282"/>
        <v>3.8299999999999994E-2</v>
      </c>
      <c r="BJ188" s="463">
        <f t="shared" si="283"/>
        <v>6.0311006695747673E-3</v>
      </c>
      <c r="BK188" s="463">
        <f t="shared" si="284"/>
        <v>7.5328459425190184E-3</v>
      </c>
      <c r="BL188">
        <f t="shared" si="285"/>
        <v>2.6099999999999999E-3</v>
      </c>
      <c r="BM188">
        <f t="shared" si="329"/>
        <v>4.8248805356598137E-6</v>
      </c>
      <c r="BN188">
        <f t="shared" si="330"/>
        <v>0.34823642548897582</v>
      </c>
      <c r="BO188" s="147">
        <f t="shared" si="286"/>
        <v>299.42516358492503</v>
      </c>
      <c r="BP188" s="153">
        <f t="shared" si="287"/>
        <v>0.15600000000000003</v>
      </c>
      <c r="BQ188" s="153">
        <f t="shared" si="288"/>
        <v>3.1200000000000006E-2</v>
      </c>
      <c r="BR188" s="463"/>
      <c r="BT188" s="147">
        <f t="shared" si="289"/>
        <v>187.20000000000005</v>
      </c>
      <c r="BU188" s="463">
        <f t="shared" si="290"/>
        <v>0.1892804858426424</v>
      </c>
      <c r="BV188" s="463">
        <f t="shared" si="291"/>
        <v>0.12427800291465162</v>
      </c>
      <c r="BW188" s="463">
        <f t="shared" si="292"/>
        <v>1.311611843005759E-3</v>
      </c>
      <c r="BX188" s="463">
        <f t="shared" si="293"/>
        <v>0</v>
      </c>
      <c r="BY188" s="463">
        <f t="shared" si="274"/>
        <v>0.36176728888391796</v>
      </c>
      <c r="BZ188" s="463">
        <f t="shared" si="250"/>
        <v>0.3148701006002998</v>
      </c>
      <c r="CA188" s="549">
        <f t="shared" si="331"/>
        <v>0.87629629629629635</v>
      </c>
      <c r="CB188" s="147">
        <f t="shared" si="294"/>
        <v>1867.8037863808138</v>
      </c>
      <c r="CC188" s="153">
        <f t="shared" si="251"/>
        <v>1.7735000106691903</v>
      </c>
      <c r="CD188" s="5">
        <f t="shared" si="295"/>
        <v>7.0980000000000008</v>
      </c>
      <c r="CE188" s="153">
        <f t="shared" si="296"/>
        <v>0.80009017544537964</v>
      </c>
      <c r="CF188" s="5">
        <f t="shared" si="297"/>
        <v>80.009017544537969</v>
      </c>
      <c r="CG188">
        <f t="shared" si="298"/>
        <v>78</v>
      </c>
      <c r="CI188" s="59">
        <f t="shared" si="332"/>
        <v>-50</v>
      </c>
      <c r="CJ188">
        <f t="shared" si="333"/>
        <v>-50</v>
      </c>
    </row>
    <row r="189" spans="5:88" x14ac:dyDescent="0.25">
      <c r="E189" s="150">
        <v>79</v>
      </c>
      <c r="F189" s="191">
        <f t="shared" si="334"/>
        <v>0.39500000000000002</v>
      </c>
      <c r="G189" s="191">
        <f t="shared" si="299"/>
        <v>7.9000000000000015E-2</v>
      </c>
      <c r="H189" s="191">
        <f t="shared" si="300"/>
        <v>5.9250000000000007</v>
      </c>
      <c r="I189" s="191">
        <f t="shared" si="301"/>
        <v>1.2640000000000002</v>
      </c>
      <c r="J189" s="472">
        <f t="shared" si="302"/>
        <v>9</v>
      </c>
      <c r="K189" s="386">
        <f t="shared" si="303"/>
        <v>7.66</v>
      </c>
      <c r="L189" s="386">
        <f t="shared" si="304"/>
        <v>16.66</v>
      </c>
      <c r="M189" s="386"/>
      <c r="N189" s="191">
        <f t="shared" si="305"/>
        <v>0.45978391356542619</v>
      </c>
      <c r="O189" s="152">
        <f t="shared" si="306"/>
        <v>6.2923449599620076</v>
      </c>
      <c r="P189" s="152">
        <f t="shared" si="307"/>
        <v>1.6287385354141657</v>
      </c>
      <c r="Q189" s="191">
        <f t="shared" si="308"/>
        <v>0.41948966399746718</v>
      </c>
      <c r="R189" s="191">
        <f t="shared" si="309"/>
        <v>0.39327155999762548</v>
      </c>
      <c r="S189" s="191">
        <f t="shared" si="310"/>
        <v>15</v>
      </c>
      <c r="T189" s="191">
        <f t="shared" si="311"/>
        <v>3.8606433936111921</v>
      </c>
      <c r="U189" s="191">
        <f t="shared" si="312"/>
        <v>3.8606433936111921</v>
      </c>
      <c r="V189" s="191">
        <f t="shared" si="313"/>
        <v>4.5360039872716351</v>
      </c>
      <c r="W189" s="175">
        <f t="shared" si="314"/>
        <v>350</v>
      </c>
      <c r="X189" s="386">
        <f t="shared" si="315"/>
        <v>119.09515246248908</v>
      </c>
      <c r="Z189" s="191">
        <f t="shared" si="316"/>
        <v>1.3136683244726464</v>
      </c>
      <c r="AA189" s="153">
        <f t="shared" si="317"/>
        <v>1.5434745326702111</v>
      </c>
      <c r="AB189" s="153">
        <f t="shared" si="318"/>
        <v>0.14622213484608731</v>
      </c>
      <c r="AC189" s="153"/>
      <c r="AD189" s="153">
        <f t="shared" si="319"/>
        <v>0.96344647519582249</v>
      </c>
      <c r="AE189" s="317">
        <f t="shared" si="320"/>
        <v>1999.9339017780426</v>
      </c>
      <c r="AF189" s="463">
        <f t="shared" si="321"/>
        <v>6.9127284595300251E-2</v>
      </c>
      <c r="AH189" s="153">
        <f t="shared" si="322"/>
        <v>2.1364560478616088</v>
      </c>
      <c r="AI189" s="153">
        <f t="shared" si="323"/>
        <v>3.8606433936111921</v>
      </c>
      <c r="AJ189" s="153">
        <f t="shared" si="324"/>
        <v>3.4523284397119944</v>
      </c>
      <c r="AL189" s="317">
        <f t="shared" si="325"/>
        <v>395</v>
      </c>
      <c r="AM189" s="147">
        <f t="shared" si="326"/>
        <v>119.09515246248908</v>
      </c>
      <c r="AO189">
        <f t="shared" si="327"/>
        <v>395</v>
      </c>
      <c r="AP189">
        <f t="shared" si="328"/>
        <v>119.09515246248908</v>
      </c>
      <c r="AR189" s="5">
        <f t="shared" si="249"/>
        <v>8.3966473808828272</v>
      </c>
      <c r="AS189" s="5">
        <f t="shared" si="335"/>
        <v>3.8606433936111921</v>
      </c>
      <c r="AT189" s="5">
        <f t="shared" si="336"/>
        <v>4.5360039872716351</v>
      </c>
      <c r="AU189" s="153">
        <f t="shared" si="337"/>
        <v>0.45978391356542619</v>
      </c>
      <c r="AW189" s="5">
        <f t="shared" si="275"/>
        <v>10.166360936509472</v>
      </c>
      <c r="AX189" s="5"/>
      <c r="AY189" s="5">
        <f t="shared" si="276"/>
        <v>1.9061926755955263</v>
      </c>
      <c r="AZ189" s="5"/>
      <c r="BA189" s="5">
        <f t="shared" si="277"/>
        <v>5.9783836335411946</v>
      </c>
      <c r="BB189" s="5"/>
      <c r="BC189" s="5"/>
      <c r="BD189" s="153">
        <f t="shared" si="278"/>
        <v>1.5113879200898379</v>
      </c>
      <c r="BE189" s="153">
        <f t="shared" si="279"/>
        <v>0.81912997939141097</v>
      </c>
      <c r="BF189" s="153">
        <f t="shared" si="280"/>
        <v>0.16404014750688126</v>
      </c>
      <c r="BG189" s="153"/>
      <c r="BH189" s="463">
        <f t="shared" si="281"/>
        <v>0.2512722789492835</v>
      </c>
      <c r="BI189" s="463">
        <f t="shared" si="282"/>
        <v>3.8300000000000008E-2</v>
      </c>
      <c r="BJ189" s="463">
        <f t="shared" si="283"/>
        <v>5.9547576231244537E-3</v>
      </c>
      <c r="BK189" s="463">
        <f t="shared" si="284"/>
        <v>7.437493462233968E-3</v>
      </c>
      <c r="BL189">
        <f t="shared" si="285"/>
        <v>2.6099999999999999E-3</v>
      </c>
      <c r="BM189">
        <f t="shared" si="329"/>
        <v>4.763806098499563E-6</v>
      </c>
      <c r="BN189">
        <f t="shared" si="330"/>
        <v>0.35600536609561367</v>
      </c>
      <c r="BO189" s="147">
        <f t="shared" si="286"/>
        <v>305.57453003464195</v>
      </c>
      <c r="BP189" s="153">
        <f t="shared" si="287"/>
        <v>0.15800000000000003</v>
      </c>
      <c r="BQ189" s="153">
        <f t="shared" si="288"/>
        <v>3.160000000000001E-2</v>
      </c>
      <c r="BR189" s="463"/>
      <c r="BT189" s="147">
        <f t="shared" si="289"/>
        <v>189.60000000000005</v>
      </c>
      <c r="BU189" s="463">
        <f t="shared" si="290"/>
        <v>0.19416494282444635</v>
      </c>
      <c r="BV189" s="463">
        <f t="shared" si="291"/>
        <v>0.12748504539617694</v>
      </c>
      <c r="BW189" s="463">
        <f t="shared" si="292"/>
        <v>1.3454584997039682E-3</v>
      </c>
      <c r="BX189" s="463">
        <f t="shared" si="293"/>
        <v>0</v>
      </c>
      <c r="BY189" s="463">
        <f t="shared" si="274"/>
        <v>0.37135046096921048</v>
      </c>
      <c r="BZ189" s="463">
        <f t="shared" si="250"/>
        <v>0.32299544672032726</v>
      </c>
      <c r="CA189" s="549">
        <f t="shared" si="331"/>
        <v>0.88753086419753113</v>
      </c>
      <c r="CB189" s="147">
        <f t="shared" si="294"/>
        <v>1904.8722186073962</v>
      </c>
      <c r="CC189" s="153">
        <f t="shared" si="251"/>
        <v>1.8044866912623552</v>
      </c>
      <c r="CD189" s="5">
        <f t="shared" si="295"/>
        <v>7.1890000000000009</v>
      </c>
      <c r="CE189" s="153">
        <f t="shared" si="296"/>
        <v>0.79935627268837695</v>
      </c>
      <c r="CF189" s="5">
        <f t="shared" si="297"/>
        <v>79.935627268837692</v>
      </c>
      <c r="CG189">
        <f t="shared" si="298"/>
        <v>79</v>
      </c>
      <c r="CI189" s="59">
        <f t="shared" si="332"/>
        <v>-50</v>
      </c>
      <c r="CJ189">
        <f t="shared" si="333"/>
        <v>-50</v>
      </c>
    </row>
    <row r="190" spans="5:88" x14ac:dyDescent="0.25">
      <c r="E190" s="150">
        <v>80</v>
      </c>
      <c r="F190" s="191">
        <f t="shared" si="334"/>
        <v>0.4</v>
      </c>
      <c r="G190" s="191">
        <f t="shared" si="299"/>
        <v>8.0000000000000016E-2</v>
      </c>
      <c r="H190" s="191">
        <f t="shared" si="300"/>
        <v>6</v>
      </c>
      <c r="I190" s="191">
        <f t="shared" si="301"/>
        <v>1.2800000000000002</v>
      </c>
      <c r="J190" s="472">
        <f t="shared" si="302"/>
        <v>9</v>
      </c>
      <c r="K190" s="386">
        <f t="shared" si="303"/>
        <v>7.66</v>
      </c>
      <c r="L190" s="386">
        <f t="shared" si="304"/>
        <v>16.66</v>
      </c>
      <c r="M190" s="386"/>
      <c r="N190" s="191">
        <f t="shared" si="305"/>
        <v>0.45978391356542619</v>
      </c>
      <c r="O190" s="152">
        <f t="shared" si="306"/>
        <v>6.2923449599620076</v>
      </c>
      <c r="P190" s="152">
        <f t="shared" si="307"/>
        <v>1.6287385354141657</v>
      </c>
      <c r="Q190" s="191">
        <f t="shared" si="308"/>
        <v>0.41948966399746718</v>
      </c>
      <c r="R190" s="191">
        <f t="shared" si="309"/>
        <v>0.39327155999762548</v>
      </c>
      <c r="S190" s="191">
        <f t="shared" si="310"/>
        <v>15</v>
      </c>
      <c r="T190" s="191">
        <f t="shared" si="311"/>
        <v>3.9095122973277889</v>
      </c>
      <c r="U190" s="191">
        <f t="shared" si="312"/>
        <v>3.9095122973277885</v>
      </c>
      <c r="V190" s="191">
        <f t="shared" si="313"/>
        <v>4.5934217592624149</v>
      </c>
      <c r="W190" s="175">
        <f t="shared" si="314"/>
        <v>350</v>
      </c>
      <c r="X190" s="386">
        <f t="shared" si="315"/>
        <v>117.60646305670801</v>
      </c>
      <c r="Z190" s="191">
        <f t="shared" si="316"/>
        <v>1.3136683244726464</v>
      </c>
      <c r="AA190" s="153">
        <f t="shared" si="317"/>
        <v>1.5434745326702111</v>
      </c>
      <c r="AB190" s="153">
        <f t="shared" si="318"/>
        <v>0.14622213484608731</v>
      </c>
      <c r="AC190" s="153"/>
      <c r="AD190" s="153">
        <f t="shared" si="319"/>
        <v>0.96344647519582249</v>
      </c>
      <c r="AE190" s="317">
        <f t="shared" si="320"/>
        <v>2025.2495207878912</v>
      </c>
      <c r="AF190" s="463">
        <f t="shared" si="321"/>
        <v>6.9127284595300251E-2</v>
      </c>
      <c r="AH190" s="153">
        <f t="shared" si="322"/>
        <v>2.1499353995462802</v>
      </c>
      <c r="AI190" s="153">
        <f t="shared" si="323"/>
        <v>3.9095122973277889</v>
      </c>
      <c r="AJ190" s="153">
        <f t="shared" si="324"/>
        <v>3.488527627650214</v>
      </c>
      <c r="AL190" s="317">
        <f t="shared" si="325"/>
        <v>400</v>
      </c>
      <c r="AM190" s="147">
        <f t="shared" si="326"/>
        <v>117.60646305670801</v>
      </c>
      <c r="AO190">
        <f t="shared" si="327"/>
        <v>400</v>
      </c>
      <c r="AP190">
        <f t="shared" si="328"/>
        <v>117.60646305670801</v>
      </c>
      <c r="AR190" s="5">
        <f t="shared" si="249"/>
        <v>8.5029340565902025</v>
      </c>
      <c r="AS190" s="5">
        <f t="shared" si="335"/>
        <v>3.9095122973277885</v>
      </c>
      <c r="AT190" s="5">
        <f t="shared" si="336"/>
        <v>4.593421759262414</v>
      </c>
      <c r="AU190" s="153">
        <f t="shared" si="337"/>
        <v>0.45978391356542619</v>
      </c>
      <c r="AW190" s="5">
        <f t="shared" si="275"/>
        <v>10.425366126207436</v>
      </c>
      <c r="AX190" s="5"/>
      <c r="AY190" s="5">
        <f t="shared" si="276"/>
        <v>1.9547561486638947</v>
      </c>
      <c r="AZ190" s="5"/>
      <c r="BA190" s="5">
        <f t="shared" si="277"/>
        <v>6.1306930387219394</v>
      </c>
      <c r="BB190" s="5"/>
      <c r="BC190" s="5"/>
      <c r="BD190" s="153">
        <f t="shared" si="278"/>
        <v>1.5305194127492028</v>
      </c>
      <c r="BE190" s="153">
        <f t="shared" si="279"/>
        <v>0.82949871330775782</v>
      </c>
      <c r="BF190" s="153">
        <f t="shared" si="280"/>
        <v>0.16611660507025949</v>
      </c>
      <c r="BG190" s="153"/>
      <c r="BH190" s="463">
        <f t="shared" si="281"/>
        <v>0.25767386400823811</v>
      </c>
      <c r="BI190" s="463">
        <f t="shared" si="282"/>
        <v>3.8300000000000008E-2</v>
      </c>
      <c r="BJ190" s="463">
        <f t="shared" si="283"/>
        <v>5.8803231528354004E-3</v>
      </c>
      <c r="BK190" s="463">
        <f t="shared" si="284"/>
        <v>7.3445247939560466E-3</v>
      </c>
      <c r="BL190">
        <f t="shared" si="285"/>
        <v>2.6099999999999999E-3</v>
      </c>
      <c r="BM190">
        <f t="shared" si="329"/>
        <v>4.7042585222683207E-6</v>
      </c>
      <c r="BN190">
        <f t="shared" si="330"/>
        <v>0.36389946993102007</v>
      </c>
      <c r="BO190" s="147">
        <f t="shared" si="286"/>
        <v>311.80871195502954</v>
      </c>
      <c r="BP190" s="153">
        <f t="shared" si="287"/>
        <v>0.16000000000000003</v>
      </c>
      <c r="BQ190" s="153">
        <f t="shared" si="288"/>
        <v>3.2000000000000008E-2</v>
      </c>
      <c r="BR190" s="463"/>
      <c r="BT190" s="147">
        <f t="shared" si="289"/>
        <v>192.00000000000003</v>
      </c>
      <c r="BU190" s="463">
        <f t="shared" si="290"/>
        <v>0.19911162218818401</v>
      </c>
      <c r="BV190" s="463">
        <f t="shared" si="291"/>
        <v>0.1307329419220529</v>
      </c>
      <c r="BW190" s="463">
        <f t="shared" si="292"/>
        <v>1.3797363240034282E-3</v>
      </c>
      <c r="BX190" s="463">
        <f t="shared" si="293"/>
        <v>0</v>
      </c>
      <c r="BY190" s="463">
        <f t="shared" si="274"/>
        <v>0.38106875503053617</v>
      </c>
      <c r="BZ190" s="463">
        <f t="shared" si="250"/>
        <v>0.33122430043424034</v>
      </c>
      <c r="CA190" s="549">
        <f t="shared" si="331"/>
        <v>0.8987654320987658</v>
      </c>
      <c r="CB190" s="147">
        <f t="shared" si="294"/>
        <v>1942.2827879977826</v>
      </c>
      <c r="CC190" s="153">
        <f t="shared" si="251"/>
        <v>1.835733657060322</v>
      </c>
      <c r="CD190" s="5">
        <f t="shared" si="295"/>
        <v>7.28</v>
      </c>
      <c r="CE190" s="153">
        <f t="shared" si="296"/>
        <v>0.79861920870861469</v>
      </c>
      <c r="CF190" s="5">
        <f t="shared" si="297"/>
        <v>79.861920870861468</v>
      </c>
      <c r="CG190">
        <f t="shared" si="298"/>
        <v>80</v>
      </c>
      <c r="CI190" s="59">
        <f t="shared" si="332"/>
        <v>-50</v>
      </c>
      <c r="CJ190">
        <f t="shared" si="333"/>
        <v>-50</v>
      </c>
    </row>
    <row r="191" spans="5:88" x14ac:dyDescent="0.25">
      <c r="E191" s="150">
        <v>81</v>
      </c>
      <c r="F191" s="191">
        <f t="shared" si="334"/>
        <v>0.40500000000000003</v>
      </c>
      <c r="G191" s="191">
        <f t="shared" si="299"/>
        <v>8.1000000000000016E-2</v>
      </c>
      <c r="H191" s="191">
        <f t="shared" si="300"/>
        <v>6.0750000000000002</v>
      </c>
      <c r="I191" s="191">
        <f t="shared" si="301"/>
        <v>1.2960000000000003</v>
      </c>
      <c r="J191" s="472">
        <f t="shared" si="302"/>
        <v>9</v>
      </c>
      <c r="K191" s="386">
        <f t="shared" si="303"/>
        <v>7.66</v>
      </c>
      <c r="L191" s="386">
        <f t="shared" si="304"/>
        <v>16.66</v>
      </c>
      <c r="M191" s="386"/>
      <c r="N191" s="191">
        <f t="shared" si="305"/>
        <v>0.45978391356542619</v>
      </c>
      <c r="O191" s="152">
        <f t="shared" si="306"/>
        <v>6.2923449599620076</v>
      </c>
      <c r="P191" s="152">
        <f t="shared" si="307"/>
        <v>1.6287385354141657</v>
      </c>
      <c r="Q191" s="191">
        <f t="shared" si="308"/>
        <v>0.41948966399746718</v>
      </c>
      <c r="R191" s="191">
        <f t="shared" si="309"/>
        <v>0.39327155999762548</v>
      </c>
      <c r="S191" s="191">
        <f t="shared" si="310"/>
        <v>15</v>
      </c>
      <c r="T191" s="191">
        <f t="shared" si="311"/>
        <v>3.9583812010443866</v>
      </c>
      <c r="U191" s="191">
        <f t="shared" si="312"/>
        <v>3.9583812010443862</v>
      </c>
      <c r="V191" s="191">
        <f t="shared" si="313"/>
        <v>4.6508395312531956</v>
      </c>
      <c r="W191" s="175">
        <f t="shared" si="314"/>
        <v>350</v>
      </c>
      <c r="X191" s="386">
        <f t="shared" si="315"/>
        <v>116.15453141403258</v>
      </c>
      <c r="Z191" s="191">
        <f t="shared" si="316"/>
        <v>1.3136683244726464</v>
      </c>
      <c r="AA191" s="153">
        <f t="shared" si="317"/>
        <v>1.5434745326702111</v>
      </c>
      <c r="AB191" s="153">
        <f t="shared" si="318"/>
        <v>0.14622213484608731</v>
      </c>
      <c r="AC191" s="153"/>
      <c r="AD191" s="153">
        <f t="shared" si="319"/>
        <v>0.96344647519582249</v>
      </c>
      <c r="AE191" s="317">
        <f t="shared" si="320"/>
        <v>2050.5651397977399</v>
      </c>
      <c r="AF191" s="463">
        <f t="shared" si="321"/>
        <v>6.9127284595300251E-2</v>
      </c>
      <c r="AH191" s="153">
        <f t="shared" si="322"/>
        <v>2.1633307652783937</v>
      </c>
      <c r="AI191" s="153">
        <f t="shared" si="323"/>
        <v>3.9583812010443866</v>
      </c>
      <c r="AJ191" s="153">
        <f t="shared" si="324"/>
        <v>3.5247268155884344</v>
      </c>
      <c r="AL191" s="317">
        <f t="shared" si="325"/>
        <v>405</v>
      </c>
      <c r="AM191" s="147">
        <f t="shared" si="326"/>
        <v>116.15453141403258</v>
      </c>
      <c r="AO191">
        <f t="shared" si="327"/>
        <v>405</v>
      </c>
      <c r="AP191">
        <f t="shared" si="328"/>
        <v>116.15453141403258</v>
      </c>
      <c r="AR191" s="5">
        <f t="shared" si="249"/>
        <v>8.6092207322975813</v>
      </c>
      <c r="AS191" s="5">
        <f t="shared" si="335"/>
        <v>3.9583812010443862</v>
      </c>
      <c r="AT191" s="5">
        <f t="shared" si="336"/>
        <v>4.6508395312531956</v>
      </c>
      <c r="AU191" s="153">
        <f t="shared" si="337"/>
        <v>0.45978391356542619</v>
      </c>
      <c r="AW191" s="5">
        <f t="shared" si="275"/>
        <v>10.687629242819844</v>
      </c>
      <c r="AX191" s="5"/>
      <c r="AY191" s="5">
        <f t="shared" si="276"/>
        <v>2.003930483028721</v>
      </c>
      <c r="AZ191" s="5"/>
      <c r="BA191" s="5">
        <f t="shared" si="277"/>
        <v>6.2849182854772909</v>
      </c>
      <c r="BB191" s="5"/>
      <c r="BC191" s="5"/>
      <c r="BD191" s="153">
        <f t="shared" si="278"/>
        <v>1.5496509054085679</v>
      </c>
      <c r="BE191" s="153">
        <f t="shared" si="279"/>
        <v>0.83986744722410489</v>
      </c>
      <c r="BF191" s="153">
        <f t="shared" si="280"/>
        <v>0.16819306263363773</v>
      </c>
      <c r="BG191" s="153"/>
      <c r="BH191" s="463">
        <f t="shared" si="281"/>
        <v>0.26415597214969538</v>
      </c>
      <c r="BI191" s="463">
        <f t="shared" si="282"/>
        <v>3.8300000000000001E-2</v>
      </c>
      <c r="BJ191" s="463">
        <f t="shared" si="283"/>
        <v>5.8077265707016284E-3</v>
      </c>
      <c r="BK191" s="463">
        <f t="shared" si="284"/>
        <v>7.2538516483516488E-3</v>
      </c>
      <c r="BL191">
        <f t="shared" si="285"/>
        <v>2.6099999999999999E-3</v>
      </c>
      <c r="BM191">
        <f t="shared" si="329"/>
        <v>4.6461812565613028E-6</v>
      </c>
      <c r="BN191">
        <f t="shared" si="330"/>
        <v>0.37191940588535449</v>
      </c>
      <c r="BO191" s="147">
        <f t="shared" si="286"/>
        <v>318.12755036874864</v>
      </c>
      <c r="BP191" s="153">
        <f t="shared" si="287"/>
        <v>0.16200000000000003</v>
      </c>
      <c r="BQ191" s="153">
        <f t="shared" si="288"/>
        <v>3.2400000000000005E-2</v>
      </c>
      <c r="BR191" s="463"/>
      <c r="BT191" s="147">
        <f t="shared" si="289"/>
        <v>194.40000000000003</v>
      </c>
      <c r="BU191" s="463">
        <f t="shared" si="290"/>
        <v>0.20412052393385555</v>
      </c>
      <c r="BV191" s="463">
        <f t="shared" si="291"/>
        <v>0.13402169249227958</v>
      </c>
      <c r="BW191" s="463">
        <f t="shared" si="292"/>
        <v>1.4144453159041393E-3</v>
      </c>
      <c r="BX191" s="463">
        <f t="shared" si="293"/>
        <v>0</v>
      </c>
      <c r="BY191" s="463">
        <f t="shared" si="274"/>
        <v>0.39092269353639802</v>
      </c>
      <c r="BZ191" s="463">
        <f t="shared" si="250"/>
        <v>0.33955666174203925</v>
      </c>
      <c r="CA191" s="549">
        <f t="shared" si="331"/>
        <v>0.91000000000000025</v>
      </c>
      <c r="CB191" s="147">
        <f t="shared" si="294"/>
        <v>1980.0360170204767</v>
      </c>
      <c r="CC191" s="153">
        <f t="shared" si="251"/>
        <v>1.8672420994217527</v>
      </c>
      <c r="CD191" s="5">
        <f t="shared" si="295"/>
        <v>7.3710000000000004</v>
      </c>
      <c r="CE191" s="153">
        <f t="shared" si="296"/>
        <v>0.7978790684064635</v>
      </c>
      <c r="CF191" s="5">
        <f t="shared" si="297"/>
        <v>79.787906840646343</v>
      </c>
      <c r="CG191">
        <f t="shared" si="298"/>
        <v>81</v>
      </c>
      <c r="CI191" s="59">
        <f t="shared" si="332"/>
        <v>-50</v>
      </c>
      <c r="CJ191">
        <f t="shared" si="333"/>
        <v>-50</v>
      </c>
    </row>
    <row r="192" spans="5:88" x14ac:dyDescent="0.25">
      <c r="E192" s="150">
        <v>82</v>
      </c>
      <c r="F192" s="191">
        <f t="shared" si="334"/>
        <v>0.41</v>
      </c>
      <c r="G192" s="191">
        <f t="shared" si="299"/>
        <v>8.2000000000000003E-2</v>
      </c>
      <c r="H192" s="191">
        <f t="shared" si="300"/>
        <v>6.1499999999999995</v>
      </c>
      <c r="I192" s="191">
        <f t="shared" si="301"/>
        <v>1.3120000000000001</v>
      </c>
      <c r="J192" s="472">
        <f t="shared" si="302"/>
        <v>9</v>
      </c>
      <c r="K192" s="386">
        <f t="shared" si="303"/>
        <v>7.66</v>
      </c>
      <c r="L192" s="386">
        <f t="shared" si="304"/>
        <v>16.66</v>
      </c>
      <c r="M192" s="386"/>
      <c r="N192" s="191">
        <f t="shared" si="305"/>
        <v>0.45978391356542619</v>
      </c>
      <c r="O192" s="152">
        <f t="shared" si="306"/>
        <v>6.2923449599620076</v>
      </c>
      <c r="P192" s="152">
        <f t="shared" si="307"/>
        <v>1.6287385354141657</v>
      </c>
      <c r="Q192" s="191">
        <f t="shared" si="308"/>
        <v>0.41948966399746718</v>
      </c>
      <c r="R192" s="191">
        <f t="shared" si="309"/>
        <v>0.39327155999762548</v>
      </c>
      <c r="S192" s="191">
        <f t="shared" si="310"/>
        <v>15</v>
      </c>
      <c r="T192" s="191">
        <f t="shared" si="311"/>
        <v>4.0072501047609839</v>
      </c>
      <c r="U192" s="191">
        <f t="shared" si="312"/>
        <v>4.0072501047609848</v>
      </c>
      <c r="V192" s="191">
        <f t="shared" si="313"/>
        <v>4.7082573032439763</v>
      </c>
      <c r="W192" s="175">
        <f t="shared" si="314"/>
        <v>350</v>
      </c>
      <c r="X192" s="386">
        <f t="shared" si="315"/>
        <v>114.73801273825168</v>
      </c>
      <c r="Z192" s="191">
        <f t="shared" si="316"/>
        <v>1.3136683244726464</v>
      </c>
      <c r="AA192" s="153">
        <f t="shared" si="317"/>
        <v>1.5434745326702111</v>
      </c>
      <c r="AB192" s="153">
        <f t="shared" si="318"/>
        <v>0.14622213484608731</v>
      </c>
      <c r="AC192" s="153"/>
      <c r="AD192" s="153">
        <f t="shared" si="319"/>
        <v>0.96344647519582249</v>
      </c>
      <c r="AE192" s="317">
        <f t="shared" si="320"/>
        <v>2075.8807588075883</v>
      </c>
      <c r="AF192" s="463">
        <f t="shared" si="321"/>
        <v>6.9127284595300251E-2</v>
      </c>
      <c r="AH192" s="153">
        <f t="shared" si="322"/>
        <v>2.1766436956419342</v>
      </c>
      <c r="AI192" s="153">
        <f t="shared" si="323"/>
        <v>4.0072501047609839</v>
      </c>
      <c r="AJ192" s="153">
        <f t="shared" si="324"/>
        <v>3.5609260035266548</v>
      </c>
      <c r="AL192" s="317">
        <f t="shared" si="325"/>
        <v>410</v>
      </c>
      <c r="AM192" s="147">
        <f t="shared" si="326"/>
        <v>114.73801273825168</v>
      </c>
      <c r="AO192">
        <f t="shared" si="327"/>
        <v>410</v>
      </c>
      <c r="AP192">
        <f t="shared" si="328"/>
        <v>114.73801273825168</v>
      </c>
      <c r="AR192" s="5">
        <f t="shared" si="249"/>
        <v>8.7155074080049602</v>
      </c>
      <c r="AS192" s="5">
        <f t="shared" si="335"/>
        <v>4.0072501047609848</v>
      </c>
      <c r="AT192" s="5">
        <f t="shared" si="336"/>
        <v>4.7082573032439754</v>
      </c>
      <c r="AU192" s="153">
        <f t="shared" si="337"/>
        <v>0.45978391356542625</v>
      </c>
      <c r="AW192" s="5">
        <f t="shared" si="275"/>
        <v>10.953150286346691</v>
      </c>
      <c r="AX192" s="5"/>
      <c r="AY192" s="5">
        <f t="shared" si="276"/>
        <v>2.053715678690005</v>
      </c>
      <c r="AZ192" s="5"/>
      <c r="BA192" s="5">
        <f t="shared" si="277"/>
        <v>6.4410593738072386</v>
      </c>
      <c r="BB192" s="5"/>
      <c r="BC192" s="5"/>
      <c r="BD192" s="153">
        <f t="shared" si="278"/>
        <v>1.5687823980679332</v>
      </c>
      <c r="BE192" s="153">
        <f t="shared" si="279"/>
        <v>0.85023618114045185</v>
      </c>
      <c r="BF192" s="153">
        <f t="shared" si="280"/>
        <v>0.17026952019701597</v>
      </c>
      <c r="BG192" s="153"/>
      <c r="BH192" s="463">
        <f t="shared" si="281"/>
        <v>0.27071860337365528</v>
      </c>
      <c r="BI192" s="463">
        <f t="shared" si="282"/>
        <v>3.8299999999999994E-2</v>
      </c>
      <c r="BJ192" s="463">
        <f t="shared" si="283"/>
        <v>5.7369006369125839E-3</v>
      </c>
      <c r="BK192" s="463">
        <f t="shared" si="284"/>
        <v>7.1653900428839453E-3</v>
      </c>
      <c r="BL192">
        <f t="shared" si="285"/>
        <v>2.6099999999999999E-3</v>
      </c>
      <c r="BM192">
        <f t="shared" si="329"/>
        <v>4.5895205095300677E-6</v>
      </c>
      <c r="BN192">
        <f t="shared" si="330"/>
        <v>0.38006586616776866</v>
      </c>
      <c r="BO192" s="147">
        <f t="shared" si="286"/>
        <v>324.53089405345179</v>
      </c>
      <c r="BP192" s="153">
        <f t="shared" si="287"/>
        <v>0.16400000000000001</v>
      </c>
      <c r="BQ192" s="153">
        <f t="shared" si="288"/>
        <v>3.2800000000000003E-2</v>
      </c>
      <c r="BR192" s="463"/>
      <c r="BT192" s="147">
        <f t="shared" si="289"/>
        <v>196.8</v>
      </c>
      <c r="BU192" s="463">
        <f t="shared" si="290"/>
        <v>0.2091916480614609</v>
      </c>
      <c r="BV192" s="463">
        <f t="shared" si="291"/>
        <v>0.13735129710685687</v>
      </c>
      <c r="BW192" s="463">
        <f t="shared" si="292"/>
        <v>1.4495854754061014E-3</v>
      </c>
      <c r="BX192" s="463">
        <f t="shared" si="293"/>
        <v>0</v>
      </c>
      <c r="BY192" s="463">
        <f t="shared" si="274"/>
        <v>0.40091280731168039</v>
      </c>
      <c r="BZ192" s="463">
        <f t="shared" si="250"/>
        <v>0.34799253064372382</v>
      </c>
      <c r="CA192" s="549">
        <f t="shared" si="331"/>
        <v>0.92123456790123481</v>
      </c>
      <c r="CB192" s="147">
        <f t="shared" si="294"/>
        <v>2018.1324365003625</v>
      </c>
      <c r="CC192" s="153">
        <f t="shared" si="251"/>
        <v>1.8990132413806839</v>
      </c>
      <c r="CD192" s="5">
        <f t="shared" si="295"/>
        <v>7.4619999999999997</v>
      </c>
      <c r="CE192" s="153">
        <f t="shared" si="296"/>
        <v>0.7971359304368858</v>
      </c>
      <c r="CF192" s="5">
        <f t="shared" si="297"/>
        <v>79.713593043688576</v>
      </c>
      <c r="CG192">
        <f t="shared" si="298"/>
        <v>82</v>
      </c>
      <c r="CI192" s="59">
        <f t="shared" si="332"/>
        <v>-50</v>
      </c>
      <c r="CJ192">
        <f t="shared" si="333"/>
        <v>-50</v>
      </c>
    </row>
    <row r="193" spans="5:88" x14ac:dyDescent="0.25">
      <c r="E193" s="150">
        <v>83</v>
      </c>
      <c r="F193" s="191">
        <f t="shared" si="334"/>
        <v>0.41499999999999998</v>
      </c>
      <c r="G193" s="191">
        <f t="shared" si="299"/>
        <v>8.3000000000000004E-2</v>
      </c>
      <c r="H193" s="191">
        <f t="shared" si="300"/>
        <v>6.2249999999999996</v>
      </c>
      <c r="I193" s="191">
        <f t="shared" si="301"/>
        <v>1.3280000000000001</v>
      </c>
      <c r="J193" s="472">
        <f t="shared" si="302"/>
        <v>9</v>
      </c>
      <c r="K193" s="386">
        <f t="shared" si="303"/>
        <v>7.66</v>
      </c>
      <c r="L193" s="386">
        <f t="shared" si="304"/>
        <v>16.66</v>
      </c>
      <c r="M193" s="386"/>
      <c r="N193" s="191">
        <f t="shared" si="305"/>
        <v>0.45978391356542619</v>
      </c>
      <c r="O193" s="152">
        <f t="shared" si="306"/>
        <v>6.2923449599620076</v>
      </c>
      <c r="P193" s="152">
        <f t="shared" si="307"/>
        <v>1.6287385354141657</v>
      </c>
      <c r="Q193" s="191">
        <f t="shared" si="308"/>
        <v>0.41948966399746718</v>
      </c>
      <c r="R193" s="191">
        <f t="shared" si="309"/>
        <v>0.39327155999762548</v>
      </c>
      <c r="S193" s="191">
        <f t="shared" si="310"/>
        <v>15</v>
      </c>
      <c r="T193" s="191">
        <f t="shared" si="311"/>
        <v>4.0561190084775811</v>
      </c>
      <c r="U193" s="191">
        <f t="shared" si="312"/>
        <v>4.0561190084775811</v>
      </c>
      <c r="V193" s="191">
        <f t="shared" si="313"/>
        <v>4.7656750752347561</v>
      </c>
      <c r="W193" s="175">
        <f t="shared" si="314"/>
        <v>350</v>
      </c>
      <c r="X193" s="386">
        <f t="shared" si="315"/>
        <v>113.3556270426101</v>
      </c>
      <c r="Z193" s="191">
        <f t="shared" si="316"/>
        <v>1.3136683244726464</v>
      </c>
      <c r="AA193" s="153">
        <f t="shared" si="317"/>
        <v>1.5434745326702111</v>
      </c>
      <c r="AB193" s="153">
        <f t="shared" si="318"/>
        <v>0.14622213484608731</v>
      </c>
      <c r="AC193" s="153"/>
      <c r="AD193" s="153">
        <f t="shared" si="319"/>
        <v>0.96344647519582249</v>
      </c>
      <c r="AE193" s="317">
        <f t="shared" si="320"/>
        <v>2101.1963778174372</v>
      </c>
      <c r="AF193" s="463">
        <f t="shared" si="321"/>
        <v>6.9127284595300251E-2</v>
      </c>
      <c r="AH193" s="153">
        <f t="shared" si="322"/>
        <v>2.1898756940875788</v>
      </c>
      <c r="AI193" s="153">
        <f t="shared" si="323"/>
        <v>4.0561190084775811</v>
      </c>
      <c r="AJ193" s="153">
        <f t="shared" si="324"/>
        <v>3.5971251914648752</v>
      </c>
      <c r="AL193" s="317">
        <f t="shared" si="325"/>
        <v>415</v>
      </c>
      <c r="AM193" s="147">
        <f t="shared" si="326"/>
        <v>113.3556270426101</v>
      </c>
      <c r="AO193">
        <f t="shared" si="327"/>
        <v>415</v>
      </c>
      <c r="AP193">
        <f t="shared" si="328"/>
        <v>113.3556270426101</v>
      </c>
      <c r="AR193" s="5">
        <f t="shared" si="249"/>
        <v>8.821794083712339</v>
      </c>
      <c r="AS193" s="5">
        <f t="shared" si="335"/>
        <v>4.0561190084775811</v>
      </c>
      <c r="AT193" s="5">
        <f t="shared" si="336"/>
        <v>4.7656750752347579</v>
      </c>
      <c r="AU193" s="153">
        <f t="shared" si="337"/>
        <v>0.45978391356542608</v>
      </c>
      <c r="AW193" s="5">
        <f t="shared" si="275"/>
        <v>11.221929256787973</v>
      </c>
      <c r="AX193" s="5"/>
      <c r="AY193" s="5">
        <f t="shared" si="276"/>
        <v>2.1041117356477455</v>
      </c>
      <c r="AZ193" s="5"/>
      <c r="BA193" s="5">
        <f t="shared" si="277"/>
        <v>6.599116303711793</v>
      </c>
      <c r="BB193" s="5"/>
      <c r="BC193" s="5"/>
      <c r="BD193" s="153">
        <f t="shared" si="278"/>
        <v>1.5879138907272978</v>
      </c>
      <c r="BE193" s="153">
        <f t="shared" si="279"/>
        <v>0.86060491505679892</v>
      </c>
      <c r="BF193" s="153">
        <f t="shared" si="280"/>
        <v>0.17234597776039423</v>
      </c>
      <c r="BG193" s="153"/>
      <c r="BH193" s="463">
        <f t="shared" si="281"/>
        <v>0.27736175768011756</v>
      </c>
      <c r="BI193" s="463">
        <f t="shared" si="282"/>
        <v>3.8300000000000001E-2</v>
      </c>
      <c r="BJ193" s="463">
        <f t="shared" si="283"/>
        <v>5.6677813521305047E-3</v>
      </c>
      <c r="BK193" s="463">
        <f t="shared" si="284"/>
        <v>7.079060042367271E-3</v>
      </c>
      <c r="BL193">
        <f t="shared" si="285"/>
        <v>2.6099999999999999E-3</v>
      </c>
      <c r="BM193">
        <f t="shared" si="329"/>
        <v>4.534225081704404E-6</v>
      </c>
      <c r="BN193">
        <f t="shared" si="330"/>
        <v>0.38833956606921499</v>
      </c>
      <c r="BO193" s="147">
        <f t="shared" si="286"/>
        <v>331.01859907461534</v>
      </c>
      <c r="BP193" s="153">
        <f t="shared" si="287"/>
        <v>0.16600000000000001</v>
      </c>
      <c r="BQ193" s="153">
        <f t="shared" si="288"/>
        <v>3.32E-2</v>
      </c>
      <c r="BR193" s="463"/>
      <c r="BT193" s="147">
        <f t="shared" si="289"/>
        <v>199.20000000000002</v>
      </c>
      <c r="BU193" s="463">
        <f t="shared" si="290"/>
        <v>0.21432499457099993</v>
      </c>
      <c r="BV193" s="463">
        <f t="shared" si="291"/>
        <v>0.14072175576578483</v>
      </c>
      <c r="BW193" s="463">
        <f t="shared" si="292"/>
        <v>1.4851568025093154E-3</v>
      </c>
      <c r="BX193" s="463">
        <f t="shared" si="293"/>
        <v>0</v>
      </c>
      <c r="BY193" s="463">
        <f t="shared" si="274"/>
        <v>0.41103963561156398</v>
      </c>
      <c r="BZ193" s="463">
        <f t="shared" si="250"/>
        <v>0.35653190713929411</v>
      </c>
      <c r="CA193" s="549">
        <f t="shared" si="331"/>
        <v>0.93246913580246937</v>
      </c>
      <c r="CB193" s="147">
        <f t="shared" ref="CB193:CB210" si="338">SUM(BU193:CA193)*1000</f>
        <v>2056.5725856926215</v>
      </c>
      <c r="CC193" s="153">
        <f t="shared" si="251"/>
        <v>1.9310483374832483</v>
      </c>
      <c r="CD193" s="5">
        <f t="shared" ref="CD193:CD210" si="339">MIN(H193+I193,O193+P193)</f>
        <v>7.5529999999999999</v>
      </c>
      <c r="CE193" s="153">
        <f t="shared" ref="CE193:CE210" si="340">CD193/(CD193+CC193)</f>
        <v>0.79638986762105812</v>
      </c>
      <c r="CF193" s="5">
        <f t="shared" ref="CF193:CF210" si="341">CE193*100</f>
        <v>79.638986762105816</v>
      </c>
      <c r="CG193">
        <f t="shared" ref="CG193:CG210" si="342">F193/Iout*100</f>
        <v>83</v>
      </c>
      <c r="CI193" s="59">
        <f t="shared" si="332"/>
        <v>-50</v>
      </c>
      <c r="CJ193">
        <f t="shared" si="333"/>
        <v>-50</v>
      </c>
    </row>
    <row r="194" spans="5:88" x14ac:dyDescent="0.25">
      <c r="E194" s="150">
        <v>84</v>
      </c>
      <c r="F194" s="191">
        <f t="shared" si="334"/>
        <v>0.42</v>
      </c>
      <c r="G194" s="191">
        <f t="shared" si="299"/>
        <v>8.4000000000000005E-2</v>
      </c>
      <c r="H194" s="191">
        <f t="shared" si="300"/>
        <v>6.3</v>
      </c>
      <c r="I194" s="191">
        <f t="shared" si="301"/>
        <v>1.3440000000000001</v>
      </c>
      <c r="J194" s="472">
        <f t="shared" si="302"/>
        <v>9</v>
      </c>
      <c r="K194" s="386">
        <f t="shared" si="303"/>
        <v>7.6508868570976283</v>
      </c>
      <c r="L194" s="386">
        <f t="shared" si="304"/>
        <v>16.66</v>
      </c>
      <c r="M194" s="386"/>
      <c r="N194" s="191">
        <f t="shared" si="305"/>
        <v>0.45978391356542619</v>
      </c>
      <c r="O194" s="152">
        <f t="shared" si="306"/>
        <v>6.2923449599620076</v>
      </c>
      <c r="P194" s="152">
        <f t="shared" si="307"/>
        <v>1.6287385354141657</v>
      </c>
      <c r="Q194" s="191">
        <f t="shared" si="308"/>
        <v>0.41948966399746718</v>
      </c>
      <c r="R194" s="191">
        <f t="shared" si="309"/>
        <v>0.39327155999762548</v>
      </c>
      <c r="S194" s="191">
        <f t="shared" si="310"/>
        <v>14.981773714195256</v>
      </c>
      <c r="T194" s="191">
        <f t="shared" si="311"/>
        <v>4.0999999999999996</v>
      </c>
      <c r="U194" s="191">
        <f t="shared" si="312"/>
        <v>4.0999999999999996</v>
      </c>
      <c r="V194" s="191">
        <f t="shared" si="313"/>
        <v>4.8229702894858972</v>
      </c>
      <c r="W194" s="175">
        <f t="shared" si="314"/>
        <v>350</v>
      </c>
      <c r="X194" s="386">
        <f t="shared" si="315"/>
        <v>112.0703047928243</v>
      </c>
      <c r="Z194" s="191">
        <f t="shared" si="316"/>
        <v>1.3128235704302273</v>
      </c>
      <c r="AA194" s="153">
        <f t="shared" si="317"/>
        <v>1.5443192867126303</v>
      </c>
      <c r="AB194" s="153">
        <f t="shared" si="318"/>
        <v>0.14620808364420704</v>
      </c>
      <c r="AC194" s="153"/>
      <c r="AD194" s="153">
        <f t="shared" si="319"/>
        <v>0.96459405789717956</v>
      </c>
      <c r="AE194" s="317">
        <f t="shared" si="320"/>
        <v>2123.9820741496492</v>
      </c>
      <c r="AF194" s="463">
        <f t="shared" si="321"/>
        <v>6.9209623654122629E-2</v>
      </c>
      <c r="AH194" s="153">
        <f t="shared" si="322"/>
        <v>2.203028218914441</v>
      </c>
      <c r="AI194" s="153">
        <f t="shared" si="323"/>
        <v>4.0999999999999996</v>
      </c>
      <c r="AJ194" s="153">
        <f t="shared" si="324"/>
        <v>3.6296296296296298</v>
      </c>
      <c r="AL194" s="317">
        <f t="shared" si="325"/>
        <v>420</v>
      </c>
      <c r="AM194" s="147">
        <f t="shared" si="326"/>
        <v>112.0703047928243</v>
      </c>
      <c r="AO194" t="str">
        <f t="shared" si="327"/>
        <v/>
      </c>
      <c r="AP194" t="str">
        <f t="shared" si="328"/>
        <v/>
      </c>
      <c r="AR194" s="5">
        <f t="shared" si="249"/>
        <v>8.922970289485896</v>
      </c>
      <c r="AS194" s="5">
        <f t="shared" si="335"/>
        <v>4.0999999999999996</v>
      </c>
      <c r="AT194" s="5">
        <f t="shared" si="336"/>
        <v>4.8229702894858963</v>
      </c>
      <c r="AU194" s="153">
        <f t="shared" si="337"/>
        <v>0.45948824965057955</v>
      </c>
      <c r="AW194" s="5">
        <f t="shared" si="275"/>
        <v>11.479999999999999</v>
      </c>
      <c r="AX194" s="5"/>
      <c r="AY194" s="5">
        <f t="shared" si="276"/>
        <v>2.1524999999999999</v>
      </c>
      <c r="AZ194" s="5"/>
      <c r="BA194" s="5">
        <f t="shared" si="277"/>
        <v>6.7589173226028567</v>
      </c>
      <c r="BB194" s="5"/>
      <c r="BC194" s="5"/>
      <c r="BD194" s="153">
        <f t="shared" si="278"/>
        <v>1.6045765252994575</v>
      </c>
      <c r="BE194" s="153">
        <f t="shared" si="279"/>
        <v>0.87015336403866939</v>
      </c>
      <c r="BF194" s="153">
        <f t="shared" si="280"/>
        <v>0.17425816388329954</v>
      </c>
      <c r="BG194" s="153"/>
      <c r="BH194" s="463">
        <f t="shared" si="281"/>
        <v>0.28321324080962884</v>
      </c>
      <c r="BI194" s="463">
        <f t="shared" si="282"/>
        <v>3.8275371195893283E-2</v>
      </c>
      <c r="BJ194" s="463">
        <f t="shared" si="283"/>
        <v>5.6035152396412147E-3</v>
      </c>
      <c r="BK194" s="463">
        <f t="shared" si="284"/>
        <v>6.9987916550149258E-3</v>
      </c>
      <c r="BL194">
        <f t="shared" si="285"/>
        <v>2.6099999999999999E-3</v>
      </c>
      <c r="BM194">
        <f t="shared" si="329"/>
        <v>4.4828121917129726E-6</v>
      </c>
      <c r="BN194">
        <f t="shared" si="330"/>
        <v>0.39561098804090677</v>
      </c>
      <c r="BO194" s="147">
        <f t="shared" si="286"/>
        <v>336.70091890017829</v>
      </c>
      <c r="BP194" s="153">
        <f t="shared" si="287"/>
        <v>0.16800000000000001</v>
      </c>
      <c r="BQ194" s="153">
        <f t="shared" si="288"/>
        <v>3.3600000000000005E-2</v>
      </c>
      <c r="BR194" s="463"/>
      <c r="BT194" s="147">
        <f t="shared" si="289"/>
        <v>201.6</v>
      </c>
      <c r="BU194" s="463">
        <f t="shared" si="290"/>
        <v>0.21884659517107685</v>
      </c>
      <c r="BV194" s="463">
        <f t="shared" si="291"/>
        <v>0.14386170662008449</v>
      </c>
      <c r="BW194" s="463">
        <f t="shared" si="292"/>
        <v>1.518295383998944E-3</v>
      </c>
      <c r="BX194" s="463">
        <f t="shared" si="293"/>
        <v>0</v>
      </c>
      <c r="BY194" s="463">
        <f t="shared" si="274"/>
        <v>0.42017695874787109</v>
      </c>
      <c r="BZ194" s="463">
        <f t="shared" si="250"/>
        <v>0.36422659717516026</v>
      </c>
      <c r="CA194" s="549">
        <f t="shared" si="331"/>
        <v>0.94195091178368828</v>
      </c>
      <c r="CB194" s="147">
        <f t="shared" si="338"/>
        <v>2090.5810648818801</v>
      </c>
      <c r="CC194" s="153">
        <f t="shared" si="251"/>
        <v>1.9593388585724663</v>
      </c>
      <c r="CD194" s="5">
        <f t="shared" si="339"/>
        <v>7.6440000000000001</v>
      </c>
      <c r="CE194" s="153">
        <f t="shared" si="340"/>
        <v>0.79597316231078796</v>
      </c>
      <c r="CF194" s="5">
        <f t="shared" si="341"/>
        <v>79.597316231078793</v>
      </c>
      <c r="CG194">
        <f t="shared" si="342"/>
        <v>84</v>
      </c>
      <c r="CI194" s="59">
        <f t="shared" si="332"/>
        <v>112.0703047928243</v>
      </c>
      <c r="CJ194">
        <f t="shared" si="333"/>
        <v>6.3049698787423623</v>
      </c>
    </row>
    <row r="195" spans="5:88" x14ac:dyDescent="0.25">
      <c r="E195" s="150">
        <v>85</v>
      </c>
      <c r="F195" s="191">
        <f t="shared" si="334"/>
        <v>0.42499999999999999</v>
      </c>
      <c r="G195" s="191">
        <f t="shared" si="299"/>
        <v>8.5000000000000006E-2</v>
      </c>
      <c r="H195" s="191">
        <f t="shared" si="300"/>
        <v>6.375</v>
      </c>
      <c r="I195" s="191">
        <f t="shared" si="301"/>
        <v>1.36</v>
      </c>
      <c r="J195" s="472">
        <f t="shared" si="302"/>
        <v>9</v>
      </c>
      <c r="K195" s="386">
        <f t="shared" si="303"/>
        <v>7.5627587764258912</v>
      </c>
      <c r="L195" s="386">
        <f t="shared" si="304"/>
        <v>16.66</v>
      </c>
      <c r="M195" s="386"/>
      <c r="N195" s="191">
        <f t="shared" si="305"/>
        <v>0.45978391356542619</v>
      </c>
      <c r="O195" s="152">
        <f t="shared" si="306"/>
        <v>6.2923449599620076</v>
      </c>
      <c r="P195" s="152">
        <f t="shared" si="307"/>
        <v>1.6287385354141657</v>
      </c>
      <c r="Q195" s="191">
        <f t="shared" si="308"/>
        <v>0.41948966399746718</v>
      </c>
      <c r="R195" s="191">
        <f t="shared" si="309"/>
        <v>0.39327155999762548</v>
      </c>
      <c r="S195" s="191">
        <f t="shared" si="310"/>
        <v>14.805517552851782</v>
      </c>
      <c r="T195" s="191">
        <f t="shared" si="311"/>
        <v>4.0999999999999996</v>
      </c>
      <c r="U195" s="191">
        <f t="shared" si="312"/>
        <v>4.0999999999999996</v>
      </c>
      <c r="V195" s="191">
        <f t="shared" si="313"/>
        <v>4.8791718856645439</v>
      </c>
      <c r="W195" s="175">
        <f t="shared" si="314"/>
        <v>350</v>
      </c>
      <c r="X195" s="386">
        <f t="shared" si="315"/>
        <v>111.36884478139051</v>
      </c>
      <c r="Z195" s="191">
        <f t="shared" si="316"/>
        <v>1.3046064674391458</v>
      </c>
      <c r="AA195" s="153">
        <f t="shared" si="317"/>
        <v>1.5525363897037114</v>
      </c>
      <c r="AB195" s="153">
        <f t="shared" si="318"/>
        <v>0.14606603473140028</v>
      </c>
      <c r="AC195" s="153"/>
      <c r="AD195" s="153">
        <f t="shared" si="319"/>
        <v>0.97583437713290888</v>
      </c>
      <c r="AE195" s="317">
        <f t="shared" si="320"/>
        <v>2124.5108599253117</v>
      </c>
      <c r="AF195" s="463">
        <f t="shared" si="321"/>
        <v>7.0016116559286204E-2</v>
      </c>
      <c r="AH195" s="153">
        <f t="shared" si="322"/>
        <v>2.2161026851459549</v>
      </c>
      <c r="AI195" s="153">
        <f t="shared" si="323"/>
        <v>4.0999999999999996</v>
      </c>
      <c r="AJ195" s="153">
        <f t="shared" si="324"/>
        <v>3.6296296296296298</v>
      </c>
      <c r="AL195" s="317">
        <f t="shared" si="325"/>
        <v>425</v>
      </c>
      <c r="AM195" s="147">
        <f t="shared" si="326"/>
        <v>111.36884478139051</v>
      </c>
      <c r="AO195" t="str">
        <f t="shared" si="327"/>
        <v/>
      </c>
      <c r="AP195" t="str">
        <f t="shared" si="328"/>
        <v/>
      </c>
      <c r="AR195" s="5">
        <f t="shared" si="249"/>
        <v>8.9791718856645435</v>
      </c>
      <c r="AS195" s="5">
        <f t="shared" si="335"/>
        <v>4.0999999999999996</v>
      </c>
      <c r="AT195" s="5">
        <f t="shared" si="336"/>
        <v>4.8791718856645439</v>
      </c>
      <c r="AU195" s="153">
        <f t="shared" si="337"/>
        <v>0.456612263603701</v>
      </c>
      <c r="AW195" s="5">
        <f t="shared" si="275"/>
        <v>11.616666666666664</v>
      </c>
      <c r="AX195" s="5"/>
      <c r="AY195" s="5">
        <f t="shared" si="276"/>
        <v>2.1781250000000001</v>
      </c>
      <c r="AZ195" s="5"/>
      <c r="BA195" s="5">
        <f t="shared" si="277"/>
        <v>6.9190792506087107</v>
      </c>
      <c r="BB195" s="5"/>
      <c r="BC195" s="5"/>
      <c r="BD195" s="153">
        <f t="shared" si="278"/>
        <v>1.5995470349631498</v>
      </c>
      <c r="BE195" s="153">
        <f t="shared" si="279"/>
        <v>0.87246527384674855</v>
      </c>
      <c r="BF195" s="153">
        <f t="shared" si="280"/>
        <v>0.17472115026578022</v>
      </c>
      <c r="BG195" s="153"/>
      <c r="BH195" s="463">
        <f t="shared" si="281"/>
        <v>0.2814405788765344</v>
      </c>
      <c r="BI195" s="463">
        <f t="shared" si="282"/>
        <v>3.8035801558188295E-2</v>
      </c>
      <c r="BJ195" s="463">
        <f t="shared" si="283"/>
        <v>5.5684422390695244E-3</v>
      </c>
      <c r="BK195" s="463">
        <f t="shared" si="284"/>
        <v>6.9549854702862859E-3</v>
      </c>
      <c r="BL195">
        <f t="shared" si="285"/>
        <v>2.6099999999999999E-3</v>
      </c>
      <c r="BM195">
        <f t="shared" si="329"/>
        <v>4.45475379125562E-6</v>
      </c>
      <c r="BN195">
        <f t="shared" si="330"/>
        <v>0.39301642831273575</v>
      </c>
      <c r="BO195" s="147">
        <f t="shared" si="286"/>
        <v>334.60980814407856</v>
      </c>
      <c r="BP195" s="153">
        <f t="shared" si="287"/>
        <v>0.17</v>
      </c>
      <c r="BQ195" s="153">
        <f t="shared" si="288"/>
        <v>3.4000000000000002E-2</v>
      </c>
      <c r="BR195" s="463"/>
      <c r="BT195" s="147">
        <f t="shared" si="289"/>
        <v>204.00000000000003</v>
      </c>
      <c r="BU195" s="463">
        <f t="shared" si="290"/>
        <v>0.21747681095004934</v>
      </c>
      <c r="BV195" s="463">
        <f t="shared" si="291"/>
        <v>0.14462717427301156</v>
      </c>
      <c r="BW195" s="463">
        <f t="shared" si="292"/>
        <v>1.5263740175098677E-3</v>
      </c>
      <c r="BX195" s="463">
        <f t="shared" si="293"/>
        <v>0</v>
      </c>
      <c r="BY195" s="463">
        <f t="shared" si="274"/>
        <v>0.41946852148196717</v>
      </c>
      <c r="BZ195" s="463">
        <f t="shared" si="250"/>
        <v>0.36363035924057074</v>
      </c>
      <c r="CA195" s="549">
        <f t="shared" si="331"/>
        <v>0.93605514038758719</v>
      </c>
      <c r="CB195" s="147">
        <f t="shared" si="338"/>
        <v>2082.7843803506962</v>
      </c>
      <c r="CC195" s="153">
        <f t="shared" si="251"/>
        <v>1.9525400901822902</v>
      </c>
      <c r="CD195" s="5">
        <f t="shared" si="339"/>
        <v>7.7350000000000003</v>
      </c>
      <c r="CE195" s="153">
        <f t="shared" si="340"/>
        <v>0.79844830865153626</v>
      </c>
      <c r="CF195" s="5">
        <f t="shared" si="341"/>
        <v>79.844830865153625</v>
      </c>
      <c r="CG195">
        <f t="shared" si="342"/>
        <v>85</v>
      </c>
      <c r="CI195" s="59">
        <f t="shared" si="332"/>
        <v>-50</v>
      </c>
      <c r="CJ195">
        <f t="shared" si="333"/>
        <v>-50</v>
      </c>
    </row>
    <row r="196" spans="5:88" x14ac:dyDescent="0.25">
      <c r="E196" s="150">
        <v>86</v>
      </c>
      <c r="F196" s="191">
        <f t="shared" si="334"/>
        <v>0.43</v>
      </c>
      <c r="G196" s="191">
        <f t="shared" si="299"/>
        <v>8.6000000000000007E-2</v>
      </c>
      <c r="H196" s="191">
        <f t="shared" si="300"/>
        <v>6.45</v>
      </c>
      <c r="I196" s="191">
        <f t="shared" si="301"/>
        <v>1.3760000000000001</v>
      </c>
      <c r="J196" s="472">
        <f t="shared" si="302"/>
        <v>9</v>
      </c>
      <c r="K196" s="386">
        <f t="shared" si="303"/>
        <v>7.4766801860023344</v>
      </c>
      <c r="L196" s="386">
        <f t="shared" si="304"/>
        <v>16.66</v>
      </c>
      <c r="M196" s="386"/>
      <c r="N196" s="191">
        <f t="shared" si="305"/>
        <v>0.45978391356542619</v>
      </c>
      <c r="O196" s="152">
        <f t="shared" si="306"/>
        <v>6.2923449599620076</v>
      </c>
      <c r="P196" s="152">
        <f t="shared" si="307"/>
        <v>1.6287385354141657</v>
      </c>
      <c r="Q196" s="191">
        <f t="shared" si="308"/>
        <v>0.41948966399746718</v>
      </c>
      <c r="R196" s="191">
        <f t="shared" si="309"/>
        <v>0.39327155999762548</v>
      </c>
      <c r="S196" s="191">
        <f t="shared" si="310"/>
        <v>14.633360372004669</v>
      </c>
      <c r="T196" s="191">
        <f t="shared" si="311"/>
        <v>4.0999999999999996</v>
      </c>
      <c r="U196" s="191">
        <f t="shared" si="312"/>
        <v>4.0999999999999996</v>
      </c>
      <c r="V196" s="191">
        <f t="shared" si="313"/>
        <v>4.9353455119136038</v>
      </c>
      <c r="W196" s="175">
        <f t="shared" si="314"/>
        <v>350</v>
      </c>
      <c r="X196" s="386">
        <f t="shared" si="315"/>
        <v>110.67645378712352</v>
      </c>
      <c r="Z196" s="191">
        <f t="shared" si="316"/>
        <v>1.2964956015063041</v>
      </c>
      <c r="AA196" s="153">
        <f t="shared" si="317"/>
        <v>1.5606472556365532</v>
      </c>
      <c r="AB196" s="153">
        <f t="shared" si="318"/>
        <v>0.14591627181026509</v>
      </c>
      <c r="AC196" s="153"/>
      <c r="AD196" s="153">
        <f t="shared" si="319"/>
        <v>0.98706910238272105</v>
      </c>
      <c r="AE196" s="317">
        <f t="shared" si="320"/>
        <v>2125.0396457009742</v>
      </c>
      <c r="AF196" s="463">
        <f t="shared" si="321"/>
        <v>7.0822208095960223E-2</v>
      </c>
      <c r="AH196" s="153">
        <f t="shared" si="322"/>
        <v>2.2291004663067318</v>
      </c>
      <c r="AI196" s="153">
        <f t="shared" si="323"/>
        <v>4.0999999999999996</v>
      </c>
      <c r="AJ196" s="153">
        <f t="shared" si="324"/>
        <v>3.6296296296296298</v>
      </c>
      <c r="AL196" s="317">
        <f t="shared" si="325"/>
        <v>430</v>
      </c>
      <c r="AM196" s="147">
        <f t="shared" si="326"/>
        <v>110.67645378712352</v>
      </c>
      <c r="AO196" t="str">
        <f t="shared" si="327"/>
        <v/>
      </c>
      <c r="AP196" t="str">
        <f t="shared" si="328"/>
        <v/>
      </c>
      <c r="AR196" s="5">
        <f t="shared" si="249"/>
        <v>9.0353455119136061</v>
      </c>
      <c r="AS196" s="5">
        <f t="shared" si="335"/>
        <v>4.0999999999999996</v>
      </c>
      <c r="AT196" s="5">
        <f t="shared" si="336"/>
        <v>4.9353455119136065</v>
      </c>
      <c r="AU196" s="153">
        <f t="shared" si="337"/>
        <v>0.45377346052720635</v>
      </c>
      <c r="AW196" s="5">
        <f t="shared" si="275"/>
        <v>11.753333333333332</v>
      </c>
      <c r="AX196" s="5"/>
      <c r="AY196" s="5">
        <f t="shared" si="276"/>
        <v>2.2037499999999999</v>
      </c>
      <c r="AZ196" s="5"/>
      <c r="BA196" s="5">
        <f t="shared" si="277"/>
        <v>7.0810763100528886</v>
      </c>
      <c r="BB196" s="5"/>
      <c r="BC196" s="5"/>
      <c r="BD196" s="153">
        <f t="shared" si="278"/>
        <v>1.5945670124375808</v>
      </c>
      <c r="BE196" s="153">
        <f t="shared" si="279"/>
        <v>0.87474130121128091</v>
      </c>
      <c r="BF196" s="153">
        <f t="shared" si="280"/>
        <v>0.17517695077852058</v>
      </c>
      <c r="BG196" s="153"/>
      <c r="BH196" s="463">
        <f t="shared" si="281"/>
        <v>0.27969083528695232</v>
      </c>
      <c r="BI196" s="463">
        <f t="shared" si="282"/>
        <v>3.7799329261916294E-2</v>
      </c>
      <c r="BJ196" s="463">
        <f t="shared" si="283"/>
        <v>5.5338226893561753E-3</v>
      </c>
      <c r="BK196" s="463">
        <f t="shared" si="284"/>
        <v>6.9117456457704028E-3</v>
      </c>
      <c r="BL196">
        <f t="shared" si="285"/>
        <v>2.6099999999999999E-3</v>
      </c>
      <c r="BM196">
        <f t="shared" si="329"/>
        <v>4.4270581514849406E-6</v>
      </c>
      <c r="BN196">
        <f t="shared" si="330"/>
        <v>0.39045716797951124</v>
      </c>
      <c r="BO196" s="147">
        <f t="shared" si="286"/>
        <v>332.54573288399519</v>
      </c>
      <c r="BP196" s="153">
        <f t="shared" si="287"/>
        <v>0.17200000000000001</v>
      </c>
      <c r="BQ196" s="153">
        <f t="shared" si="288"/>
        <v>3.4400000000000007E-2</v>
      </c>
      <c r="BR196" s="463"/>
      <c r="BT196" s="147">
        <f t="shared" si="289"/>
        <v>206.40000000000003</v>
      </c>
      <c r="BU196" s="463">
        <f t="shared" si="290"/>
        <v>0.21612473635809953</v>
      </c>
      <c r="BV196" s="463">
        <f t="shared" si="291"/>
        <v>0.14538274536851292</v>
      </c>
      <c r="BW196" s="463">
        <f t="shared" si="292"/>
        <v>1.5343482042030111E-3</v>
      </c>
      <c r="BX196" s="463">
        <f t="shared" si="293"/>
        <v>0</v>
      </c>
      <c r="BY196" s="463">
        <f t="shared" si="274"/>
        <v>0.41876931170163578</v>
      </c>
      <c r="BZ196" s="463">
        <f t="shared" si="250"/>
        <v>0.36304182993081546</v>
      </c>
      <c r="CA196" s="549">
        <f t="shared" si="331"/>
        <v>0.93023559408077316</v>
      </c>
      <c r="CB196" s="147">
        <f t="shared" si="338"/>
        <v>2075.08856564404</v>
      </c>
      <c r="CC196" s="153">
        <f t="shared" si="251"/>
        <v>1.9458620737619201</v>
      </c>
      <c r="CD196" s="5">
        <f t="shared" si="339"/>
        <v>7.8260000000000005</v>
      </c>
      <c r="CE196" s="153">
        <f t="shared" si="340"/>
        <v>0.80087090269246797</v>
      </c>
      <c r="CF196" s="5">
        <f t="shared" si="341"/>
        <v>80.087090269246801</v>
      </c>
      <c r="CG196">
        <f t="shared" si="342"/>
        <v>86</v>
      </c>
      <c r="CI196" s="59">
        <f t="shared" si="332"/>
        <v>-50</v>
      </c>
      <c r="CJ196">
        <f t="shared" si="333"/>
        <v>-50</v>
      </c>
    </row>
    <row r="197" spans="5:88" x14ac:dyDescent="0.25">
      <c r="E197" s="150">
        <v>87</v>
      </c>
      <c r="F197" s="191">
        <f t="shared" si="334"/>
        <v>0.435</v>
      </c>
      <c r="G197" s="191">
        <f t="shared" si="299"/>
        <v>8.7000000000000008E-2</v>
      </c>
      <c r="H197" s="191">
        <f t="shared" si="300"/>
        <v>6.5250000000000004</v>
      </c>
      <c r="I197" s="191">
        <f t="shared" si="301"/>
        <v>1.3920000000000001</v>
      </c>
      <c r="J197" s="472">
        <f t="shared" si="302"/>
        <v>9</v>
      </c>
      <c r="K197" s="386">
        <f t="shared" si="303"/>
        <v>7.3925804137494344</v>
      </c>
      <c r="L197" s="386">
        <f t="shared" si="304"/>
        <v>16.66</v>
      </c>
      <c r="M197" s="386"/>
      <c r="N197" s="191">
        <f t="shared" si="305"/>
        <v>0.45978391356542619</v>
      </c>
      <c r="O197" s="152">
        <f t="shared" si="306"/>
        <v>6.2923449599620076</v>
      </c>
      <c r="P197" s="152">
        <f t="shared" si="307"/>
        <v>1.6287385354141657</v>
      </c>
      <c r="Q197" s="191">
        <f t="shared" si="308"/>
        <v>0.41948966399746718</v>
      </c>
      <c r="R197" s="191">
        <f t="shared" si="309"/>
        <v>0.39327155999762548</v>
      </c>
      <c r="S197" s="191">
        <f t="shared" si="310"/>
        <v>14.465160827498869</v>
      </c>
      <c r="T197" s="191">
        <f t="shared" si="311"/>
        <v>4.0999999999999996</v>
      </c>
      <c r="U197" s="191">
        <f t="shared" si="312"/>
        <v>4.0999999999999996</v>
      </c>
      <c r="V197" s="191">
        <f t="shared" si="313"/>
        <v>4.991491189107637</v>
      </c>
      <c r="W197" s="175">
        <f t="shared" si="314"/>
        <v>350</v>
      </c>
      <c r="X197" s="386">
        <f t="shared" si="315"/>
        <v>109.99295706276251</v>
      </c>
      <c r="Z197" s="191">
        <f t="shared" si="316"/>
        <v>1.2884889255923608</v>
      </c>
      <c r="AA197" s="153">
        <f t="shared" si="317"/>
        <v>1.5686539315504966</v>
      </c>
      <c r="AB197" s="153">
        <f t="shared" si="318"/>
        <v>0.14575912636224028</v>
      </c>
      <c r="AC197" s="153"/>
      <c r="AD197" s="153">
        <f t="shared" si="319"/>
        <v>0.9982982378215276</v>
      </c>
      <c r="AE197" s="317">
        <f t="shared" si="320"/>
        <v>2125.5684314766372</v>
      </c>
      <c r="AF197" s="463">
        <f t="shared" si="321"/>
        <v>7.16278985636946E-2</v>
      </c>
      <c r="AH197" s="153">
        <f t="shared" si="322"/>
        <v>2.2420228961066986</v>
      </c>
      <c r="AI197" s="153">
        <f t="shared" si="323"/>
        <v>4.0999999999999996</v>
      </c>
      <c r="AJ197" s="153">
        <f t="shared" si="324"/>
        <v>3.6296296296296298</v>
      </c>
      <c r="AL197" s="317">
        <f t="shared" si="325"/>
        <v>435</v>
      </c>
      <c r="AM197" s="147">
        <f t="shared" si="326"/>
        <v>109.99295706276251</v>
      </c>
      <c r="AO197" t="str">
        <f t="shared" si="327"/>
        <v/>
      </c>
      <c r="AP197" t="str">
        <f t="shared" si="328"/>
        <v/>
      </c>
      <c r="AR197" s="5">
        <f t="shared" si="249"/>
        <v>9.0914911891076358</v>
      </c>
      <c r="AS197" s="5">
        <f t="shared" si="335"/>
        <v>4.0999999999999996</v>
      </c>
      <c r="AT197" s="5">
        <f t="shared" si="336"/>
        <v>4.9914911891076361</v>
      </c>
      <c r="AU197" s="153">
        <f t="shared" si="337"/>
        <v>0.4509711239573263</v>
      </c>
      <c r="AW197" s="5">
        <f t="shared" si="275"/>
        <v>11.889999999999999</v>
      </c>
      <c r="AX197" s="5"/>
      <c r="AY197" s="5">
        <f t="shared" si="276"/>
        <v>2.2293750000000001</v>
      </c>
      <c r="AZ197" s="5"/>
      <c r="BA197" s="5">
        <f t="shared" si="277"/>
        <v>7.2449071313374098</v>
      </c>
      <c r="BB197" s="5"/>
      <c r="BC197" s="5"/>
      <c r="BD197" s="153">
        <f t="shared" si="278"/>
        <v>1.5896356599047734</v>
      </c>
      <c r="BE197" s="153">
        <f t="shared" si="279"/>
        <v>0.8769822977250521</v>
      </c>
      <c r="BF197" s="153">
        <f t="shared" si="280"/>
        <v>0.17562573596271633</v>
      </c>
      <c r="BG197" s="153"/>
      <c r="BH197" s="463">
        <f t="shared" si="281"/>
        <v>0.27796356843649728</v>
      </c>
      <c r="BI197" s="463">
        <f t="shared" si="282"/>
        <v>3.7565894625645281E-2</v>
      </c>
      <c r="BJ197" s="463">
        <f t="shared" si="283"/>
        <v>5.4996478531381251E-3</v>
      </c>
      <c r="BK197" s="463">
        <f t="shared" si="284"/>
        <v>6.8690612684990902E-3</v>
      </c>
      <c r="BL197">
        <f t="shared" si="285"/>
        <v>2.6099999999999999E-3</v>
      </c>
      <c r="BM197">
        <f t="shared" si="329"/>
        <v>4.3997182825105004E-6</v>
      </c>
      <c r="BN197">
        <f t="shared" si="330"/>
        <v>0.38793249152780362</v>
      </c>
      <c r="BO197" s="147">
        <f t="shared" si="286"/>
        <v>330.50817218377978</v>
      </c>
      <c r="BP197" s="153">
        <f t="shared" si="287"/>
        <v>0.17400000000000002</v>
      </c>
      <c r="BQ197" s="153">
        <f t="shared" si="288"/>
        <v>3.4800000000000005E-2</v>
      </c>
      <c r="BR197" s="463"/>
      <c r="BT197" s="147">
        <f t="shared" si="289"/>
        <v>208.8</v>
      </c>
      <c r="BU197" s="463">
        <f t="shared" si="290"/>
        <v>0.21479003015547521</v>
      </c>
      <c r="BV197" s="463">
        <f t="shared" si="291"/>
        <v>0.14612861059939128</v>
      </c>
      <c r="BW197" s="463">
        <f t="shared" si="292"/>
        <v>1.5422199566222875E-3</v>
      </c>
      <c r="BX197" s="463">
        <f t="shared" si="293"/>
        <v>0</v>
      </c>
      <c r="BY197" s="463">
        <f t="shared" si="274"/>
        <v>0.418079150289628</v>
      </c>
      <c r="BZ197" s="463">
        <f t="shared" si="250"/>
        <v>0.36246086071148875</v>
      </c>
      <c r="CA197" s="549">
        <f t="shared" si="331"/>
        <v>0.92449080411251894</v>
      </c>
      <c r="CB197" s="147">
        <f t="shared" si="338"/>
        <v>2067.4916758251243</v>
      </c>
      <c r="CC197" s="153">
        <f t="shared" si="251"/>
        <v>1.9393024459299508</v>
      </c>
      <c r="CD197" s="5">
        <f t="shared" si="339"/>
        <v>7.9170000000000007</v>
      </c>
      <c r="CE197" s="153">
        <f t="shared" si="340"/>
        <v>0.80324239677418141</v>
      </c>
      <c r="CF197" s="5">
        <f t="shared" si="341"/>
        <v>80.324239677418134</v>
      </c>
      <c r="CG197">
        <f t="shared" si="342"/>
        <v>87</v>
      </c>
      <c r="CI197" s="59">
        <f t="shared" si="332"/>
        <v>-50</v>
      </c>
      <c r="CJ197">
        <f t="shared" si="333"/>
        <v>-50</v>
      </c>
    </row>
    <row r="198" spans="5:88" x14ac:dyDescent="0.25">
      <c r="E198" s="150">
        <v>88</v>
      </c>
      <c r="F198" s="191">
        <f t="shared" si="334"/>
        <v>0.44</v>
      </c>
      <c r="G198" s="191">
        <f t="shared" si="299"/>
        <v>8.8000000000000009E-2</v>
      </c>
      <c r="H198" s="191">
        <f t="shared" si="300"/>
        <v>6.6</v>
      </c>
      <c r="I198" s="191">
        <f t="shared" si="301"/>
        <v>1.4080000000000001</v>
      </c>
      <c r="J198" s="472">
        <f t="shared" si="302"/>
        <v>9</v>
      </c>
      <c r="K198" s="386">
        <f t="shared" si="303"/>
        <v>7.3103919999568268</v>
      </c>
      <c r="L198" s="386">
        <f t="shared" si="304"/>
        <v>16.66</v>
      </c>
      <c r="M198" s="386"/>
      <c r="N198" s="191">
        <f t="shared" si="305"/>
        <v>0.45978391356542619</v>
      </c>
      <c r="O198" s="152">
        <f t="shared" si="306"/>
        <v>6.2923449599620076</v>
      </c>
      <c r="P198" s="152">
        <f t="shared" si="307"/>
        <v>1.6287385354141657</v>
      </c>
      <c r="Q198" s="191">
        <f t="shared" si="308"/>
        <v>0.41948966399746718</v>
      </c>
      <c r="R198" s="191">
        <f t="shared" si="309"/>
        <v>0.39327155999762548</v>
      </c>
      <c r="S198" s="191">
        <f t="shared" si="310"/>
        <v>14.300783999913653</v>
      </c>
      <c r="T198" s="191">
        <f t="shared" si="311"/>
        <v>4.0999999999999996</v>
      </c>
      <c r="U198" s="191">
        <f t="shared" si="312"/>
        <v>4.0999999999999996</v>
      </c>
      <c r="V198" s="191">
        <f t="shared" si="313"/>
        <v>5.047608938100435</v>
      </c>
      <c r="W198" s="175">
        <f t="shared" si="314"/>
        <v>350</v>
      </c>
      <c r="X198" s="386">
        <f t="shared" si="315"/>
        <v>109.31818432190839</v>
      </c>
      <c r="Z198" s="191">
        <f t="shared" si="316"/>
        <v>1.280584444913784</v>
      </c>
      <c r="AA198" s="153">
        <f t="shared" si="317"/>
        <v>1.5765584122290737</v>
      </c>
      <c r="AB198" s="153">
        <f t="shared" si="318"/>
        <v>0.14559491676912439</v>
      </c>
      <c r="AC198" s="153"/>
      <c r="AD198" s="153">
        <f t="shared" si="319"/>
        <v>1.0095217876200873</v>
      </c>
      <c r="AE198" s="317">
        <f t="shared" si="320"/>
        <v>2126.0972172522997</v>
      </c>
      <c r="AF198" s="463">
        <f t="shared" si="321"/>
        <v>7.2433188261741235E-2</v>
      </c>
      <c r="AH198" s="153">
        <f t="shared" si="322"/>
        <v>2.2548712700383682</v>
      </c>
      <c r="AI198" s="153">
        <f t="shared" si="323"/>
        <v>4.0999999999999996</v>
      </c>
      <c r="AJ198" s="153">
        <f t="shared" si="324"/>
        <v>3.6296296296296298</v>
      </c>
      <c r="AL198" s="317">
        <f t="shared" si="325"/>
        <v>440</v>
      </c>
      <c r="AM198" s="147">
        <f t="shared" si="326"/>
        <v>109.31818432190839</v>
      </c>
      <c r="AO198" t="str">
        <f t="shared" si="327"/>
        <v/>
      </c>
      <c r="AP198" t="str">
        <f t="shared" si="328"/>
        <v/>
      </c>
      <c r="AR198" s="5">
        <f t="shared" ref="AR198:AR262" si="343">1/AM198*1000</f>
        <v>9.1476089381004346</v>
      </c>
      <c r="AS198" s="5">
        <f t="shared" si="335"/>
        <v>4.0999999999999996</v>
      </c>
      <c r="AT198" s="5">
        <f t="shared" si="336"/>
        <v>5.047608938100435</v>
      </c>
      <c r="AU198" s="153">
        <f t="shared" si="337"/>
        <v>0.44820455571982437</v>
      </c>
      <c r="AW198" s="5">
        <f t="shared" si="275"/>
        <v>12.026666666666666</v>
      </c>
      <c r="AX198" s="5"/>
      <c r="AY198" s="5">
        <f t="shared" si="276"/>
        <v>2.2549999999999999</v>
      </c>
      <c r="AZ198" s="5"/>
      <c r="BA198" s="5">
        <f t="shared" si="277"/>
        <v>7.4105703462268639</v>
      </c>
      <c r="BB198" s="5"/>
      <c r="BC198" s="5"/>
      <c r="BD198" s="153">
        <f t="shared" si="278"/>
        <v>1.5847521974166021</v>
      </c>
      <c r="BE198" s="153">
        <f t="shared" si="279"/>
        <v>0.87918908747160063</v>
      </c>
      <c r="BF198" s="153">
        <f t="shared" si="280"/>
        <v>0.17606767085052186</v>
      </c>
      <c r="BG198" s="153"/>
      <c r="BH198" s="463">
        <f t="shared" si="281"/>
        <v>0.27625834799384241</v>
      </c>
      <c r="BI198" s="463">
        <f t="shared" si="282"/>
        <v>3.733543949146137E-2</v>
      </c>
      <c r="BJ198" s="463">
        <f t="shared" si="283"/>
        <v>5.465909216095419E-3</v>
      </c>
      <c r="BK198" s="463">
        <f t="shared" si="284"/>
        <v>6.8269217040850226E-3</v>
      </c>
      <c r="BL198">
        <f t="shared" si="285"/>
        <v>2.6099999999999999E-3</v>
      </c>
      <c r="BM198">
        <f t="shared" si="329"/>
        <v>4.3727273728763355E-6</v>
      </c>
      <c r="BN198">
        <f t="shared" si="330"/>
        <v>0.38544170265220118</v>
      </c>
      <c r="BO198" s="147">
        <f t="shared" si="286"/>
        <v>328.49661840548418</v>
      </c>
      <c r="BP198" s="153">
        <f t="shared" si="287"/>
        <v>0.17600000000000002</v>
      </c>
      <c r="BQ198" s="153">
        <f t="shared" si="288"/>
        <v>3.5200000000000002E-2</v>
      </c>
      <c r="BR198" s="463"/>
      <c r="BT198" s="147">
        <f t="shared" si="289"/>
        <v>211.20000000000002</v>
      </c>
      <c r="BU198" s="463">
        <f t="shared" si="290"/>
        <v>0.21347235981342369</v>
      </c>
      <c r="BV198" s="463">
        <f t="shared" si="291"/>
        <v>0.14686495579053771</v>
      </c>
      <c r="BW198" s="463">
        <f t="shared" si="292"/>
        <v>1.5499912359363854E-3</v>
      </c>
      <c r="BX198" s="463">
        <f t="shared" si="293"/>
        <v>0</v>
      </c>
      <c r="BY198" s="463">
        <f t="shared" si="274"/>
        <v>0.41739786273475021</v>
      </c>
      <c r="BZ198" s="463">
        <f t="shared" ref="BZ198:BZ210" si="344">SUM(BU198:BX198)</f>
        <v>0.36188730683989784</v>
      </c>
      <c r="CA198" s="549">
        <f t="shared" si="331"/>
        <v>0.91881933922564007</v>
      </c>
      <c r="CB198" s="147">
        <f t="shared" si="338"/>
        <v>2059.9918156401859</v>
      </c>
      <c r="CC198" s="153">
        <f t="shared" ref="CC198:CC210" si="345">SUM(BN198,BP198:BS198,BY198, CA198)</f>
        <v>1.9328589046125915</v>
      </c>
      <c r="CD198" s="5">
        <f t="shared" si="339"/>
        <v>7.9210834953761733</v>
      </c>
      <c r="CE198" s="153">
        <f t="shared" si="340"/>
        <v>0.80384917770426645</v>
      </c>
      <c r="CF198" s="5">
        <f t="shared" si="341"/>
        <v>80.38491777042664</v>
      </c>
      <c r="CG198">
        <f t="shared" si="342"/>
        <v>88</v>
      </c>
      <c r="CI198" s="59">
        <f t="shared" si="332"/>
        <v>-50</v>
      </c>
      <c r="CJ198">
        <f t="shared" si="333"/>
        <v>-50</v>
      </c>
    </row>
    <row r="199" spans="5:88" x14ac:dyDescent="0.25">
      <c r="E199" s="150">
        <v>89</v>
      </c>
      <c r="F199" s="191">
        <f t="shared" si="334"/>
        <v>0.44500000000000001</v>
      </c>
      <c r="G199" s="191">
        <f t="shared" si="299"/>
        <v>8.900000000000001E-2</v>
      </c>
      <c r="H199" s="191">
        <f t="shared" si="300"/>
        <v>6.6749999999999998</v>
      </c>
      <c r="I199" s="191">
        <f t="shared" si="301"/>
        <v>1.4240000000000002</v>
      </c>
      <c r="J199" s="472">
        <f t="shared" si="302"/>
        <v>9</v>
      </c>
      <c r="K199" s="386">
        <f t="shared" si="303"/>
        <v>7.2300505168112448</v>
      </c>
      <c r="L199" s="386">
        <f t="shared" si="304"/>
        <v>16.66</v>
      </c>
      <c r="M199" s="386"/>
      <c r="N199" s="191">
        <f t="shared" si="305"/>
        <v>0.45978391356542619</v>
      </c>
      <c r="O199" s="152">
        <f t="shared" si="306"/>
        <v>6.2923449599620076</v>
      </c>
      <c r="P199" s="152">
        <f t="shared" si="307"/>
        <v>1.6287385354141657</v>
      </c>
      <c r="Q199" s="191">
        <f t="shared" si="308"/>
        <v>0.41948966399746718</v>
      </c>
      <c r="R199" s="191">
        <f t="shared" si="309"/>
        <v>0.39327155999762548</v>
      </c>
      <c r="S199" s="191">
        <f t="shared" si="310"/>
        <v>14.140101033622489</v>
      </c>
      <c r="T199" s="191">
        <f t="shared" si="311"/>
        <v>4.0999999999999996</v>
      </c>
      <c r="U199" s="191">
        <f t="shared" si="312"/>
        <v>4.0999999999999996</v>
      </c>
      <c r="V199" s="191">
        <f t="shared" si="313"/>
        <v>5.1036987797250477</v>
      </c>
      <c r="W199" s="175">
        <f t="shared" si="314"/>
        <v>350</v>
      </c>
      <c r="X199" s="386">
        <f t="shared" si="315"/>
        <v>108.65196959758325</v>
      </c>
      <c r="Z199" s="191">
        <f t="shared" si="316"/>
        <v>1.2727802152859755</v>
      </c>
      <c r="AA199" s="153">
        <f t="shared" si="317"/>
        <v>1.5843626418568821</v>
      </c>
      <c r="AB199" s="153">
        <f t="shared" si="318"/>
        <v>0.14542394887454277</v>
      </c>
      <c r="AC199" s="153"/>
      <c r="AD199" s="153">
        <f t="shared" si="319"/>
        <v>1.0207397559450093</v>
      </c>
      <c r="AE199" s="317">
        <f t="shared" si="320"/>
        <v>2126.6260030279627</v>
      </c>
      <c r="AF199" s="463">
        <f t="shared" si="321"/>
        <v>7.3238077489054421E-2</v>
      </c>
      <c r="AH199" s="153">
        <f t="shared" si="322"/>
        <v>2.2676468468926601</v>
      </c>
      <c r="AI199" s="153">
        <f t="shared" si="323"/>
        <v>4.0999999999999996</v>
      </c>
      <c r="AJ199" s="153">
        <f t="shared" si="324"/>
        <v>3.6296296296296298</v>
      </c>
      <c r="AL199" s="317">
        <f t="shared" si="325"/>
        <v>445</v>
      </c>
      <c r="AM199" s="147">
        <f t="shared" si="326"/>
        <v>108.65196959758325</v>
      </c>
      <c r="AO199" t="str">
        <f t="shared" si="327"/>
        <v/>
      </c>
      <c r="AP199" t="str">
        <f t="shared" si="328"/>
        <v/>
      </c>
      <c r="AR199" s="5">
        <f t="shared" si="343"/>
        <v>9.2036987797250482</v>
      </c>
      <c r="AS199" s="5">
        <f t="shared" si="335"/>
        <v>4.0999999999999996</v>
      </c>
      <c r="AT199" s="5">
        <f t="shared" si="336"/>
        <v>5.1036987797250486</v>
      </c>
      <c r="AU199" s="153">
        <f t="shared" si="337"/>
        <v>0.44547307535009129</v>
      </c>
      <c r="AW199" s="5">
        <f t="shared" si="275"/>
        <v>12.163333333333332</v>
      </c>
      <c r="AX199" s="5"/>
      <c r="AY199" s="5">
        <f t="shared" si="276"/>
        <v>2.2806250000000001</v>
      </c>
      <c r="AZ199" s="5"/>
      <c r="BA199" s="5">
        <f t="shared" si="277"/>
        <v>7.5780645878466677</v>
      </c>
      <c r="BB199" s="5"/>
      <c r="BC199" s="5"/>
      <c r="BD199" s="153">
        <f t="shared" si="278"/>
        <v>1.5799158623837148</v>
      </c>
      <c r="BE199" s="153">
        <f t="shared" si="279"/>
        <v>0.88136246815961805</v>
      </c>
      <c r="BF199" s="153">
        <f t="shared" si="280"/>
        <v>0.17650291519222677</v>
      </c>
      <c r="BG199" s="153"/>
      <c r="BH199" s="463">
        <f t="shared" si="281"/>
        <v>0.2745747545432845</v>
      </c>
      <c r="BI199" s="463">
        <f t="shared" si="282"/>
        <v>3.7107907176662604E-2</v>
      </c>
      <c r="BJ199" s="463">
        <f t="shared" si="283"/>
        <v>5.4325984798791619E-3</v>
      </c>
      <c r="BK199" s="463">
        <f t="shared" si="284"/>
        <v>6.7853165878887702E-3</v>
      </c>
      <c r="BL199">
        <f t="shared" si="285"/>
        <v>2.6099999999999999E-3</v>
      </c>
      <c r="BM199">
        <f t="shared" si="329"/>
        <v>4.3460787839033297E-6</v>
      </c>
      <c r="BN199">
        <f t="shared" si="330"/>
        <v>0.38298412361505674</v>
      </c>
      <c r="BO199" s="147">
        <f t="shared" si="286"/>
        <v>326.51057678771508</v>
      </c>
      <c r="BP199" s="153">
        <f t="shared" si="287"/>
        <v>0.17800000000000002</v>
      </c>
      <c r="BQ199" s="153">
        <f t="shared" si="288"/>
        <v>3.5600000000000007E-2</v>
      </c>
      <c r="BR199" s="463"/>
      <c r="BT199" s="147">
        <f t="shared" si="289"/>
        <v>213.60000000000002</v>
      </c>
      <c r="BU199" s="463">
        <f t="shared" si="290"/>
        <v>0.21217140123799258</v>
      </c>
      <c r="BV199" s="463">
        <f t="shared" si="291"/>
        <v>0.14759196205327862</v>
      </c>
      <c r="BW199" s="463">
        <f t="shared" si="292"/>
        <v>1.5576639535677199E-3</v>
      </c>
      <c r="BX199" s="463">
        <f t="shared" si="293"/>
        <v>0</v>
      </c>
      <c r="BY199" s="463">
        <f t="shared" si="274"/>
        <v>0.4167252789847527</v>
      </c>
      <c r="BZ199" s="463">
        <f t="shared" si="344"/>
        <v>0.36132102724483894</v>
      </c>
      <c r="CA199" s="549">
        <f t="shared" si="331"/>
        <v>0.91321980446768714</v>
      </c>
      <c r="CB199" s="147">
        <f t="shared" si="338"/>
        <v>2052.5871379421183</v>
      </c>
      <c r="CC199" s="153">
        <f t="shared" si="345"/>
        <v>1.9265292070674966</v>
      </c>
      <c r="CD199" s="5">
        <f t="shared" si="339"/>
        <v>7.9210834953761733</v>
      </c>
      <c r="CE199" s="153">
        <f t="shared" si="340"/>
        <v>0.80436586355701922</v>
      </c>
      <c r="CF199" s="5">
        <f t="shared" si="341"/>
        <v>80.43658635570192</v>
      </c>
      <c r="CG199">
        <f t="shared" si="342"/>
        <v>89</v>
      </c>
      <c r="CI199" s="59">
        <f t="shared" si="332"/>
        <v>-50</v>
      </c>
      <c r="CJ199">
        <f t="shared" si="333"/>
        <v>-50</v>
      </c>
    </row>
    <row r="200" spans="5:88" x14ac:dyDescent="0.25">
      <c r="E200" s="150">
        <v>90</v>
      </c>
      <c r="F200" s="191">
        <f t="shared" si="334"/>
        <v>0.45</v>
      </c>
      <c r="G200" s="191">
        <f t="shared" si="299"/>
        <v>9.0000000000000011E-2</v>
      </c>
      <c r="H200" s="191">
        <f t="shared" si="300"/>
        <v>6.75</v>
      </c>
      <c r="I200" s="191">
        <f t="shared" si="301"/>
        <v>1.4400000000000002</v>
      </c>
      <c r="J200" s="472">
        <f t="shared" si="302"/>
        <v>9</v>
      </c>
      <c r="K200" s="386">
        <f t="shared" si="303"/>
        <v>7.1514943999577865</v>
      </c>
      <c r="L200" s="386">
        <f t="shared" si="304"/>
        <v>16.66</v>
      </c>
      <c r="M200" s="386"/>
      <c r="N200" s="191">
        <f t="shared" si="305"/>
        <v>0.45978391356542619</v>
      </c>
      <c r="O200" s="152">
        <f t="shared" si="306"/>
        <v>6.2923449599620076</v>
      </c>
      <c r="P200" s="152">
        <f t="shared" si="307"/>
        <v>1.6287385354141657</v>
      </c>
      <c r="Q200" s="191">
        <f t="shared" si="308"/>
        <v>0.41948966399746718</v>
      </c>
      <c r="R200" s="191">
        <f t="shared" si="309"/>
        <v>0.39327155999762548</v>
      </c>
      <c r="S200" s="191">
        <f t="shared" si="310"/>
        <v>13.982988799915573</v>
      </c>
      <c r="T200" s="191">
        <f t="shared" si="311"/>
        <v>4.0999999999999996</v>
      </c>
      <c r="U200" s="191">
        <f t="shared" si="312"/>
        <v>4.0999999999999996</v>
      </c>
      <c r="V200" s="191">
        <f t="shared" si="313"/>
        <v>5.1597607347938093</v>
      </c>
      <c r="W200" s="175">
        <f t="shared" si="314"/>
        <v>350</v>
      </c>
      <c r="X200" s="386">
        <f t="shared" si="315"/>
        <v>107.99415110613737</v>
      </c>
      <c r="Z200" s="191">
        <f t="shared" si="316"/>
        <v>1.2650743415290375</v>
      </c>
      <c r="AA200" s="153">
        <f t="shared" si="317"/>
        <v>1.5920685156138199</v>
      </c>
      <c r="AB200" s="153">
        <f t="shared" si="318"/>
        <v>0.14524651651869702</v>
      </c>
      <c r="AC200" s="153"/>
      <c r="AD200" s="153">
        <f t="shared" si="319"/>
        <v>1.0319521469587618</v>
      </c>
      <c r="AE200" s="317">
        <f t="shared" si="320"/>
        <v>2127.1547888036248</v>
      </c>
      <c r="AF200" s="463">
        <f t="shared" si="321"/>
        <v>7.4042566544291158E-2</v>
      </c>
      <c r="AH200" s="153">
        <f t="shared" si="322"/>
        <v>2.2803508501982761</v>
      </c>
      <c r="AI200" s="153">
        <f t="shared" si="323"/>
        <v>4.0999999999999996</v>
      </c>
      <c r="AJ200" s="153">
        <f t="shared" si="324"/>
        <v>3.6296296296296298</v>
      </c>
      <c r="AL200" s="317">
        <f t="shared" si="325"/>
        <v>450</v>
      </c>
      <c r="AM200" s="147">
        <f t="shared" si="326"/>
        <v>107.99415110613737</v>
      </c>
      <c r="AO200" t="str">
        <f t="shared" si="327"/>
        <v/>
      </c>
      <c r="AP200" t="str">
        <f t="shared" si="328"/>
        <v/>
      </c>
      <c r="AR200" s="5">
        <f t="shared" si="343"/>
        <v>9.259760734793808</v>
      </c>
      <c r="AS200" s="5">
        <f t="shared" si="335"/>
        <v>4.0999999999999996</v>
      </c>
      <c r="AT200" s="5">
        <f t="shared" si="336"/>
        <v>5.1597607347938084</v>
      </c>
      <c r="AU200" s="153">
        <f t="shared" si="337"/>
        <v>0.44277601953516316</v>
      </c>
      <c r="AW200" s="5">
        <f t="shared" si="275"/>
        <v>12.3</v>
      </c>
      <c r="AX200" s="5"/>
      <c r="AY200" s="5">
        <f t="shared" si="276"/>
        <v>2.3062500000000004</v>
      </c>
      <c r="AZ200" s="5"/>
      <c r="BA200" s="5">
        <f t="shared" si="277"/>
        <v>7.7473884906813941</v>
      </c>
      <c r="BB200" s="5"/>
      <c r="BC200" s="5"/>
      <c r="BD200" s="153">
        <f t="shared" si="278"/>
        <v>1.5751259090822012</v>
      </c>
      <c r="BE200" s="153">
        <f t="shared" si="279"/>
        <v>0.88350321220006067</v>
      </c>
      <c r="BF200" s="153">
        <f t="shared" si="280"/>
        <v>0.17693162367195986</v>
      </c>
      <c r="BG200" s="153"/>
      <c r="BH200" s="463">
        <f t="shared" si="281"/>
        <v>0.2729123792408234</v>
      </c>
      <c r="BI200" s="463">
        <f t="shared" si="282"/>
        <v>3.6883242427279091E-2</v>
      </c>
      <c r="BJ200" s="463">
        <f t="shared" si="283"/>
        <v>5.3997075553068683E-3</v>
      </c>
      <c r="BK200" s="463">
        <f t="shared" si="284"/>
        <v>6.7442358165197905E-3</v>
      </c>
      <c r="BL200">
        <f t="shared" si="285"/>
        <v>2.6099999999999999E-3</v>
      </c>
      <c r="BM200">
        <f t="shared" si="329"/>
        <v>4.3197660442454945E-6</v>
      </c>
      <c r="BN200">
        <f t="shared" si="330"/>
        <v>0.38055909463167353</v>
      </c>
      <c r="BO200" s="147">
        <f t="shared" si="286"/>
        <v>324.54956503992918</v>
      </c>
      <c r="BP200" s="153">
        <f t="shared" si="287"/>
        <v>0.18000000000000002</v>
      </c>
      <c r="BQ200" s="153">
        <f t="shared" si="288"/>
        <v>3.6000000000000004E-2</v>
      </c>
      <c r="BR200" s="463"/>
      <c r="BT200" s="147">
        <f t="shared" si="289"/>
        <v>216.00000000000003</v>
      </c>
      <c r="BU200" s="463">
        <f t="shared" si="290"/>
        <v>0.21088683850427262</v>
      </c>
      <c r="BV200" s="463">
        <f t="shared" si="291"/>
        <v>0.14830980593388685</v>
      </c>
      <c r="BW200" s="463">
        <f t="shared" si="292"/>
        <v>1.5652399727598015E-3</v>
      </c>
      <c r="BX200" s="463">
        <f t="shared" si="293"/>
        <v>0</v>
      </c>
      <c r="BY200" s="463">
        <f t="shared" si="274"/>
        <v>0.41606123330481987</v>
      </c>
      <c r="BZ200" s="463">
        <f t="shared" si="344"/>
        <v>0.36076188441091928</v>
      </c>
      <c r="CA200" s="549">
        <f t="shared" si="331"/>
        <v>0.90769084004708456</v>
      </c>
      <c r="CB200" s="147">
        <f t="shared" si="338"/>
        <v>2045.2758421737428</v>
      </c>
      <c r="CC200" s="153">
        <f t="shared" si="345"/>
        <v>1.920311167983578</v>
      </c>
      <c r="CD200" s="5">
        <f t="shared" si="339"/>
        <v>7.9210834953761733</v>
      </c>
      <c r="CE200" s="153">
        <f t="shared" si="340"/>
        <v>0.80487408201064836</v>
      </c>
      <c r="CF200" s="5">
        <f t="shared" si="341"/>
        <v>80.487408201064838</v>
      </c>
      <c r="CG200">
        <f t="shared" si="342"/>
        <v>90</v>
      </c>
      <c r="CI200" s="59">
        <f t="shared" si="332"/>
        <v>-50</v>
      </c>
      <c r="CJ200">
        <f t="shared" si="333"/>
        <v>-50</v>
      </c>
    </row>
    <row r="201" spans="5:88" x14ac:dyDescent="0.25">
      <c r="E201" s="150">
        <v>91</v>
      </c>
      <c r="F201" s="191">
        <f t="shared" si="334"/>
        <v>0.45500000000000002</v>
      </c>
      <c r="G201" s="191">
        <f t="shared" si="299"/>
        <v>9.1000000000000011E-2</v>
      </c>
      <c r="H201" s="191">
        <f t="shared" si="300"/>
        <v>6.8250000000000002</v>
      </c>
      <c r="I201" s="191">
        <f t="shared" si="301"/>
        <v>1.4560000000000002</v>
      </c>
      <c r="J201" s="472">
        <f t="shared" si="302"/>
        <v>9</v>
      </c>
      <c r="K201" s="386">
        <f t="shared" si="303"/>
        <v>7.0746647911670415</v>
      </c>
      <c r="L201" s="386">
        <f t="shared" si="304"/>
        <v>16.66</v>
      </c>
      <c r="M201" s="386"/>
      <c r="N201" s="191">
        <f t="shared" si="305"/>
        <v>0.45978391356542619</v>
      </c>
      <c r="O201" s="152">
        <f t="shared" si="306"/>
        <v>6.2923449599620076</v>
      </c>
      <c r="P201" s="152">
        <f t="shared" si="307"/>
        <v>1.6287385354141657</v>
      </c>
      <c r="Q201" s="191">
        <f t="shared" si="308"/>
        <v>0.41948966399746718</v>
      </c>
      <c r="R201" s="191">
        <f t="shared" si="309"/>
        <v>0.39327155999762548</v>
      </c>
      <c r="S201" s="191">
        <f t="shared" si="310"/>
        <v>13.829329582334083</v>
      </c>
      <c r="T201" s="191">
        <f t="shared" si="311"/>
        <v>4.0999999999999996</v>
      </c>
      <c r="U201" s="191">
        <f t="shared" si="312"/>
        <v>4.0999999999999996</v>
      </c>
      <c r="V201" s="191">
        <f t="shared" si="313"/>
        <v>5.2157948240983654</v>
      </c>
      <c r="W201" s="175">
        <f t="shared" si="314"/>
        <v>350</v>
      </c>
      <c r="X201" s="386">
        <f t="shared" si="315"/>
        <v>107.34457111626926</v>
      </c>
      <c r="Z201" s="191">
        <f t="shared" si="316"/>
        <v>1.2574649759334398</v>
      </c>
      <c r="AA201" s="153">
        <f t="shared" si="317"/>
        <v>1.5996778812094172</v>
      </c>
      <c r="AB201" s="153">
        <f t="shared" si="318"/>
        <v>0.14506290204780692</v>
      </c>
      <c r="AC201" s="153"/>
      <c r="AD201" s="153">
        <f t="shared" si="319"/>
        <v>1.0431589648196731</v>
      </c>
      <c r="AE201" s="317">
        <f t="shared" si="320"/>
        <v>2127.6835745792878</v>
      </c>
      <c r="AF201" s="463">
        <f t="shared" si="321"/>
        <v>7.4846655725811534E-2</v>
      </c>
      <c r="AH201" s="153">
        <f t="shared" si="322"/>
        <v>2.292984469589312</v>
      </c>
      <c r="AI201" s="153">
        <f t="shared" si="323"/>
        <v>4.0999999999999996</v>
      </c>
      <c r="AJ201" s="153">
        <f t="shared" si="324"/>
        <v>3.6296296296296298</v>
      </c>
      <c r="AL201" s="317">
        <f t="shared" si="325"/>
        <v>455</v>
      </c>
      <c r="AM201" s="147">
        <f t="shared" si="326"/>
        <v>107.34457111626926</v>
      </c>
      <c r="AO201" t="str">
        <f t="shared" si="327"/>
        <v/>
      </c>
      <c r="AP201" t="str">
        <f t="shared" si="328"/>
        <v/>
      </c>
      <c r="AR201" s="5">
        <f t="shared" si="343"/>
        <v>9.315794824098365</v>
      </c>
      <c r="AS201" s="5">
        <f t="shared" si="335"/>
        <v>4.0999999999999996</v>
      </c>
      <c r="AT201" s="5">
        <f t="shared" si="336"/>
        <v>5.2157948240983654</v>
      </c>
      <c r="AU201" s="153">
        <f t="shared" si="337"/>
        <v>0.44011274157670394</v>
      </c>
      <c r="AW201" s="5">
        <f t="shared" si="275"/>
        <v>12.436666666666667</v>
      </c>
      <c r="AX201" s="5"/>
      <c r="AY201" s="5">
        <f t="shared" si="276"/>
        <v>2.3318749999999997</v>
      </c>
      <c r="AZ201" s="5"/>
      <c r="BA201" s="5">
        <f t="shared" si="277"/>
        <v>7.9185406905730922</v>
      </c>
      <c r="BB201" s="5"/>
      <c r="BC201" s="5"/>
      <c r="BD201" s="153">
        <f t="shared" si="278"/>
        <v>1.5703816081772812</v>
      </c>
      <c r="BE201" s="153">
        <f t="shared" si="279"/>
        <v>0.88561206772941348</v>
      </c>
      <c r="BF201" s="153">
        <f t="shared" si="280"/>
        <v>0.17735394611260935</v>
      </c>
      <c r="BG201" s="153"/>
      <c r="BH201" s="463">
        <f t="shared" si="281"/>
        <v>0.27127082348316106</v>
      </c>
      <c r="BI201" s="463">
        <f t="shared" si="282"/>
        <v>3.6661391373339437E-2</v>
      </c>
      <c r="BJ201" s="463">
        <f t="shared" si="283"/>
        <v>5.3672285558134629E-3</v>
      </c>
      <c r="BK201" s="463">
        <f t="shared" si="284"/>
        <v>6.7036695396567271E-3</v>
      </c>
      <c r="BL201">
        <f t="shared" si="285"/>
        <v>2.6099999999999999E-3</v>
      </c>
      <c r="BM201">
        <f t="shared" si="329"/>
        <v>4.2937828446507706E-6</v>
      </c>
      <c r="BN201">
        <f t="shared" si="330"/>
        <v>0.37816597327975815</v>
      </c>
      <c r="BO201" s="147">
        <f t="shared" si="286"/>
        <v>322.61311295197072</v>
      </c>
      <c r="BP201" s="153">
        <f t="shared" si="287"/>
        <v>0.18200000000000002</v>
      </c>
      <c r="BQ201" s="153">
        <f t="shared" si="288"/>
        <v>3.6400000000000009E-2</v>
      </c>
      <c r="BR201" s="463"/>
      <c r="BT201" s="147">
        <f t="shared" si="289"/>
        <v>218.40000000000003</v>
      </c>
      <c r="BU201" s="463">
        <f t="shared" si="290"/>
        <v>0.20961836360062447</v>
      </c>
      <c r="BV201" s="463">
        <f t="shared" si="291"/>
        <v>0.14901865955651378</v>
      </c>
      <c r="BW201" s="463">
        <f t="shared" si="292"/>
        <v>1.5727211100857172E-3</v>
      </c>
      <c r="BX201" s="463">
        <f t="shared" si="293"/>
        <v>0</v>
      </c>
      <c r="BY201" s="463">
        <f t="shared" si="274"/>
        <v>0.41540556414141583</v>
      </c>
      <c r="BZ201" s="463">
        <f t="shared" si="344"/>
        <v>0.36020974426722396</v>
      </c>
      <c r="CA201" s="549">
        <f t="shared" si="331"/>
        <v>0.90223112023224317</v>
      </c>
      <c r="CB201" s="147">
        <f t="shared" si="338"/>
        <v>2038.0561729081071</v>
      </c>
      <c r="CC201" s="153">
        <f t="shared" si="345"/>
        <v>1.914202657653417</v>
      </c>
      <c r="CD201" s="5">
        <f t="shared" si="339"/>
        <v>7.9210834953761733</v>
      </c>
      <c r="CE201" s="153">
        <f t="shared" si="340"/>
        <v>0.80537397408983569</v>
      </c>
      <c r="CF201" s="5">
        <f t="shared" si="341"/>
        <v>80.537397408983566</v>
      </c>
      <c r="CG201">
        <f t="shared" si="342"/>
        <v>91</v>
      </c>
      <c r="CI201" s="59">
        <f t="shared" si="332"/>
        <v>-50</v>
      </c>
      <c r="CJ201">
        <f t="shared" si="333"/>
        <v>-50</v>
      </c>
    </row>
    <row r="202" spans="5:88" x14ac:dyDescent="0.25">
      <c r="E202" s="150">
        <v>92</v>
      </c>
      <c r="F202" s="191">
        <f t="shared" si="334"/>
        <v>0.46</v>
      </c>
      <c r="G202" s="191">
        <f t="shared" si="299"/>
        <v>9.2000000000000012E-2</v>
      </c>
      <c r="H202" s="191">
        <f t="shared" si="300"/>
        <v>6.9</v>
      </c>
      <c r="I202" s="191">
        <f t="shared" si="301"/>
        <v>1.4720000000000002</v>
      </c>
      <c r="J202" s="472">
        <f t="shared" si="302"/>
        <v>9</v>
      </c>
      <c r="K202" s="386">
        <f t="shared" si="303"/>
        <v>6.9995053912630514</v>
      </c>
      <c r="L202" s="386">
        <f t="shared" si="304"/>
        <v>16.66</v>
      </c>
      <c r="M202" s="386"/>
      <c r="N202" s="191">
        <f t="shared" si="305"/>
        <v>0.45978391356542619</v>
      </c>
      <c r="O202" s="152">
        <f t="shared" si="306"/>
        <v>6.2923449599620076</v>
      </c>
      <c r="P202" s="152">
        <f t="shared" si="307"/>
        <v>1.6287385354141657</v>
      </c>
      <c r="Q202" s="191">
        <f t="shared" si="308"/>
        <v>0.41948966399746718</v>
      </c>
      <c r="R202" s="191">
        <f t="shared" si="309"/>
        <v>0.39327155999762548</v>
      </c>
      <c r="S202" s="191">
        <f t="shared" si="310"/>
        <v>13.679010782526102</v>
      </c>
      <c r="T202" s="191">
        <f t="shared" si="311"/>
        <v>4.0999999999999996</v>
      </c>
      <c r="U202" s="191">
        <f t="shared" si="312"/>
        <v>4.0999999999999996</v>
      </c>
      <c r="V202" s="191">
        <f t="shared" si="313"/>
        <v>5.2718010684096983</v>
      </c>
      <c r="W202" s="175">
        <f t="shared" si="314"/>
        <v>350</v>
      </c>
      <c r="X202" s="386">
        <f t="shared" si="315"/>
        <v>106.70307582293678</v>
      </c>
      <c r="Z202" s="191">
        <f t="shared" si="316"/>
        <v>1.2499503167829737</v>
      </c>
      <c r="AA202" s="153">
        <f t="shared" si="317"/>
        <v>1.6071925403598835</v>
      </c>
      <c r="AB202" s="153">
        <f t="shared" si="318"/>
        <v>0.1448733767995723</v>
      </c>
      <c r="AC202" s="153"/>
      <c r="AD202" s="153">
        <f t="shared" si="319"/>
        <v>1.0543602136819397</v>
      </c>
      <c r="AE202" s="317">
        <f t="shared" si="320"/>
        <v>2128.2123603549503</v>
      </c>
      <c r="AF202" s="463">
        <f t="shared" si="321"/>
        <v>7.5650345331679164E-2</v>
      </c>
      <c r="AH202" s="153">
        <f t="shared" si="322"/>
        <v>2.305548862105411</v>
      </c>
      <c r="AI202" s="153">
        <f t="shared" si="323"/>
        <v>4.0999999999999996</v>
      </c>
      <c r="AJ202" s="153">
        <f t="shared" si="324"/>
        <v>3.6296296296296298</v>
      </c>
      <c r="AL202" s="317">
        <f t="shared" si="325"/>
        <v>460</v>
      </c>
      <c r="AM202" s="147">
        <f t="shared" si="326"/>
        <v>106.70307582293678</v>
      </c>
      <c r="AO202" t="str">
        <f t="shared" si="327"/>
        <v/>
      </c>
      <c r="AP202" t="str">
        <f t="shared" si="328"/>
        <v/>
      </c>
      <c r="AR202" s="5">
        <f t="shared" si="343"/>
        <v>9.3718010684096988</v>
      </c>
      <c r="AS202" s="5">
        <f t="shared" si="335"/>
        <v>4.0999999999999996</v>
      </c>
      <c r="AT202" s="5">
        <f t="shared" si="336"/>
        <v>5.2718010684096992</v>
      </c>
      <c r="AU202" s="153">
        <f t="shared" si="337"/>
        <v>0.43748261087404078</v>
      </c>
      <c r="AW202" s="5">
        <f t="shared" si="275"/>
        <v>12.573333333333332</v>
      </c>
      <c r="AX202" s="5"/>
      <c r="AY202" s="5">
        <f t="shared" si="276"/>
        <v>2.3575000000000004</v>
      </c>
      <c r="AZ202" s="5"/>
      <c r="BA202" s="5">
        <f t="shared" si="277"/>
        <v>8.0915198247195921</v>
      </c>
      <c r="BB202" s="5"/>
      <c r="BC202" s="5"/>
      <c r="BD202" s="153">
        <f t="shared" si="278"/>
        <v>1.5656822462633366</v>
      </c>
      <c r="BE202" s="153">
        <f t="shared" si="279"/>
        <v>0.88768975958229968</v>
      </c>
      <c r="BF202" s="153">
        <f t="shared" si="280"/>
        <v>0.1777700276705991</v>
      </c>
      <c r="BG202" s="153"/>
      <c r="BH202" s="463">
        <f t="shared" si="281"/>
        <v>0.26964969858906285</v>
      </c>
      <c r="BI202" s="463">
        <f t="shared" si="282"/>
        <v>3.6442301485807599E-2</v>
      </c>
      <c r="BJ202" s="463">
        <f t="shared" si="283"/>
        <v>5.3351537911468395E-3</v>
      </c>
      <c r="BK202" s="463">
        <f t="shared" si="284"/>
        <v>6.6636081521731609E-3</v>
      </c>
      <c r="BL202">
        <f t="shared" si="285"/>
        <v>2.6099999999999999E-3</v>
      </c>
      <c r="BM202">
        <f t="shared" si="329"/>
        <v>4.2681230329174717E-6</v>
      </c>
      <c r="BN202">
        <f t="shared" si="330"/>
        <v>0.37580413393203521</v>
      </c>
      <c r="BO202" s="147">
        <f t="shared" si="286"/>
        <v>320.70076201819046</v>
      </c>
      <c r="BP202" s="153">
        <f t="shared" si="287"/>
        <v>0.18400000000000002</v>
      </c>
      <c r="BQ202" s="153">
        <f t="shared" si="288"/>
        <v>3.6800000000000006E-2</v>
      </c>
      <c r="BR202" s="463"/>
      <c r="BT202" s="147">
        <f t="shared" si="289"/>
        <v>220.8</v>
      </c>
      <c r="BU202" s="463">
        <f t="shared" si="290"/>
        <v>0.20836567618245766</v>
      </c>
      <c r="BV202" s="463">
        <f t="shared" si="291"/>
        <v>0.14971869076078337</v>
      </c>
      <c r="BW202" s="463">
        <f t="shared" si="292"/>
        <v>1.5801091369002788E-3</v>
      </c>
      <c r="BX202" s="463">
        <f t="shared" si="293"/>
        <v>0</v>
      </c>
      <c r="BY202" s="463">
        <f t="shared" si="274"/>
        <v>0.4147581139912504</v>
      </c>
      <c r="BZ202" s="463">
        <f t="shared" si="344"/>
        <v>0.35966447608014129</v>
      </c>
      <c r="CA202" s="549">
        <f t="shared" si="331"/>
        <v>0.89683935229178358</v>
      </c>
      <c r="CB202" s="147">
        <f t="shared" si="338"/>
        <v>2030.9264184433164</v>
      </c>
      <c r="CC202" s="153">
        <f t="shared" si="345"/>
        <v>1.9082016002150692</v>
      </c>
      <c r="CD202" s="5">
        <f t="shared" si="339"/>
        <v>7.9210834953761733</v>
      </c>
      <c r="CE202" s="153">
        <f t="shared" si="340"/>
        <v>0.80586567775199036</v>
      </c>
      <c r="CF202" s="5">
        <f t="shared" si="341"/>
        <v>80.586567775199029</v>
      </c>
      <c r="CG202">
        <f t="shared" si="342"/>
        <v>92</v>
      </c>
      <c r="CI202" s="59">
        <f t="shared" si="332"/>
        <v>-50</v>
      </c>
      <c r="CJ202">
        <f t="shared" si="333"/>
        <v>-50</v>
      </c>
    </row>
    <row r="203" spans="5:88" x14ac:dyDescent="0.25">
      <c r="E203" s="150">
        <v>93</v>
      </c>
      <c r="F203" s="191">
        <f t="shared" si="334"/>
        <v>0.46500000000000002</v>
      </c>
      <c r="G203" s="191">
        <f t="shared" si="299"/>
        <v>9.3000000000000013E-2</v>
      </c>
      <c r="H203" s="191">
        <f t="shared" si="300"/>
        <v>6.9750000000000005</v>
      </c>
      <c r="I203" s="191">
        <f t="shared" si="301"/>
        <v>1.4880000000000002</v>
      </c>
      <c r="J203" s="472">
        <f t="shared" si="302"/>
        <v>9</v>
      </c>
      <c r="K203" s="386">
        <f t="shared" si="303"/>
        <v>6.9259623225397933</v>
      </c>
      <c r="L203" s="386">
        <f t="shared" si="304"/>
        <v>16.66</v>
      </c>
      <c r="M203" s="386"/>
      <c r="N203" s="191">
        <f t="shared" si="305"/>
        <v>0.45978391356542619</v>
      </c>
      <c r="O203" s="152">
        <f t="shared" si="306"/>
        <v>6.2923449599620076</v>
      </c>
      <c r="P203" s="152">
        <f t="shared" si="307"/>
        <v>1.6287385354141657</v>
      </c>
      <c r="Q203" s="191">
        <f t="shared" si="308"/>
        <v>0.41948966399746718</v>
      </c>
      <c r="R203" s="191">
        <f t="shared" si="309"/>
        <v>0.39327155999762548</v>
      </c>
      <c r="S203" s="191">
        <f t="shared" si="310"/>
        <v>13.531924645079586</v>
      </c>
      <c r="T203" s="191">
        <f t="shared" si="311"/>
        <v>4.0999999999999996</v>
      </c>
      <c r="U203" s="191">
        <f t="shared" si="312"/>
        <v>4.0999999999999996</v>
      </c>
      <c r="V203" s="191">
        <f t="shared" si="313"/>
        <v>5.3277794884781491</v>
      </c>
      <c r="W203" s="175">
        <f t="shared" si="314"/>
        <v>350</v>
      </c>
      <c r="X203" s="386">
        <f t="shared" si="315"/>
        <v>106.06951522594662</v>
      </c>
      <c r="Z203" s="191">
        <f t="shared" si="316"/>
        <v>1.2425286069325172</v>
      </c>
      <c r="AA203" s="153">
        <f t="shared" si="317"/>
        <v>1.6146142502103402</v>
      </c>
      <c r="AB203" s="153">
        <f t="shared" si="318"/>
        <v>0.14467820156590711</v>
      </c>
      <c r="AC203" s="153"/>
      <c r="AD203" s="153">
        <f t="shared" si="319"/>
        <v>1.0655558976956301</v>
      </c>
      <c r="AE203" s="317">
        <f t="shared" si="320"/>
        <v>2128.7411461306128</v>
      </c>
      <c r="AF203" s="463">
        <f t="shared" si="321"/>
        <v>7.6453635659661442E-2</v>
      </c>
      <c r="AH203" s="153">
        <f t="shared" si="322"/>
        <v>2.3180451534284949</v>
      </c>
      <c r="AI203" s="153">
        <f t="shared" si="323"/>
        <v>4.0999999999999996</v>
      </c>
      <c r="AJ203" s="153">
        <f t="shared" si="324"/>
        <v>3.6296296296296298</v>
      </c>
      <c r="AL203" s="317">
        <f t="shared" si="325"/>
        <v>465</v>
      </c>
      <c r="AM203" s="147">
        <f t="shared" si="326"/>
        <v>106.06951522594662</v>
      </c>
      <c r="AO203" t="str">
        <f t="shared" si="327"/>
        <v/>
      </c>
      <c r="AP203" t="str">
        <f t="shared" si="328"/>
        <v/>
      </c>
      <c r="AR203" s="5">
        <f t="shared" si="343"/>
        <v>9.4277794884781478</v>
      </c>
      <c r="AS203" s="5">
        <f t="shared" si="335"/>
        <v>4.0999999999999996</v>
      </c>
      <c r="AT203" s="5">
        <f t="shared" si="336"/>
        <v>5.3277794884781482</v>
      </c>
      <c r="AU203" s="153">
        <f t="shared" si="337"/>
        <v>0.43488501242638106</v>
      </c>
      <c r="AW203" s="5">
        <f t="shared" si="275"/>
        <v>12.709999999999999</v>
      </c>
      <c r="AX203" s="5"/>
      <c r="AY203" s="5">
        <f t="shared" si="276"/>
        <v>2.3831250000000002</v>
      </c>
      <c r="AZ203" s="5"/>
      <c r="BA203" s="5">
        <f t="shared" si="277"/>
        <v>8.2663245316728027</v>
      </c>
      <c r="BB203" s="5"/>
      <c r="BC203" s="5"/>
      <c r="BD203" s="153">
        <f t="shared" si="278"/>
        <v>1.5610271254196135</v>
      </c>
      <c r="BE203" s="153">
        <f t="shared" si="279"/>
        <v>0.88973699021642216</v>
      </c>
      <c r="BF203" s="153">
        <f t="shared" si="280"/>
        <v>0.1781800090211188</v>
      </c>
      <c r="BG203" s="153"/>
      <c r="BH203" s="463">
        <f t="shared" si="281"/>
        <v>0.26804862549254038</v>
      </c>
      <c r="BI203" s="463">
        <f t="shared" si="282"/>
        <v>3.6225921535117549E-2</v>
      </c>
      <c r="BJ203" s="463">
        <f t="shared" si="283"/>
        <v>5.3034757612973301E-3</v>
      </c>
      <c r="BK203" s="463">
        <f t="shared" si="284"/>
        <v>6.624042286555519E-3</v>
      </c>
      <c r="BL203">
        <f t="shared" si="285"/>
        <v>2.6099999999999999E-3</v>
      </c>
      <c r="BM203">
        <f t="shared" si="329"/>
        <v>4.2427806090378646E-6</v>
      </c>
      <c r="BN203">
        <f t="shared" si="330"/>
        <v>0.37347296721096412</v>
      </c>
      <c r="BO203" s="147">
        <f t="shared" si="286"/>
        <v>318.81206507551076</v>
      </c>
      <c r="BP203" s="153">
        <f t="shared" si="287"/>
        <v>0.18600000000000003</v>
      </c>
      <c r="BQ203" s="153">
        <f t="shared" si="288"/>
        <v>3.7200000000000004E-2</v>
      </c>
      <c r="BR203" s="463"/>
      <c r="BT203" s="147">
        <f t="shared" si="289"/>
        <v>223.20000000000005</v>
      </c>
      <c r="BU203" s="463">
        <f t="shared" si="290"/>
        <v>0.20712848333514486</v>
      </c>
      <c r="BV203" s="463">
        <f t="shared" si="291"/>
        <v>0.15041006323428177</v>
      </c>
      <c r="BW203" s="463">
        <f t="shared" si="292"/>
        <v>1.5874057807382987E-3</v>
      </c>
      <c r="BX203" s="463">
        <f t="shared" si="293"/>
        <v>0</v>
      </c>
      <c r="BY203" s="463">
        <f t="shared" si="274"/>
        <v>0.41411872927514282</v>
      </c>
      <c r="BZ203" s="463">
        <f t="shared" si="344"/>
        <v>0.35912595235016492</v>
      </c>
      <c r="CA203" s="549">
        <f t="shared" si="331"/>
        <v>0.89151427547408135</v>
      </c>
      <c r="CB203" s="147">
        <f t="shared" si="338"/>
        <v>2023.884909449554</v>
      </c>
      <c r="CC203" s="153">
        <f t="shared" si="345"/>
        <v>1.9023059719601885</v>
      </c>
      <c r="CD203" s="5">
        <f t="shared" si="339"/>
        <v>7.9210834953761733</v>
      </c>
      <c r="CE203" s="153">
        <f t="shared" si="340"/>
        <v>0.80634932797019554</v>
      </c>
      <c r="CF203" s="5">
        <f t="shared" si="341"/>
        <v>80.634932797019559</v>
      </c>
      <c r="CG203">
        <f t="shared" si="342"/>
        <v>93</v>
      </c>
      <c r="CI203" s="59">
        <f t="shared" si="332"/>
        <v>-50</v>
      </c>
      <c r="CJ203">
        <f t="shared" si="333"/>
        <v>-50</v>
      </c>
    </row>
    <row r="204" spans="5:88" x14ac:dyDescent="0.25">
      <c r="E204" s="150">
        <v>94</v>
      </c>
      <c r="F204" s="191">
        <f t="shared" si="334"/>
        <v>0.47</v>
      </c>
      <c r="G204" s="191">
        <f t="shared" si="299"/>
        <v>9.4E-2</v>
      </c>
      <c r="H204" s="191">
        <f t="shared" si="300"/>
        <v>7.05</v>
      </c>
      <c r="I204" s="191">
        <f t="shared" si="301"/>
        <v>1.504</v>
      </c>
      <c r="J204" s="472">
        <f t="shared" si="302"/>
        <v>9</v>
      </c>
      <c r="K204" s="386">
        <f t="shared" si="303"/>
        <v>6.8539839999595831</v>
      </c>
      <c r="L204" s="386">
        <f t="shared" si="304"/>
        <v>16.66</v>
      </c>
      <c r="M204" s="386"/>
      <c r="N204" s="191">
        <f t="shared" si="305"/>
        <v>0.45978391356542619</v>
      </c>
      <c r="O204" s="152">
        <f t="shared" si="306"/>
        <v>6.2923449599620076</v>
      </c>
      <c r="P204" s="152">
        <f t="shared" si="307"/>
        <v>1.6287385354141657</v>
      </c>
      <c r="Q204" s="191">
        <f t="shared" si="308"/>
        <v>0.41948966399746718</v>
      </c>
      <c r="R204" s="191">
        <f t="shared" si="309"/>
        <v>0.39327155999762548</v>
      </c>
      <c r="S204" s="191">
        <f t="shared" si="310"/>
        <v>13.387967999919166</v>
      </c>
      <c r="T204" s="191">
        <f t="shared" si="311"/>
        <v>4.0999999999999996</v>
      </c>
      <c r="U204" s="191">
        <f t="shared" si="312"/>
        <v>4.0999999999999996</v>
      </c>
      <c r="V204" s="191">
        <f t="shared" si="313"/>
        <v>5.3837301050334503</v>
      </c>
      <c r="W204" s="175">
        <f t="shared" si="314"/>
        <v>350</v>
      </c>
      <c r="X204" s="386">
        <f t="shared" si="315"/>
        <v>105.44374301302125</v>
      </c>
      <c r="Z204" s="191">
        <f t="shared" si="316"/>
        <v>1.2351981324382486</v>
      </c>
      <c r="AA204" s="153">
        <f t="shared" si="317"/>
        <v>1.6219447247046086</v>
      </c>
      <c r="AB204" s="153">
        <f t="shared" si="318"/>
        <v>0.14447762703412517</v>
      </c>
      <c r="AC204" s="153"/>
      <c r="AD204" s="153">
        <f t="shared" si="319"/>
        <v>1.0767460210066904</v>
      </c>
      <c r="AE204" s="317">
        <f t="shared" si="320"/>
        <v>2129.2699319062749</v>
      </c>
      <c r="AF204" s="463">
        <f t="shared" si="321"/>
        <v>7.7256527007230041E-2</v>
      </c>
      <c r="AH204" s="153">
        <f t="shared" si="322"/>
        <v>2.3304744390598047</v>
      </c>
      <c r="AI204" s="153">
        <f t="shared" si="323"/>
        <v>4.0999999999999996</v>
      </c>
      <c r="AJ204" s="153">
        <f t="shared" si="324"/>
        <v>3.6296296296296298</v>
      </c>
      <c r="AL204" s="317">
        <f t="shared" si="325"/>
        <v>470</v>
      </c>
      <c r="AM204" s="147">
        <f t="shared" si="326"/>
        <v>105.44374301302125</v>
      </c>
      <c r="AO204" t="str">
        <f t="shared" si="327"/>
        <v/>
      </c>
      <c r="AP204" t="str">
        <f t="shared" si="328"/>
        <v/>
      </c>
      <c r="AR204" s="5">
        <f t="shared" si="343"/>
        <v>9.4837301050334482</v>
      </c>
      <c r="AS204" s="5">
        <f t="shared" si="335"/>
        <v>4.0999999999999996</v>
      </c>
      <c r="AT204" s="5">
        <f t="shared" si="336"/>
        <v>5.3837301050334485</v>
      </c>
      <c r="AU204" s="153">
        <f t="shared" si="337"/>
        <v>0.43231934635338709</v>
      </c>
      <c r="AW204" s="5">
        <f t="shared" si="275"/>
        <v>12.846666666666666</v>
      </c>
      <c r="AX204" s="5"/>
      <c r="AY204" s="5">
        <f t="shared" si="276"/>
        <v>2.4087499999999999</v>
      </c>
      <c r="AZ204" s="5"/>
      <c r="BA204" s="5">
        <f t="shared" si="277"/>
        <v>8.4429534513370719</v>
      </c>
      <c r="BB204" s="5"/>
      <c r="BC204" s="5"/>
      <c r="BD204" s="153">
        <f t="shared" si="278"/>
        <v>1.5564155627809726</v>
      </c>
      <c r="BE204" s="153">
        <f t="shared" si="279"/>
        <v>0.89175444059260511</v>
      </c>
      <c r="BF204" s="153">
        <f t="shared" si="280"/>
        <v>0.17858402653436223</v>
      </c>
      <c r="BG204" s="153"/>
      <c r="BH204" s="463">
        <f t="shared" si="281"/>
        <v>0.26646723444734927</v>
      </c>
      <c r="BI204" s="463">
        <f t="shared" si="282"/>
        <v>3.6012201551237147E-2</v>
      </c>
      <c r="BJ204" s="463">
        <f t="shared" si="283"/>
        <v>5.2721871506510622E-3</v>
      </c>
      <c r="BK204" s="463">
        <f t="shared" si="284"/>
        <v>6.5849628056006077E-3</v>
      </c>
      <c r="BL204">
        <f t="shared" si="285"/>
        <v>2.6099999999999999E-3</v>
      </c>
      <c r="BM204">
        <f t="shared" si="329"/>
        <v>4.2177497205208501E-6</v>
      </c>
      <c r="BN204">
        <f t="shared" si="330"/>
        <v>0.37117187946456426</v>
      </c>
      <c r="BO204" s="147">
        <f t="shared" si="286"/>
        <v>316.9465859548381</v>
      </c>
      <c r="BP204" s="153">
        <f t="shared" si="287"/>
        <v>0.188</v>
      </c>
      <c r="BQ204" s="153">
        <f t="shared" si="288"/>
        <v>3.7600000000000001E-2</v>
      </c>
      <c r="BR204" s="463"/>
      <c r="BT204" s="147">
        <f t="shared" si="289"/>
        <v>225.6</v>
      </c>
      <c r="BU204" s="463">
        <f t="shared" si="290"/>
        <v>0.20590649934567901</v>
      </c>
      <c r="BV204" s="463">
        <f t="shared" si="291"/>
        <v>0.15109293664015971</v>
      </c>
      <c r="BW204" s="463">
        <f t="shared" si="292"/>
        <v>1.5946127266612898E-3</v>
      </c>
      <c r="BX204" s="463">
        <f t="shared" si="293"/>
        <v>0</v>
      </c>
      <c r="BY204" s="463">
        <f t="shared" si="274"/>
        <v>0.4134872602165679</v>
      </c>
      <c r="BZ204" s="463">
        <f t="shared" si="344"/>
        <v>0.3585940487125</v>
      </c>
      <c r="CA204" s="549">
        <f t="shared" si="331"/>
        <v>0.88625466002444353</v>
      </c>
      <c r="CB204" s="147">
        <f t="shared" si="338"/>
        <v>2016.9300176660117</v>
      </c>
      <c r="CC204" s="153">
        <f t="shared" si="345"/>
        <v>1.8965137997055757</v>
      </c>
      <c r="CD204" s="5">
        <f t="shared" si="339"/>
        <v>7.9210834953761733</v>
      </c>
      <c r="CE204" s="153">
        <f t="shared" si="340"/>
        <v>0.80682505681347738</v>
      </c>
      <c r="CF204" s="5">
        <f t="shared" si="341"/>
        <v>80.682505681347735</v>
      </c>
      <c r="CG204">
        <f t="shared" si="342"/>
        <v>94</v>
      </c>
      <c r="CI204" s="59">
        <f t="shared" si="332"/>
        <v>-50</v>
      </c>
      <c r="CJ204">
        <f t="shared" si="333"/>
        <v>-50</v>
      </c>
    </row>
    <row r="205" spans="5:88" x14ac:dyDescent="0.25">
      <c r="E205" s="150">
        <v>95</v>
      </c>
      <c r="F205" s="191">
        <f t="shared" si="334"/>
        <v>0.47499999999999998</v>
      </c>
      <c r="G205" s="191">
        <f t="shared" si="299"/>
        <v>9.5000000000000001E-2</v>
      </c>
      <c r="H205" s="191">
        <f t="shared" si="300"/>
        <v>7.125</v>
      </c>
      <c r="I205" s="191">
        <f t="shared" si="301"/>
        <v>1.52</v>
      </c>
      <c r="J205" s="472">
        <f t="shared" si="302"/>
        <v>9</v>
      </c>
      <c r="K205" s="386">
        <f t="shared" si="303"/>
        <v>6.7835210104863242</v>
      </c>
      <c r="L205" s="386">
        <f t="shared" si="304"/>
        <v>16.66</v>
      </c>
      <c r="M205" s="386"/>
      <c r="N205" s="191">
        <f t="shared" si="305"/>
        <v>0.45978391356542619</v>
      </c>
      <c r="O205" s="152">
        <f t="shared" si="306"/>
        <v>6.2923449599620076</v>
      </c>
      <c r="P205" s="152">
        <f t="shared" si="307"/>
        <v>1.6287385354141657</v>
      </c>
      <c r="Q205" s="191">
        <f t="shared" si="308"/>
        <v>0.41948966399746718</v>
      </c>
      <c r="R205" s="191">
        <f t="shared" si="309"/>
        <v>0.39327155999762548</v>
      </c>
      <c r="S205" s="191">
        <f t="shared" si="310"/>
        <v>13.247042020972648</v>
      </c>
      <c r="T205" s="191">
        <f t="shared" si="311"/>
        <v>4.0999999999999996</v>
      </c>
      <c r="U205" s="191">
        <f t="shared" si="312"/>
        <v>4.0999999999999996</v>
      </c>
      <c r="V205" s="191">
        <f t="shared" si="313"/>
        <v>5.4396529387847448</v>
      </c>
      <c r="W205" s="175">
        <f t="shared" si="314"/>
        <v>350</v>
      </c>
      <c r="X205" s="386">
        <f t="shared" si="315"/>
        <v>104.82561644715243</v>
      </c>
      <c r="Z205" s="191">
        <f t="shared" si="316"/>
        <v>1.2279572212380712</v>
      </c>
      <c r="AA205" s="153">
        <f t="shared" si="317"/>
        <v>1.6291856359047865</v>
      </c>
      <c r="AB205" s="153">
        <f t="shared" si="318"/>
        <v>0.14427189420768907</v>
      </c>
      <c r="AC205" s="153"/>
      <c r="AD205" s="153">
        <f t="shared" si="319"/>
        <v>1.087930587756949</v>
      </c>
      <c r="AE205" s="317">
        <f t="shared" si="320"/>
        <v>2129.7987176819383</v>
      </c>
      <c r="AF205" s="463">
        <f t="shared" si="321"/>
        <v>7.8059019671561078E-2</v>
      </c>
      <c r="AH205" s="153">
        <f t="shared" si="322"/>
        <v>2.3428377854407438</v>
      </c>
      <c r="AI205" s="153">
        <f t="shared" si="323"/>
        <v>4.0999999999999996</v>
      </c>
      <c r="AJ205" s="153">
        <f t="shared" si="324"/>
        <v>3.6296296296296298</v>
      </c>
      <c r="AL205" s="317">
        <f t="shared" si="325"/>
        <v>475</v>
      </c>
      <c r="AM205" s="147">
        <f t="shared" si="326"/>
        <v>104.82561644715243</v>
      </c>
      <c r="AO205" t="str">
        <f t="shared" si="327"/>
        <v/>
      </c>
      <c r="AP205" t="str">
        <f t="shared" si="328"/>
        <v/>
      </c>
      <c r="AR205" s="5">
        <f t="shared" si="343"/>
        <v>9.5396529387847444</v>
      </c>
      <c r="AS205" s="5">
        <f t="shared" si="335"/>
        <v>4.0999999999999996</v>
      </c>
      <c r="AT205" s="5">
        <f t="shared" si="336"/>
        <v>5.4396529387847448</v>
      </c>
      <c r="AU205" s="153">
        <f t="shared" si="337"/>
        <v>0.42978502743332486</v>
      </c>
      <c r="AW205" s="5">
        <f t="shared" si="275"/>
        <v>12.983333333333331</v>
      </c>
      <c r="AX205" s="5"/>
      <c r="AY205" s="5">
        <f t="shared" si="276"/>
        <v>2.4343749999999997</v>
      </c>
      <c r="AZ205" s="5"/>
      <c r="BA205" s="5">
        <f t="shared" si="277"/>
        <v>8.6214052249674786</v>
      </c>
      <c r="BB205" s="5"/>
      <c r="BC205" s="5"/>
      <c r="BD205" s="153">
        <f t="shared" si="278"/>
        <v>1.551846890123098</v>
      </c>
      <c r="BE205" s="153">
        <f t="shared" si="279"/>
        <v>0.8937427710125273</v>
      </c>
      <c r="BF205" s="153">
        <f t="shared" si="280"/>
        <v>0.17898221244329304</v>
      </c>
      <c r="BG205" s="153"/>
      <c r="BH205" s="463">
        <f t="shared" si="281"/>
        <v>0.26490516474232034</v>
      </c>
      <c r="BI205" s="463">
        <f t="shared" si="282"/>
        <v>3.5801092785195963E-2</v>
      </c>
      <c r="BJ205" s="463">
        <f t="shared" si="283"/>
        <v>5.2412808223576213E-3</v>
      </c>
      <c r="BK205" s="463">
        <f t="shared" si="284"/>
        <v>6.5463607953808334E-3</v>
      </c>
      <c r="BL205">
        <f t="shared" si="285"/>
        <v>2.6099999999999999E-3</v>
      </c>
      <c r="BM205">
        <f t="shared" si="329"/>
        <v>4.1930246578860976E-6</v>
      </c>
      <c r="BN205">
        <f t="shared" si="330"/>
        <v>0.36890029226240162</v>
      </c>
      <c r="BO205" s="147">
        <f t="shared" si="286"/>
        <v>315.10389914525479</v>
      </c>
      <c r="BP205" s="153">
        <f t="shared" si="287"/>
        <v>0.19</v>
      </c>
      <c r="BQ205" s="153">
        <f t="shared" si="288"/>
        <v>3.8000000000000006E-2</v>
      </c>
      <c r="BR205" s="463"/>
      <c r="BT205" s="147">
        <f t="shared" si="289"/>
        <v>228</v>
      </c>
      <c r="BU205" s="463">
        <f t="shared" si="290"/>
        <v>0.20469944548270211</v>
      </c>
      <c r="BV205" s="463">
        <f t="shared" si="291"/>
        <v>0.15176746674005867</v>
      </c>
      <c r="BW205" s="463">
        <f t="shared" si="292"/>
        <v>1.6017316185548043E-3</v>
      </c>
      <c r="BX205" s="463">
        <f t="shared" si="293"/>
        <v>0</v>
      </c>
      <c r="BY205" s="463">
        <f t="shared" si="274"/>
        <v>0.41286356072468833</v>
      </c>
      <c r="BZ205" s="463">
        <f t="shared" si="344"/>
        <v>0.35806864384131559</v>
      </c>
      <c r="CA205" s="549">
        <f t="shared" si="331"/>
        <v>0.88105930623831619</v>
      </c>
      <c r="CB205" s="147">
        <f t="shared" si="338"/>
        <v>2010.0601546456355</v>
      </c>
      <c r="CC205" s="153">
        <f t="shared" si="345"/>
        <v>1.8908231592254059</v>
      </c>
      <c r="CD205" s="5">
        <f t="shared" si="339"/>
        <v>7.9210834953761733</v>
      </c>
      <c r="CE205" s="153">
        <f t="shared" si="340"/>
        <v>0.80729299352449002</v>
      </c>
      <c r="CF205" s="5">
        <f t="shared" si="341"/>
        <v>80.729299352449004</v>
      </c>
      <c r="CG205">
        <f t="shared" si="342"/>
        <v>95</v>
      </c>
      <c r="CI205" s="59">
        <f t="shared" si="332"/>
        <v>-50</v>
      </c>
      <c r="CJ205">
        <f t="shared" si="333"/>
        <v>-50</v>
      </c>
    </row>
    <row r="206" spans="5:88" x14ac:dyDescent="0.25">
      <c r="E206" s="150">
        <v>96</v>
      </c>
      <c r="F206" s="191">
        <f t="shared" si="334"/>
        <v>0.48</v>
      </c>
      <c r="G206" s="191">
        <f t="shared" si="299"/>
        <v>9.6000000000000002E-2</v>
      </c>
      <c r="H206" s="191">
        <f t="shared" si="300"/>
        <v>7.1999999999999993</v>
      </c>
      <c r="I206" s="191">
        <f t="shared" si="301"/>
        <v>1.536</v>
      </c>
      <c r="J206" s="472">
        <f t="shared" si="302"/>
        <v>9</v>
      </c>
      <c r="K206" s="386">
        <f t="shared" si="303"/>
        <v>6.7145259999604248</v>
      </c>
      <c r="L206" s="386">
        <f t="shared" si="304"/>
        <v>16.66</v>
      </c>
      <c r="M206" s="386"/>
      <c r="N206" s="191">
        <f t="shared" si="305"/>
        <v>0.45978391356542619</v>
      </c>
      <c r="O206" s="152">
        <f t="shared" ref="O206:O210" si="346">N206*J206*Isw_max*0.5*Efficiency*Pout/(Pout+Pout2)</f>
        <v>6.2923449599620076</v>
      </c>
      <c r="P206" s="152">
        <f t="shared" si="307"/>
        <v>1.6287385354141657</v>
      </c>
      <c r="Q206" s="191">
        <f t="shared" si="308"/>
        <v>0.41948966399746718</v>
      </c>
      <c r="R206" s="191">
        <f t="shared" si="309"/>
        <v>0.39327155999762548</v>
      </c>
      <c r="S206" s="191">
        <f t="shared" si="310"/>
        <v>13.109051999920849</v>
      </c>
      <c r="T206" s="191">
        <f t="shared" si="311"/>
        <v>4.0999999999999996</v>
      </c>
      <c r="U206" s="191">
        <f t="shared" si="312"/>
        <v>4.0999999999999996</v>
      </c>
      <c r="V206" s="191">
        <f t="shared" si="313"/>
        <v>5.495548010420614</v>
      </c>
      <c r="W206" s="175">
        <f t="shared" si="314"/>
        <v>350</v>
      </c>
      <c r="X206" s="386">
        <f t="shared" si="315"/>
        <v>104.21499625805798</v>
      </c>
      <c r="Z206" s="191">
        <f t="shared" si="316"/>
        <v>1.2208042418801077</v>
      </c>
      <c r="AA206" s="153">
        <f t="shared" si="317"/>
        <v>1.6363386152627495</v>
      </c>
      <c r="AB206" s="153">
        <f t="shared" ref="AB206:AB210" si="347">0.5*AA206*Z206*Nps*W206/1000*(Pout/(Pout+Pout2))</f>
        <v>0.14406123480757113</v>
      </c>
      <c r="AC206" s="153"/>
      <c r="AD206" s="153">
        <f t="shared" si="319"/>
        <v>1.0991096020841229</v>
      </c>
      <c r="AE206" s="317">
        <f t="shared" ref="AE206:AE210" si="348">MAX(10, F206/(0.5*AD206/1000000*Isw_min*Nps)/1000*Pout_total/Pout)</f>
        <v>2130.3275034576004</v>
      </c>
      <c r="AF206" s="463">
        <f t="shared" si="321"/>
        <v>7.8861113949535822E-2</v>
      </c>
      <c r="AH206" s="153">
        <f t="shared" si="322"/>
        <v>2.3551362310207589</v>
      </c>
      <c r="AI206" s="153">
        <f t="shared" ref="AI206:AI210" si="349">MAX(IF(F206&gt;AB206,T206,AH206),Isw_min)</f>
        <v>4.0999999999999996</v>
      </c>
      <c r="AJ206" s="153">
        <f t="shared" ref="AJ206:AJ210" si="350">IF(F206&gt;AF206, (AI206-Isw_min)/1.08*0.8+1.2, AE206*0.2/350+1)</f>
        <v>3.6296296296296298</v>
      </c>
      <c r="AL206" s="317">
        <f t="shared" si="325"/>
        <v>480</v>
      </c>
      <c r="AM206" s="147">
        <f t="shared" si="326"/>
        <v>104.21499625805798</v>
      </c>
      <c r="AO206" t="str">
        <f t="shared" si="327"/>
        <v/>
      </c>
      <c r="AP206" t="str">
        <f t="shared" si="328"/>
        <v/>
      </c>
      <c r="AR206" s="5">
        <f t="shared" si="343"/>
        <v>9.5955480104206146</v>
      </c>
      <c r="AS206" s="5">
        <f t="shared" si="335"/>
        <v>4.0999999999999996</v>
      </c>
      <c r="AT206" s="5">
        <f t="shared" si="336"/>
        <v>5.4955480104206149</v>
      </c>
      <c r="AU206" s="153">
        <f t="shared" si="337"/>
        <v>0.42728148465803767</v>
      </c>
      <c r="AW206" s="5">
        <f t="shared" si="275"/>
        <v>13.119999999999997</v>
      </c>
      <c r="AX206" s="5"/>
      <c r="AY206" s="5">
        <f t="shared" si="276"/>
        <v>2.4599999999999995</v>
      </c>
      <c r="AZ206" s="5"/>
      <c r="BA206" s="5">
        <f t="shared" si="277"/>
        <v>8.8016784951681508</v>
      </c>
      <c r="BB206" s="5"/>
      <c r="BC206" s="5"/>
      <c r="BD206" s="153">
        <f t="shared" si="278"/>
        <v>1.5473204534615761</v>
      </c>
      <c r="BE206" s="153">
        <f t="shared" si="279"/>
        <v>0.89570262191655925</v>
      </c>
      <c r="BF206" s="153">
        <f t="shared" si="280"/>
        <v>0.17937469500342074</v>
      </c>
      <c r="BG206" s="153"/>
      <c r="BH206" s="463">
        <f t="shared" si="281"/>
        <v>0.26336206442705912</v>
      </c>
      <c r="BI206" s="463">
        <f t="shared" si="282"/>
        <v>3.5592547672014536E-2</v>
      </c>
      <c r="BJ206" s="463">
        <f t="shared" si="283"/>
        <v>5.2107498129028984E-3</v>
      </c>
      <c r="BK206" s="463">
        <f t="shared" si="284"/>
        <v>6.5082275584656835E-3</v>
      </c>
      <c r="BL206">
        <f t="shared" si="285"/>
        <v>2.6099999999999999E-3</v>
      </c>
      <c r="BM206">
        <f t="shared" si="329"/>
        <v>4.1685998503223192E-6</v>
      </c>
      <c r="BN206">
        <f t="shared" ref="BN206:BN210" si="351">(BI206+BJ206+BK206+BL206+BM206+BH206*(1+RdsonTC*(Ta-25)))/(1-BH206*RdsonTC*ThetaJA)</f>
        <v>0.36665764191083478</v>
      </c>
      <c r="BO206" s="147">
        <f t="shared" si="286"/>
        <v>313.28358947044222</v>
      </c>
      <c r="BP206" s="153">
        <f t="shared" si="287"/>
        <v>0.192</v>
      </c>
      <c r="BQ206" s="153">
        <f t="shared" si="288"/>
        <v>3.8400000000000004E-2</v>
      </c>
      <c r="BR206" s="463"/>
      <c r="BT206" s="147">
        <f t="shared" si="289"/>
        <v>230.4</v>
      </c>
      <c r="BU206" s="463">
        <f t="shared" si="290"/>
        <v>0.2035070497845457</v>
      </c>
      <c r="BV206" s="463">
        <f t="shared" si="291"/>
        <v>0.15243380551255775</v>
      </c>
      <c r="BW206" s="463">
        <f t="shared" si="292"/>
        <v>1.6087640603785107E-3</v>
      </c>
      <c r="BX206" s="463">
        <f t="shared" si="293"/>
        <v>0</v>
      </c>
      <c r="BY206" s="463">
        <f t="shared" si="274"/>
        <v>0.41224748828167518</v>
      </c>
      <c r="BZ206" s="463">
        <f t="shared" si="344"/>
        <v>0.35754961935748197</v>
      </c>
      <c r="CA206" s="549">
        <f t="shared" si="331"/>
        <v>0.87592704354897732</v>
      </c>
      <c r="CB206" s="147">
        <f t="shared" si="338"/>
        <v>2003.2737705456163</v>
      </c>
      <c r="CC206" s="153">
        <f t="shared" si="345"/>
        <v>1.8852321737414872</v>
      </c>
      <c r="CD206" s="5">
        <f t="shared" si="339"/>
        <v>7.9210834953761733</v>
      </c>
      <c r="CE206" s="153">
        <f t="shared" si="340"/>
        <v>0.80775326459472274</v>
      </c>
      <c r="CF206" s="5">
        <f t="shared" si="341"/>
        <v>80.775326459472268</v>
      </c>
      <c r="CG206">
        <f t="shared" si="342"/>
        <v>96</v>
      </c>
      <c r="CI206" s="59">
        <f t="shared" si="332"/>
        <v>-50</v>
      </c>
      <c r="CJ206">
        <f t="shared" si="333"/>
        <v>-50</v>
      </c>
    </row>
    <row r="207" spans="5:88" x14ac:dyDescent="0.25">
      <c r="E207" s="150">
        <v>97</v>
      </c>
      <c r="F207" s="191">
        <f t="shared" ref="F207:F210" si="352">IF(PLOT_TYPE=1, E207/100*Iout_max, min_I*EXP(O207*rr/100))</f>
        <v>0.48499999999999999</v>
      </c>
      <c r="G207" s="191">
        <f t="shared" si="299"/>
        <v>9.7000000000000003E-2</v>
      </c>
      <c r="H207" s="191">
        <f t="shared" si="300"/>
        <v>7.2749999999999995</v>
      </c>
      <c r="I207" s="191">
        <f t="shared" si="301"/>
        <v>1.552</v>
      </c>
      <c r="J207" s="472">
        <f t="shared" si="302"/>
        <v>9</v>
      </c>
      <c r="K207" s="386">
        <f t="shared" si="303"/>
        <v>6.6469535669711419</v>
      </c>
      <c r="L207" s="386">
        <f t="shared" si="304"/>
        <v>16.66</v>
      </c>
      <c r="M207" s="386"/>
      <c r="N207" s="191">
        <f t="shared" si="305"/>
        <v>0.45978391356542619</v>
      </c>
      <c r="O207" s="152">
        <f t="shared" si="346"/>
        <v>6.2923449599620076</v>
      </c>
      <c r="P207" s="152">
        <f t="shared" si="307"/>
        <v>1.6287385354141657</v>
      </c>
      <c r="Q207" s="191">
        <f t="shared" si="308"/>
        <v>0.41948966399746718</v>
      </c>
      <c r="R207" s="191">
        <f t="shared" si="309"/>
        <v>0.39327155999762548</v>
      </c>
      <c r="S207" s="191">
        <f t="shared" si="310"/>
        <v>12.973907133942284</v>
      </c>
      <c r="T207" s="191">
        <f t="shared" si="311"/>
        <v>4.0999999999999996</v>
      </c>
      <c r="U207" s="191">
        <f t="shared" si="312"/>
        <v>4.0999999999999996</v>
      </c>
      <c r="V207" s="191">
        <f t="shared" si="313"/>
        <v>5.5514153406091031</v>
      </c>
      <c r="W207" s="175">
        <f t="shared" si="314"/>
        <v>350</v>
      </c>
      <c r="X207" s="386">
        <f t="shared" si="315"/>
        <v>103.61174653756946</v>
      </c>
      <c r="Z207" s="191">
        <f t="shared" si="316"/>
        <v>1.2137376022972421</v>
      </c>
      <c r="AA207" s="153">
        <f t="shared" si="317"/>
        <v>1.6434052548456153</v>
      </c>
      <c r="AB207" s="153">
        <f t="shared" si="347"/>
        <v>0.14384587165521676</v>
      </c>
      <c r="AC207" s="153"/>
      <c r="AD207" s="153">
        <f t="shared" si="319"/>
        <v>1.1102830681218208</v>
      </c>
      <c r="AE207" s="317">
        <f t="shared" si="348"/>
        <v>2130.8562892332629</v>
      </c>
      <c r="AF207" s="463">
        <f t="shared" si="321"/>
        <v>7.9662810137740639E-2</v>
      </c>
      <c r="AH207" s="153">
        <f t="shared" si="322"/>
        <v>2.367370787275294</v>
      </c>
      <c r="AI207" s="153">
        <f t="shared" si="349"/>
        <v>4.0999999999999996</v>
      </c>
      <c r="AJ207" s="153">
        <f t="shared" si="350"/>
        <v>3.6296296296296298</v>
      </c>
      <c r="AL207" s="317">
        <f t="shared" si="325"/>
        <v>485</v>
      </c>
      <c r="AM207" s="147">
        <f t="shared" si="326"/>
        <v>103.61174653756946</v>
      </c>
      <c r="AO207" t="str">
        <f t="shared" si="327"/>
        <v/>
      </c>
      <c r="AP207" t="str">
        <f t="shared" si="328"/>
        <v/>
      </c>
      <c r="AR207" s="5">
        <f t="shared" si="343"/>
        <v>9.6514153406091037</v>
      </c>
      <c r="AS207" s="5">
        <f t="shared" si="335"/>
        <v>4.0999999999999996</v>
      </c>
      <c r="AT207" s="5">
        <f t="shared" si="336"/>
        <v>5.551415340609104</v>
      </c>
      <c r="AU207" s="153">
        <f t="shared" si="337"/>
        <v>0.42480816080403472</v>
      </c>
      <c r="AW207" s="5">
        <f t="shared" si="275"/>
        <v>13.256666666666664</v>
      </c>
      <c r="AX207" s="5"/>
      <c r="AY207" s="5">
        <f t="shared" si="276"/>
        <v>2.4856250000000002</v>
      </c>
      <c r="AZ207" s="5"/>
      <c r="BA207" s="5">
        <f t="shared" si="277"/>
        <v>8.9837719058906078</v>
      </c>
      <c r="BB207" s="5"/>
      <c r="BC207" s="5"/>
      <c r="BD207" s="153">
        <f t="shared" si="278"/>
        <v>1.5428356126643157</v>
      </c>
      <c r="BE207" s="153">
        <f t="shared" si="279"/>
        <v>0.89763461464396221</v>
      </c>
      <c r="BF207" s="153">
        <f t="shared" si="280"/>
        <v>0.17976159864503924</v>
      </c>
      <c r="BG207" s="153"/>
      <c r="BH207" s="463">
        <f t="shared" si="281"/>
        <v>0.26183759004758017</v>
      </c>
      <c r="BI207" s="463">
        <f t="shared" si="282"/>
        <v>3.5386519794976097E-2</v>
      </c>
      <c r="BJ207" s="463">
        <f t="shared" si="283"/>
        <v>5.1805873268784735E-3</v>
      </c>
      <c r="BK207" s="463">
        <f t="shared" si="284"/>
        <v>6.4705546073886783E-3</v>
      </c>
      <c r="BL207">
        <f t="shared" si="285"/>
        <v>2.6099999999999999E-3</v>
      </c>
      <c r="BM207">
        <f t="shared" si="329"/>
        <v>4.1444698615027781E-6</v>
      </c>
      <c r="BN207">
        <f t="shared" si="351"/>
        <v>0.36444337898667023</v>
      </c>
      <c r="BO207" s="147">
        <f t="shared" si="286"/>
        <v>311.48525177682342</v>
      </c>
      <c r="BP207" s="153">
        <f t="shared" si="287"/>
        <v>0.19400000000000001</v>
      </c>
      <c r="BQ207" s="153">
        <f t="shared" si="288"/>
        <v>3.8800000000000001E-2</v>
      </c>
      <c r="BR207" s="463"/>
      <c r="BT207" s="147">
        <f t="shared" si="289"/>
        <v>232.8</v>
      </c>
      <c r="BU207" s="463">
        <f t="shared" si="290"/>
        <v>0.20232904685494832</v>
      </c>
      <c r="BV207" s="463">
        <f t="shared" si="291"/>
        <v>0.15309210126733278</v>
      </c>
      <c r="BW207" s="463">
        <f t="shared" si="292"/>
        <v>1.6157116173710088E-3</v>
      </c>
      <c r="BX207" s="463">
        <f t="shared" si="293"/>
        <v>0</v>
      </c>
      <c r="BY207" s="463">
        <f t="shared" si="274"/>
        <v>0.41163890383413954</v>
      </c>
      <c r="BZ207" s="463">
        <f t="shared" si="344"/>
        <v>0.3570368597396521</v>
      </c>
      <c r="CA207" s="549">
        <f t="shared" si="331"/>
        <v>0.87085672964827132</v>
      </c>
      <c r="CB207" s="147">
        <f t="shared" si="338"/>
        <v>1996.5693529617149</v>
      </c>
      <c r="CC207" s="153">
        <f t="shared" si="345"/>
        <v>1.8797390124690811</v>
      </c>
      <c r="CD207" s="5">
        <f t="shared" si="339"/>
        <v>7.9210834953761733</v>
      </c>
      <c r="CE207" s="153">
        <f t="shared" si="340"/>
        <v>0.80820599383731229</v>
      </c>
      <c r="CF207" s="5">
        <f t="shared" si="341"/>
        <v>80.820599383731235</v>
      </c>
      <c r="CG207">
        <f t="shared" si="342"/>
        <v>97</v>
      </c>
      <c r="CI207" s="59">
        <f t="shared" si="332"/>
        <v>-50</v>
      </c>
      <c r="CJ207">
        <f t="shared" si="333"/>
        <v>-50</v>
      </c>
    </row>
    <row r="208" spans="5:88" x14ac:dyDescent="0.25">
      <c r="E208" s="150">
        <v>98</v>
      </c>
      <c r="F208" s="191">
        <f t="shared" si="352"/>
        <v>0.49</v>
      </c>
      <c r="G208" s="191">
        <f t="shared" si="299"/>
        <v>9.8000000000000004E-2</v>
      </c>
      <c r="H208" s="191">
        <f t="shared" si="300"/>
        <v>7.35</v>
      </c>
      <c r="I208" s="191">
        <f t="shared" si="301"/>
        <v>1.5680000000000001</v>
      </c>
      <c r="J208" s="472">
        <f t="shared" si="302"/>
        <v>9</v>
      </c>
      <c r="K208" s="386">
        <f t="shared" si="303"/>
        <v>6.5807601632265387</v>
      </c>
      <c r="L208" s="386">
        <f t="shared" si="304"/>
        <v>16.66</v>
      </c>
      <c r="M208" s="386"/>
      <c r="N208" s="191">
        <f t="shared" si="305"/>
        <v>0.45978391356542619</v>
      </c>
      <c r="O208" s="152">
        <f t="shared" si="346"/>
        <v>6.2923449599620076</v>
      </c>
      <c r="P208" s="152">
        <f t="shared" si="307"/>
        <v>1.6287385354141657</v>
      </c>
      <c r="Q208" s="191">
        <f t="shared" si="308"/>
        <v>0.41948966399746718</v>
      </c>
      <c r="R208" s="191">
        <f t="shared" si="309"/>
        <v>0.39327155999762548</v>
      </c>
      <c r="S208" s="191">
        <f t="shared" si="310"/>
        <v>12.841520326453077</v>
      </c>
      <c r="T208" s="191">
        <f t="shared" si="311"/>
        <v>4.0999999999999996</v>
      </c>
      <c r="U208" s="191">
        <f t="shared" si="312"/>
        <v>4.0999999999999996</v>
      </c>
      <c r="V208" s="191">
        <f t="shared" si="313"/>
        <v>5.6072549499977473</v>
      </c>
      <c r="W208" s="175">
        <f t="shared" si="314"/>
        <v>350</v>
      </c>
      <c r="X208" s="386">
        <f t="shared" si="315"/>
        <v>103.01573463878499</v>
      </c>
      <c r="Z208" s="191">
        <f t="shared" si="316"/>
        <v>1.2067557486257672</v>
      </c>
      <c r="AA208" s="153">
        <f t="shared" si="317"/>
        <v>1.6503871085170907</v>
      </c>
      <c r="AB208" s="153">
        <f t="shared" si="347"/>
        <v>0.14362601903804259</v>
      </c>
      <c r="AC208" s="153"/>
      <c r="AD208" s="153">
        <f t="shared" si="319"/>
        <v>1.1214509899995497</v>
      </c>
      <c r="AE208" s="317">
        <f t="shared" si="348"/>
        <v>2131.3850750089259</v>
      </c>
      <c r="AF208" s="463">
        <f t="shared" si="321"/>
        <v>8.0464108532467687E-2</v>
      </c>
      <c r="AH208" s="153">
        <f t="shared" si="322"/>
        <v>2.3795424396766327</v>
      </c>
      <c r="AI208" s="153">
        <f t="shared" si="349"/>
        <v>4.0999999999999996</v>
      </c>
      <c r="AJ208" s="153">
        <f t="shared" si="350"/>
        <v>3.6296296296296298</v>
      </c>
      <c r="AL208" s="317">
        <f t="shared" si="325"/>
        <v>490</v>
      </c>
      <c r="AM208" s="147">
        <f t="shared" si="326"/>
        <v>103.01573463878499</v>
      </c>
      <c r="AO208" t="str">
        <f t="shared" si="327"/>
        <v/>
      </c>
      <c r="AP208" t="str">
        <f t="shared" si="328"/>
        <v/>
      </c>
      <c r="AR208" s="5">
        <f t="shared" si="343"/>
        <v>9.707254949997747</v>
      </c>
      <c r="AS208" s="5">
        <f t="shared" si="335"/>
        <v>4.0999999999999996</v>
      </c>
      <c r="AT208" s="5">
        <f t="shared" si="336"/>
        <v>5.6072549499977473</v>
      </c>
      <c r="AU208" s="153">
        <f t="shared" si="337"/>
        <v>0.42236451201901842</v>
      </c>
      <c r="AW208" s="5">
        <f t="shared" si="275"/>
        <v>13.393333333333333</v>
      </c>
      <c r="AX208" s="5"/>
      <c r="AY208" s="5">
        <f t="shared" si="276"/>
        <v>2.51125</v>
      </c>
      <c r="AZ208" s="5"/>
      <c r="BA208" s="5">
        <f t="shared" si="277"/>
        <v>9.1676841024320854</v>
      </c>
      <c r="BB208" s="5"/>
      <c r="BC208" s="5"/>
      <c r="BD208" s="153">
        <f t="shared" si="278"/>
        <v>1.5383917410767756</v>
      </c>
      <c r="BE208" s="153">
        <f t="shared" si="279"/>
        <v>0.8995393521575501</v>
      </c>
      <c r="BF208" s="153">
        <f t="shared" si="280"/>
        <v>0.18014304411834858</v>
      </c>
      <c r="BG208" s="153"/>
      <c r="BH208" s="463">
        <f t="shared" si="281"/>
        <v>0.26033140639145563</v>
      </c>
      <c r="BI208" s="463">
        <f t="shared" si="282"/>
        <v>3.5182963851184239E-2</v>
      </c>
      <c r="BJ208" s="463">
        <f t="shared" si="283"/>
        <v>5.1507867319392497E-3</v>
      </c>
      <c r="BK208" s="463">
        <f t="shared" si="284"/>
        <v>6.4333336583494698E-3</v>
      </c>
      <c r="BL208">
        <f t="shared" si="285"/>
        <v>2.6099999999999999E-3</v>
      </c>
      <c r="BM208">
        <f t="shared" si="329"/>
        <v>4.1206293855514E-6</v>
      </c>
      <c r="BN208">
        <f t="shared" si="351"/>
        <v>0.36225696788841449</v>
      </c>
      <c r="BO208" s="147">
        <f t="shared" si="286"/>
        <v>309.7084906329286</v>
      </c>
      <c r="BP208" s="153">
        <f t="shared" si="287"/>
        <v>0.19600000000000001</v>
      </c>
      <c r="BQ208" s="153">
        <f t="shared" si="288"/>
        <v>3.9200000000000006E-2</v>
      </c>
      <c r="BR208" s="463"/>
      <c r="BT208" s="147">
        <f t="shared" si="289"/>
        <v>235.20000000000002</v>
      </c>
      <c r="BU208" s="463">
        <f t="shared" si="290"/>
        <v>0.20116517766612482</v>
      </c>
      <c r="BV208" s="463">
        <f t="shared" si="291"/>
        <v>0.15374249875520474</v>
      </c>
      <c r="BW208" s="463">
        <f t="shared" si="292"/>
        <v>1.6225758172112644E-3</v>
      </c>
      <c r="BX208" s="463">
        <f t="shared" si="293"/>
        <v>0</v>
      </c>
      <c r="BY208" s="463">
        <f t="shared" si="274"/>
        <v>0.41103767168849714</v>
      </c>
      <c r="BZ208" s="463">
        <f t="shared" si="344"/>
        <v>0.35653025223854085</v>
      </c>
      <c r="CA208" s="549">
        <f t="shared" si="331"/>
        <v>0.86584724963898785</v>
      </c>
      <c r="CB208" s="147">
        <f t="shared" si="338"/>
        <v>1989.9454258045669</v>
      </c>
      <c r="CC208" s="153">
        <f t="shared" si="345"/>
        <v>1.8743418892158994</v>
      </c>
      <c r="CD208" s="5">
        <f t="shared" si="339"/>
        <v>7.9210834953761733</v>
      </c>
      <c r="CE208" s="153">
        <f t="shared" si="340"/>
        <v>0.80865130245755479</v>
      </c>
      <c r="CF208" s="5">
        <f t="shared" si="341"/>
        <v>80.865130245755481</v>
      </c>
      <c r="CG208">
        <f t="shared" si="342"/>
        <v>98</v>
      </c>
      <c r="CI208" s="59">
        <f t="shared" si="332"/>
        <v>-50</v>
      </c>
      <c r="CJ208">
        <f t="shared" si="333"/>
        <v>-50</v>
      </c>
    </row>
    <row r="209" spans="5:88" x14ac:dyDescent="0.25">
      <c r="E209" s="150">
        <v>99</v>
      </c>
      <c r="F209" s="191">
        <f t="shared" si="352"/>
        <v>0.495</v>
      </c>
      <c r="G209" s="191">
        <f t="shared" si="299"/>
        <v>9.9000000000000005E-2</v>
      </c>
      <c r="H209" s="191">
        <f t="shared" si="300"/>
        <v>7.4249999999999998</v>
      </c>
      <c r="I209" s="191">
        <f t="shared" si="301"/>
        <v>1.5840000000000001</v>
      </c>
      <c r="J209" s="472">
        <f t="shared" si="302"/>
        <v>9</v>
      </c>
      <c r="K209" s="386">
        <f t="shared" si="303"/>
        <v>6.5159039999616244</v>
      </c>
      <c r="L209" s="386">
        <f t="shared" si="304"/>
        <v>16.66</v>
      </c>
      <c r="M209" s="386"/>
      <c r="N209" s="191">
        <f t="shared" si="305"/>
        <v>0.45978391356542619</v>
      </c>
      <c r="O209" s="152">
        <f t="shared" si="346"/>
        <v>6.2923449599620076</v>
      </c>
      <c r="P209" s="152">
        <f t="shared" si="307"/>
        <v>1.6287385354141657</v>
      </c>
      <c r="Q209" s="191">
        <f t="shared" si="308"/>
        <v>0.41948966399746718</v>
      </c>
      <c r="R209" s="191">
        <f t="shared" si="309"/>
        <v>0.39327155999762548</v>
      </c>
      <c r="S209" s="191">
        <f t="shared" si="310"/>
        <v>12.711807999923249</v>
      </c>
      <c r="T209" s="191">
        <f t="shared" si="311"/>
        <v>4.0999999999999996</v>
      </c>
      <c r="U209" s="191">
        <f t="shared" si="312"/>
        <v>4.0999999999999996</v>
      </c>
      <c r="V209" s="191">
        <f t="shared" si="313"/>
        <v>5.6630668592135978</v>
      </c>
      <c r="W209" s="175">
        <f t="shared" si="314"/>
        <v>350</v>
      </c>
      <c r="X209" s="386">
        <f t="shared" si="315"/>
        <v>102.42683107883055</v>
      </c>
      <c r="Z209" s="191">
        <f t="shared" si="316"/>
        <v>1.1998571640663007</v>
      </c>
      <c r="AA209" s="153">
        <f t="shared" si="317"/>
        <v>1.6572856930765565</v>
      </c>
      <c r="AB209" s="153">
        <f t="shared" si="347"/>
        <v>0.14340188305835269</v>
      </c>
      <c r="AC209" s="153"/>
      <c r="AD209" s="153">
        <f t="shared" si="319"/>
        <v>1.1326133718427198</v>
      </c>
      <c r="AE209" s="317">
        <f t="shared" si="348"/>
        <v>2131.9138607845889</v>
      </c>
      <c r="AF209" s="463">
        <f t="shared" si="321"/>
        <v>8.1265009429715138E-2</v>
      </c>
      <c r="AH209" s="153">
        <f t="shared" si="322"/>
        <v>2.3916521486202797</v>
      </c>
      <c r="AI209" s="153">
        <f t="shared" si="349"/>
        <v>4.0999999999999996</v>
      </c>
      <c r="AJ209" s="153">
        <f t="shared" si="350"/>
        <v>3.6296296296296298</v>
      </c>
      <c r="AL209" s="317">
        <f t="shared" si="325"/>
        <v>495</v>
      </c>
      <c r="AM209" s="147">
        <f t="shared" si="326"/>
        <v>102.42683107883055</v>
      </c>
      <c r="AO209" t="str">
        <f t="shared" si="327"/>
        <v/>
      </c>
      <c r="AP209" t="str">
        <f t="shared" si="328"/>
        <v/>
      </c>
      <c r="AR209" s="5">
        <f t="shared" si="343"/>
        <v>9.7630668592135983</v>
      </c>
      <c r="AS209" s="5">
        <f t="shared" si="335"/>
        <v>4.0999999999999996</v>
      </c>
      <c r="AT209" s="5">
        <f t="shared" si="336"/>
        <v>5.6630668592135986</v>
      </c>
      <c r="AU209" s="153">
        <f t="shared" si="337"/>
        <v>0.41995000742320526</v>
      </c>
      <c r="AW209" s="5">
        <f t="shared" si="275"/>
        <v>13.529999999999998</v>
      </c>
      <c r="AX209" s="5"/>
      <c r="AY209" s="5">
        <f t="shared" si="276"/>
        <v>2.5368750000000002</v>
      </c>
      <c r="AZ209" s="5"/>
      <c r="BA209" s="5">
        <f t="shared" si="277"/>
        <v>9.3534137314338697</v>
      </c>
      <c r="BB209" s="5"/>
      <c r="BC209" s="5"/>
      <c r="BD209" s="153">
        <f t="shared" si="278"/>
        <v>1.5339882251595109</v>
      </c>
      <c r="BE209" s="153">
        <f t="shared" si="279"/>
        <v>0.90141741973478995</v>
      </c>
      <c r="BF209" s="153">
        <f t="shared" si="280"/>
        <v>0.18051914863185597</v>
      </c>
      <c r="BG209" s="153"/>
      <c r="BH209" s="463">
        <f t="shared" si="281"/>
        <v>0.25884318624208291</v>
      </c>
      <c r="BI209" s="463">
        <f t="shared" si="282"/>
        <v>3.4981835618352997E-2</v>
      </c>
      <c r="BJ209" s="463">
        <f t="shared" si="283"/>
        <v>5.1213415539415269E-3</v>
      </c>
      <c r="BK209" s="463">
        <f t="shared" si="284"/>
        <v>6.3965566251412784E-3</v>
      </c>
      <c r="BL209">
        <f t="shared" si="285"/>
        <v>2.6099999999999999E-3</v>
      </c>
      <c r="BM209">
        <f t="shared" si="329"/>
        <v>4.0970732431532221E-6</v>
      </c>
      <c r="BN209">
        <f t="shared" si="351"/>
        <v>0.36009788640435447</v>
      </c>
      <c r="BO209" s="147">
        <f t="shared" si="286"/>
        <v>307.95292003951869</v>
      </c>
      <c r="BP209" s="153">
        <f t="shared" si="287"/>
        <v>0.19800000000000001</v>
      </c>
      <c r="BQ209" s="153">
        <f t="shared" si="288"/>
        <v>3.9600000000000003E-2</v>
      </c>
      <c r="BR209" s="463"/>
      <c r="BT209" s="147">
        <f t="shared" si="289"/>
        <v>237.6</v>
      </c>
      <c r="BU209" s="463">
        <f t="shared" si="290"/>
        <v>0.20001518936888227</v>
      </c>
      <c r="BV209" s="463">
        <f t="shared" si="291"/>
        <v>0.15438513927425201</v>
      </c>
      <c r="BW209" s="463">
        <f t="shared" si="292"/>
        <v>1.6293581511385054E-3</v>
      </c>
      <c r="BX209" s="463">
        <f t="shared" si="293"/>
        <v>0</v>
      </c>
      <c r="BY209" s="463">
        <f t="shared" si="274"/>
        <v>0.41044365941010352</v>
      </c>
      <c r="BZ209" s="463">
        <f t="shared" si="344"/>
        <v>0.35602968679427283</v>
      </c>
      <c r="CA209" s="549">
        <f t="shared" si="331"/>
        <v>0.86089751521757074</v>
      </c>
      <c r="CB209" s="147">
        <f t="shared" si="338"/>
        <v>1983.4005482162199</v>
      </c>
      <c r="CC209" s="153">
        <f t="shared" si="345"/>
        <v>1.8690390610320287</v>
      </c>
      <c r="CD209" s="5">
        <f t="shared" si="339"/>
        <v>7.9210834953761733</v>
      </c>
      <c r="CE209" s="153">
        <f t="shared" si="340"/>
        <v>0.80908930912119847</v>
      </c>
      <c r="CF209" s="5">
        <f t="shared" si="341"/>
        <v>80.908930912119843</v>
      </c>
      <c r="CG209">
        <f t="shared" si="342"/>
        <v>99</v>
      </c>
      <c r="CI209" s="59">
        <f t="shared" si="332"/>
        <v>-50</v>
      </c>
      <c r="CJ209">
        <f t="shared" si="333"/>
        <v>-50</v>
      </c>
    </row>
    <row r="210" spans="5:88" x14ac:dyDescent="0.25">
      <c r="E210" s="150">
        <v>100</v>
      </c>
      <c r="F210" s="191">
        <f t="shared" si="352"/>
        <v>0.5</v>
      </c>
      <c r="G210" s="191">
        <f t="shared" si="299"/>
        <v>0.1</v>
      </c>
      <c r="H210" s="191">
        <f t="shared" si="300"/>
        <v>7.5</v>
      </c>
      <c r="I210" s="191">
        <f t="shared" si="301"/>
        <v>1.6</v>
      </c>
      <c r="J210" s="472">
        <f t="shared" si="302"/>
        <v>9</v>
      </c>
      <c r="K210" s="386">
        <f t="shared" si="303"/>
        <v>6.4523449599620077</v>
      </c>
      <c r="L210" s="386">
        <f t="shared" si="304"/>
        <v>16.66</v>
      </c>
      <c r="M210" s="386"/>
      <c r="N210" s="191">
        <f t="shared" si="305"/>
        <v>0.45978391356542619</v>
      </c>
      <c r="O210" s="152">
        <f t="shared" si="346"/>
        <v>6.2923449599620076</v>
      </c>
      <c r="P210" s="152">
        <f t="shared" si="307"/>
        <v>1.6287385354141657</v>
      </c>
      <c r="Q210" s="191">
        <f t="shared" si="308"/>
        <v>0.41948966399746718</v>
      </c>
      <c r="R210" s="191">
        <f t="shared" si="309"/>
        <v>0.39327155999762548</v>
      </c>
      <c r="S210" s="191">
        <f t="shared" si="310"/>
        <v>12.584689919924015</v>
      </c>
      <c r="T210" s="191">
        <f t="shared" si="311"/>
        <v>4.0999999999999996</v>
      </c>
      <c r="U210" s="191">
        <f t="shared" si="312"/>
        <v>4.0999999999999996</v>
      </c>
      <c r="V210" s="191">
        <f t="shared" si="313"/>
        <v>5.7188510888632447</v>
      </c>
      <c r="W210" s="175">
        <f t="shared" si="314"/>
        <v>350</v>
      </c>
      <c r="X210" s="386">
        <f t="shared" si="315"/>
        <v>101.84490944507976</v>
      </c>
      <c r="Z210" s="191">
        <f t="shared" si="316"/>
        <v>1.1930403677852204</v>
      </c>
      <c r="AA210" s="153">
        <f t="shared" si="317"/>
        <v>1.6641024893576375</v>
      </c>
      <c r="AB210" s="153">
        <f t="shared" si="347"/>
        <v>0.14317366196650505</v>
      </c>
      <c r="AC210" s="153"/>
      <c r="AD210" s="153">
        <f t="shared" si="319"/>
        <v>1.143770217772649</v>
      </c>
      <c r="AE210" s="317">
        <f t="shared" si="348"/>
        <v>2132.4426465602514</v>
      </c>
      <c r="AF210" s="463">
        <f t="shared" si="321"/>
        <v>8.2065513125187575E-2</v>
      </c>
      <c r="AH210" s="153">
        <f t="shared" si="322"/>
        <v>2.4037008503093262</v>
      </c>
      <c r="AI210" s="153">
        <f t="shared" si="349"/>
        <v>4.0999999999999996</v>
      </c>
      <c r="AJ210" s="153">
        <f t="shared" si="350"/>
        <v>3.6296296296296298</v>
      </c>
      <c r="AL210" s="317">
        <f t="shared" si="325"/>
        <v>500</v>
      </c>
      <c r="AM210" s="147">
        <f t="shared" si="326"/>
        <v>101.84490944507976</v>
      </c>
      <c r="AO210" t="str">
        <f t="shared" si="327"/>
        <v/>
      </c>
      <c r="AP210" t="str">
        <f t="shared" si="328"/>
        <v/>
      </c>
      <c r="AR210" s="5">
        <f t="shared" si="343"/>
        <v>9.8188510888632443</v>
      </c>
      <c r="AS210" s="5">
        <f t="shared" si="335"/>
        <v>4.0999999999999996</v>
      </c>
      <c r="AT210" s="5">
        <f t="shared" si="336"/>
        <v>5.7188510888632447</v>
      </c>
      <c r="AU210" s="153">
        <f t="shared" si="337"/>
        <v>0.41756412872482701</v>
      </c>
      <c r="AW210" s="5">
        <f t="shared" si="275"/>
        <v>13.666666666666666</v>
      </c>
      <c r="AX210" s="5"/>
      <c r="AY210" s="5">
        <f t="shared" si="276"/>
        <v>2.5624999999999996</v>
      </c>
      <c r="AZ210" s="5"/>
      <c r="BA210" s="5">
        <f t="shared" si="277"/>
        <v>9.5409594408796199</v>
      </c>
      <c r="BB210" s="5"/>
      <c r="BC210" s="5"/>
      <c r="BD210" s="153">
        <f t="shared" si="278"/>
        <v>1.5296244641375587</v>
      </c>
      <c r="BE210" s="153">
        <f t="shared" si="279"/>
        <v>0.90326938562718084</v>
      </c>
      <c r="BF210" s="153">
        <f t="shared" si="280"/>
        <v>0.18089002598442366</v>
      </c>
      <c r="BG210" s="153"/>
      <c r="BH210" s="463">
        <f t="shared" si="281"/>
        <v>0.25737261014169249</v>
      </c>
      <c r="BI210" s="463">
        <f t="shared" si="282"/>
        <v>3.4783091922778092E-2</v>
      </c>
      <c r="BJ210" s="463">
        <f t="shared" si="283"/>
        <v>5.0922454722539881E-3</v>
      </c>
      <c r="BK210" s="463">
        <f t="shared" si="284"/>
        <v>6.3602156132943266E-3</v>
      </c>
      <c r="BL210">
        <f t="shared" si="285"/>
        <v>2.6099999999999999E-3</v>
      </c>
      <c r="BM210">
        <f t="shared" si="329"/>
        <v>4.0737963778031903E-6</v>
      </c>
      <c r="BN210">
        <f t="shared" si="351"/>
        <v>0.35796562529673376</v>
      </c>
      <c r="BO210" s="147">
        <f t="shared" si="286"/>
        <v>306.21816315001894</v>
      </c>
      <c r="BP210" s="153">
        <f t="shared" si="287"/>
        <v>0.2</v>
      </c>
      <c r="BQ210" s="153">
        <f t="shared" si="288"/>
        <v>4.0000000000000008E-2</v>
      </c>
      <c r="BR210" s="463"/>
      <c r="BT210" s="147">
        <f t="shared" si="289"/>
        <v>240.00000000000003</v>
      </c>
      <c r="BU210" s="463">
        <f t="shared" si="290"/>
        <v>0.19887883510948967</v>
      </c>
      <c r="BV210" s="463">
        <f t="shared" si="291"/>
        <v>0.15502016077214789</v>
      </c>
      <c r="BW210" s="463">
        <f t="shared" si="292"/>
        <v>1.6360600750322735E-3</v>
      </c>
      <c r="BX210" s="463">
        <f t="shared" si="293"/>
        <v>0</v>
      </c>
      <c r="BY210" s="463">
        <f t="shared" si="274"/>
        <v>0.40985673772600073</v>
      </c>
      <c r="BZ210" s="463">
        <f t="shared" si="344"/>
        <v>0.35553505595666979</v>
      </c>
      <c r="CA210" s="549">
        <f t="shared" si="331"/>
        <v>0.85600646388589541</v>
      </c>
      <c r="CB210" s="147">
        <f t="shared" si="338"/>
        <v>1976.9333135252359</v>
      </c>
      <c r="CC210" s="153">
        <f t="shared" si="345"/>
        <v>1.8638288269086298</v>
      </c>
      <c r="CD210" s="5">
        <f t="shared" si="339"/>
        <v>7.9210834953761733</v>
      </c>
      <c r="CE210" s="153">
        <f t="shared" si="340"/>
        <v>0.80952013002060086</v>
      </c>
      <c r="CF210" s="5">
        <f t="shared" si="341"/>
        <v>80.952013002060085</v>
      </c>
      <c r="CG210">
        <f t="shared" si="342"/>
        <v>100</v>
      </c>
      <c r="CI210" s="59">
        <f t="shared" si="332"/>
        <v>-50</v>
      </c>
      <c r="CJ210">
        <f t="shared" si="333"/>
        <v>-50</v>
      </c>
    </row>
    <row r="211" spans="5:88" x14ac:dyDescent="0.25">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6.3049698787423623</v>
      </c>
    </row>
    <row r="212" spans="5:88" x14ac:dyDescent="0.25">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5">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5">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3">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5">
      <c r="E216" s="150">
        <v>0.1</v>
      </c>
      <c r="F216" s="191">
        <v>1.0000000000000001E-9</v>
      </c>
      <c r="G216" s="191">
        <f t="shared" ref="G216:G247" si="353">IF(PLOT_TYPE=1, E216/100*Iout2, min_I*EXP(Q216*rr/100))</f>
        <v>1E-4</v>
      </c>
      <c r="H216" s="191">
        <f t="shared" ref="H216:H247" si="354">F216*Vout</f>
        <v>1.5000000000000002E-8</v>
      </c>
      <c r="I216" s="191">
        <f t="shared" ref="I216:I247" si="355">Vout2*G216</f>
        <v>1.6000000000000001E-3</v>
      </c>
      <c r="J216" s="472">
        <f t="shared" ref="J216:J279" si="356">VIN_max</f>
        <v>13</v>
      </c>
      <c r="K216" s="386">
        <f t="shared" ref="K216:K279" si="357">(S216+Vfwd1)*Nps</f>
        <v>7.66</v>
      </c>
      <c r="L216" s="386">
        <f t="shared" ref="L216:L279" si="358">(Vout+Vfwd1)*Nps+J216</f>
        <v>20.66</v>
      </c>
      <c r="M216" s="386"/>
      <c r="N216" s="191">
        <f t="shared" ref="N216:N279" si="359">(Vout+Vfwd1)*Nps/((Vout+Vfwd1)*Nps+J216)</f>
        <v>0.37076476282671827</v>
      </c>
      <c r="O216" s="152">
        <f t="shared" ref="O216:O247" si="360">N216*J216*Isw_max*0.5*Efficiency*Pout/(Pout+Pout2)</f>
        <v>7.3292248651638783</v>
      </c>
      <c r="P216" s="152">
        <f t="shared" ref="P216:P247" si="361">N216*J216*Isw_max*0.5*Efficiency*(Pout2/Pout_total)</f>
        <v>1.8971291384317523</v>
      </c>
      <c r="Q216" s="191">
        <f t="shared" ref="Q216:Q279" si="362">O216/Vout</f>
        <v>0.4886149910109252</v>
      </c>
      <c r="R216" s="191">
        <f t="shared" ref="R216:R247" si="363">O216/Vout2</f>
        <v>0.45807655407274239</v>
      </c>
      <c r="S216" s="191">
        <f t="shared" ref="S216:S247" si="364">MIN(Vout,O216/F216)</f>
        <v>15</v>
      </c>
      <c r="T216" s="191">
        <f t="shared" ref="T216:T247" si="365">MIN(2*(Vout*F216+Vout2*G216)/(Efficiency*J216*N216), Isw_max)</f>
        <v>7.3768293276204493E-4</v>
      </c>
      <c r="U216" s="191">
        <f t="shared" ref="U216:U279" si="366">L*T216/J216*1000000</f>
        <v>5.1070356883526182E-4</v>
      </c>
      <c r="V216" s="191">
        <f t="shared" ref="V216:V279" si="367">L*T216/K216*1000000</f>
        <v>8.667292943679379E-4</v>
      </c>
      <c r="W216" s="175">
        <f t="shared" ref="W216:W279" si="368">IF(1/((350000*L)*(1/J216+1/K216))&gt;Isw_min, 350, 0.001/((Isw_min*L)*(1/J216+1/K216)))</f>
        <v>350</v>
      </c>
      <c r="X216" s="386">
        <f t="shared" ref="X216:X279" si="369">MIN(1/(U216+V216)*1000, 350)</f>
        <v>350</v>
      </c>
      <c r="Z216" s="191">
        <f t="shared" ref="Z216:Z279" si="370">1/((W216*1000*L)*(1/J216+1/K216))</f>
        <v>1.530140291030901</v>
      </c>
      <c r="AA216" s="153">
        <f t="shared" ref="AA216:AA279" si="371">L*Z216/K216*1000000</f>
        <v>1.7978149633522336</v>
      </c>
      <c r="AB216" s="153">
        <f t="shared" ref="AB216:AB247" si="372">0.5*AA216*Z216*Nps*W216/1000*(Pout/(Pout+Pout2))</f>
        <v>0.19838286859929052</v>
      </c>
      <c r="AC216" s="153"/>
      <c r="AD216" s="153">
        <f t="shared" ref="AD216:AD279" si="373">L*Isw_min/K216*1000000</f>
        <v>0.96344647519582249</v>
      </c>
      <c r="AE216" s="317">
        <f t="shared" ref="AE216:AE247" si="374">MAX(10, F216/(0.5*AD216/1000000*Isw_min*Nps)/1000*Pout_total/Pout)</f>
        <v>10</v>
      </c>
      <c r="AF216" s="463">
        <f t="shared" ref="AF216:AF247" si="375">0.5*AD216/1000000*Isw_min*Nps*W216*1000*(Pout/Pout_total)</f>
        <v>6.9127284595300251E-2</v>
      </c>
      <c r="AH216" s="153">
        <f t="shared" ref="AH216:AH247" si="376">SQRT((H216+I216)/(0.5*L*Fsw_DCM))</f>
        <v>3.1872912318809836E-2</v>
      </c>
      <c r="AI216" s="153">
        <f t="shared" ref="AI216:AI247" si="377">MAX(IF(F216&gt;AB216,T216,AH216),Isw_min)</f>
        <v>0.82</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0.56769230769230772</v>
      </c>
      <c r="AT216" s="5">
        <f t="shared" si="336"/>
        <v>99.432307692307688</v>
      </c>
      <c r="AU216" s="153">
        <f t="shared" si="337"/>
        <v>5.6769230769230768E-3</v>
      </c>
      <c r="CI216" s="59">
        <f t="shared" ref="CI216:CI247" si="383">IF(ABS(F216-Ioutmax_Vinmax)&lt;Iout/200, AM216, -50)</f>
        <v>-50</v>
      </c>
    </row>
    <row r="217" spans="5:88" x14ac:dyDescent="0.25">
      <c r="E217" s="150">
        <v>1</v>
      </c>
      <c r="F217" s="191">
        <f t="shared" ref="F217:F248" si="384">IF(PLOT_TYPE=1, E217/100*Iout_max, min_I*EXP(O217*rr/100))</f>
        <v>5.0000000000000001E-3</v>
      </c>
      <c r="G217" s="191">
        <f t="shared" si="353"/>
        <v>1E-3</v>
      </c>
      <c r="H217" s="191">
        <f t="shared" si="354"/>
        <v>7.4999999999999997E-2</v>
      </c>
      <c r="I217" s="191">
        <f t="shared" si="355"/>
        <v>1.6E-2</v>
      </c>
      <c r="J217" s="472">
        <f t="shared" si="356"/>
        <v>13</v>
      </c>
      <c r="K217" s="386">
        <f t="shared" si="357"/>
        <v>7.66</v>
      </c>
      <c r="L217" s="386">
        <f t="shared" si="358"/>
        <v>20.66</v>
      </c>
      <c r="M217" s="386"/>
      <c r="N217" s="191">
        <f t="shared" si="359"/>
        <v>0.37076476282671827</v>
      </c>
      <c r="O217" s="152">
        <f t="shared" si="360"/>
        <v>7.3292248651638783</v>
      </c>
      <c r="P217" s="152">
        <f t="shared" si="361"/>
        <v>1.8971291384317523</v>
      </c>
      <c r="Q217" s="191">
        <f t="shared" si="362"/>
        <v>0.4886149910109252</v>
      </c>
      <c r="R217" s="191">
        <f t="shared" si="363"/>
        <v>0.45807655407274239</v>
      </c>
      <c r="S217" s="191">
        <f t="shared" si="364"/>
        <v>15</v>
      </c>
      <c r="T217" s="191">
        <f t="shared" si="365"/>
        <v>4.1955323469683781E-2</v>
      </c>
      <c r="U217" s="191">
        <f t="shared" si="366"/>
        <v>2.9045993171319541E-2</v>
      </c>
      <c r="V217" s="191">
        <f t="shared" si="367"/>
        <v>4.9294766478740738E-2</v>
      </c>
      <c r="W217" s="175">
        <f t="shared" si="368"/>
        <v>350</v>
      </c>
      <c r="X217" s="386">
        <f t="shared" si="369"/>
        <v>350</v>
      </c>
      <c r="Z217" s="191">
        <f t="shared" si="370"/>
        <v>1.530140291030901</v>
      </c>
      <c r="AA217" s="153">
        <f t="shared" si="371"/>
        <v>1.7978149633522336</v>
      </c>
      <c r="AB217" s="153">
        <f t="shared" si="372"/>
        <v>0.19838286859929052</v>
      </c>
      <c r="AC217" s="153"/>
      <c r="AD217" s="153">
        <f t="shared" si="373"/>
        <v>0.96344647519582249</v>
      </c>
      <c r="AE217" s="317">
        <f t="shared" si="374"/>
        <v>25.315619009848636</v>
      </c>
      <c r="AF217" s="463">
        <f t="shared" si="375"/>
        <v>6.9127284595300251E-2</v>
      </c>
      <c r="AH217" s="153">
        <f t="shared" si="376"/>
        <v>0.2403700850309326</v>
      </c>
      <c r="AI217" s="153">
        <f t="shared" si="377"/>
        <v>0.82</v>
      </c>
      <c r="AJ217" s="153">
        <f t="shared" si="378"/>
        <v>1.0144660680056279</v>
      </c>
      <c r="AL217" s="317">
        <f t="shared" si="379"/>
        <v>5</v>
      </c>
      <c r="AM217" s="147">
        <f t="shared" si="380"/>
        <v>25.315619009848636</v>
      </c>
      <c r="AO217">
        <f t="shared" si="381"/>
        <v>5</v>
      </c>
      <c r="AP217">
        <f t="shared" si="382"/>
        <v>25.315619009848636</v>
      </c>
      <c r="AR217" s="5">
        <f t="shared" si="343"/>
        <v>39.501305483028723</v>
      </c>
      <c r="AS217" s="5">
        <f t="shared" si="335"/>
        <v>0.56769230769230772</v>
      </c>
      <c r="AT217" s="5">
        <f t="shared" si="336"/>
        <v>38.933613175336419</v>
      </c>
      <c r="AU217" s="153">
        <f t="shared" si="337"/>
        <v>1.4371482176360225E-2</v>
      </c>
      <c r="CI217" s="59">
        <f t="shared" si="383"/>
        <v>-50</v>
      </c>
    </row>
    <row r="218" spans="5:88" x14ac:dyDescent="0.25">
      <c r="E218" s="150">
        <v>2</v>
      </c>
      <c r="F218" s="191">
        <f t="shared" si="384"/>
        <v>0.01</v>
      </c>
      <c r="G218" s="191">
        <f t="shared" si="353"/>
        <v>2E-3</v>
      </c>
      <c r="H218" s="191">
        <f t="shared" si="354"/>
        <v>0.15</v>
      </c>
      <c r="I218" s="191">
        <f t="shared" si="355"/>
        <v>3.2000000000000001E-2</v>
      </c>
      <c r="J218" s="472">
        <f t="shared" si="356"/>
        <v>13</v>
      </c>
      <c r="K218" s="386">
        <f t="shared" si="357"/>
        <v>7.66</v>
      </c>
      <c r="L218" s="386">
        <f t="shared" si="358"/>
        <v>20.66</v>
      </c>
      <c r="M218" s="386"/>
      <c r="N218" s="191">
        <f t="shared" si="359"/>
        <v>0.37076476282671827</v>
      </c>
      <c r="O218" s="152">
        <f t="shared" si="360"/>
        <v>7.3292248651638783</v>
      </c>
      <c r="P218" s="152">
        <f t="shared" si="361"/>
        <v>1.8971291384317523</v>
      </c>
      <c r="Q218" s="191">
        <f t="shared" si="362"/>
        <v>0.4886149910109252</v>
      </c>
      <c r="R218" s="191">
        <f t="shared" si="363"/>
        <v>0.45807655407274239</v>
      </c>
      <c r="S218" s="191">
        <f t="shared" si="364"/>
        <v>15</v>
      </c>
      <c r="T218" s="191">
        <f t="shared" si="365"/>
        <v>8.3910646939367561E-2</v>
      </c>
      <c r="U218" s="191">
        <f t="shared" si="366"/>
        <v>5.8091986342639082E-2</v>
      </c>
      <c r="V218" s="191">
        <f t="shared" si="367"/>
        <v>9.8589532957481477E-2</v>
      </c>
      <c r="W218" s="175">
        <f t="shared" si="368"/>
        <v>350</v>
      </c>
      <c r="X218" s="386">
        <f t="shared" si="369"/>
        <v>350</v>
      </c>
      <c r="Z218" s="191">
        <f t="shared" si="370"/>
        <v>1.530140291030901</v>
      </c>
      <c r="AA218" s="153">
        <f t="shared" si="371"/>
        <v>1.7978149633522336</v>
      </c>
      <c r="AB218" s="153">
        <f t="shared" si="372"/>
        <v>0.19838286859929052</v>
      </c>
      <c r="AC218" s="153"/>
      <c r="AD218" s="153">
        <f t="shared" si="373"/>
        <v>0.96344647519582249</v>
      </c>
      <c r="AE218" s="317">
        <f t="shared" si="374"/>
        <v>50.631238019697271</v>
      </c>
      <c r="AF218" s="463">
        <f t="shared" si="375"/>
        <v>6.9127284595300251E-2</v>
      </c>
      <c r="AH218" s="153">
        <f t="shared" si="376"/>
        <v>0.33993463423951897</v>
      </c>
      <c r="AI218" s="153">
        <f t="shared" si="377"/>
        <v>0.82</v>
      </c>
      <c r="AJ218" s="153">
        <f t="shared" si="378"/>
        <v>1.0289321360112555</v>
      </c>
      <c r="AL218" s="317">
        <f t="shared" si="379"/>
        <v>10</v>
      </c>
      <c r="AM218" s="147">
        <f t="shared" si="380"/>
        <v>50.631238019697271</v>
      </c>
      <c r="AO218">
        <f t="shared" si="381"/>
        <v>10</v>
      </c>
      <c r="AP218">
        <f t="shared" si="382"/>
        <v>50.631238019697271</v>
      </c>
      <c r="AR218" s="5">
        <f t="shared" si="343"/>
        <v>19.750652741514362</v>
      </c>
      <c r="AS218" s="5">
        <f t="shared" si="335"/>
        <v>0.56769230769230772</v>
      </c>
      <c r="AT218" s="5">
        <f t="shared" si="336"/>
        <v>19.182960433822053</v>
      </c>
      <c r="AU218" s="153">
        <f t="shared" si="337"/>
        <v>2.8742964352720449E-2</v>
      </c>
      <c r="CI218" s="59">
        <f t="shared" si="383"/>
        <v>-50</v>
      </c>
    </row>
    <row r="219" spans="5:88" x14ac:dyDescent="0.25">
      <c r="E219" s="150">
        <v>3</v>
      </c>
      <c r="F219" s="191">
        <f t="shared" si="384"/>
        <v>1.4999999999999999E-2</v>
      </c>
      <c r="G219" s="191">
        <f t="shared" si="353"/>
        <v>3.0000000000000001E-3</v>
      </c>
      <c r="H219" s="191">
        <f t="shared" si="354"/>
        <v>0.22499999999999998</v>
      </c>
      <c r="I219" s="191">
        <f t="shared" si="355"/>
        <v>4.8000000000000001E-2</v>
      </c>
      <c r="J219" s="472">
        <f t="shared" si="356"/>
        <v>13</v>
      </c>
      <c r="K219" s="386">
        <f t="shared" si="357"/>
        <v>7.66</v>
      </c>
      <c r="L219" s="386">
        <f t="shared" si="358"/>
        <v>20.66</v>
      </c>
      <c r="M219" s="386"/>
      <c r="N219" s="191">
        <f t="shared" si="359"/>
        <v>0.37076476282671827</v>
      </c>
      <c r="O219" s="152">
        <f t="shared" si="360"/>
        <v>7.3292248651638783</v>
      </c>
      <c r="P219" s="152">
        <f t="shared" si="361"/>
        <v>1.8971291384317523</v>
      </c>
      <c r="Q219" s="191">
        <f t="shared" si="362"/>
        <v>0.4886149910109252</v>
      </c>
      <c r="R219" s="191">
        <f t="shared" si="363"/>
        <v>0.45807655407274239</v>
      </c>
      <c r="S219" s="191">
        <f t="shared" si="364"/>
        <v>15</v>
      </c>
      <c r="T219" s="191">
        <f t="shared" si="365"/>
        <v>0.12586597040905131</v>
      </c>
      <c r="U219" s="191">
        <f t="shared" si="366"/>
        <v>8.7137979513958616E-2</v>
      </c>
      <c r="V219" s="191">
        <f t="shared" si="367"/>
        <v>0.14788429943622219</v>
      </c>
      <c r="W219" s="175">
        <f t="shared" si="368"/>
        <v>350</v>
      </c>
      <c r="X219" s="386">
        <f t="shared" si="369"/>
        <v>350</v>
      </c>
      <c r="Z219" s="191">
        <f t="shared" si="370"/>
        <v>1.530140291030901</v>
      </c>
      <c r="AA219" s="153">
        <f t="shared" si="371"/>
        <v>1.7978149633522336</v>
      </c>
      <c r="AB219" s="153">
        <f t="shared" si="372"/>
        <v>0.19838286859929052</v>
      </c>
      <c r="AC219" s="153"/>
      <c r="AD219" s="153">
        <f t="shared" si="373"/>
        <v>0.96344647519582249</v>
      </c>
      <c r="AE219" s="317">
        <f t="shared" si="374"/>
        <v>75.94685702954591</v>
      </c>
      <c r="AF219" s="463">
        <f t="shared" si="375"/>
        <v>6.9127284595300251E-2</v>
      </c>
      <c r="AH219" s="153">
        <f t="shared" si="376"/>
        <v>0.41633319989322654</v>
      </c>
      <c r="AI219" s="153">
        <f t="shared" si="377"/>
        <v>0.82</v>
      </c>
      <c r="AJ219" s="153">
        <f t="shared" si="378"/>
        <v>1.0433982040168834</v>
      </c>
      <c r="AL219" s="317">
        <f t="shared" si="379"/>
        <v>15</v>
      </c>
      <c r="AM219" s="147">
        <f t="shared" si="380"/>
        <v>75.94685702954591</v>
      </c>
      <c r="AO219">
        <f t="shared" si="381"/>
        <v>15</v>
      </c>
      <c r="AP219">
        <f t="shared" si="382"/>
        <v>75.94685702954591</v>
      </c>
      <c r="AR219" s="5">
        <f t="shared" si="343"/>
        <v>13.167101827676239</v>
      </c>
      <c r="AS219" s="5">
        <f t="shared" si="335"/>
        <v>0.56769230769230772</v>
      </c>
      <c r="AT219" s="5">
        <f t="shared" si="336"/>
        <v>12.599409519983931</v>
      </c>
      <c r="AU219" s="153">
        <f t="shared" si="337"/>
        <v>4.3114446529080683E-2</v>
      </c>
      <c r="CI219" s="59">
        <f t="shared" si="383"/>
        <v>-50</v>
      </c>
    </row>
    <row r="220" spans="5:88" x14ac:dyDescent="0.25">
      <c r="E220" s="150">
        <v>4</v>
      </c>
      <c r="F220" s="191">
        <f t="shared" si="384"/>
        <v>0.02</v>
      </c>
      <c r="G220" s="191">
        <f t="shared" si="353"/>
        <v>4.0000000000000001E-3</v>
      </c>
      <c r="H220" s="191">
        <f t="shared" si="354"/>
        <v>0.3</v>
      </c>
      <c r="I220" s="191">
        <f t="shared" si="355"/>
        <v>6.4000000000000001E-2</v>
      </c>
      <c r="J220" s="472">
        <f t="shared" si="356"/>
        <v>13</v>
      </c>
      <c r="K220" s="386">
        <f t="shared" si="357"/>
        <v>7.66</v>
      </c>
      <c r="L220" s="386">
        <f t="shared" si="358"/>
        <v>20.66</v>
      </c>
      <c r="M220" s="386"/>
      <c r="N220" s="191">
        <f t="shared" si="359"/>
        <v>0.37076476282671827</v>
      </c>
      <c r="O220" s="152">
        <f t="shared" si="360"/>
        <v>7.3292248651638783</v>
      </c>
      <c r="P220" s="152">
        <f t="shared" si="361"/>
        <v>1.8971291384317523</v>
      </c>
      <c r="Q220" s="191">
        <f t="shared" si="362"/>
        <v>0.4886149910109252</v>
      </c>
      <c r="R220" s="191">
        <f t="shared" si="363"/>
        <v>0.45807655407274239</v>
      </c>
      <c r="S220" s="191">
        <f t="shared" si="364"/>
        <v>15</v>
      </c>
      <c r="T220" s="191">
        <f t="shared" si="365"/>
        <v>0.16782129387873512</v>
      </c>
      <c r="U220" s="191">
        <f t="shared" si="366"/>
        <v>0.11618397268527816</v>
      </c>
      <c r="V220" s="191">
        <f t="shared" si="367"/>
        <v>0.19717906591496295</v>
      </c>
      <c r="W220" s="175">
        <f t="shared" si="368"/>
        <v>350</v>
      </c>
      <c r="X220" s="386">
        <f t="shared" si="369"/>
        <v>350</v>
      </c>
      <c r="Z220" s="191">
        <f t="shared" si="370"/>
        <v>1.530140291030901</v>
      </c>
      <c r="AA220" s="153">
        <f t="shared" si="371"/>
        <v>1.7978149633522336</v>
      </c>
      <c r="AB220" s="153">
        <f t="shared" si="372"/>
        <v>0.19838286859929052</v>
      </c>
      <c r="AC220" s="153"/>
      <c r="AD220" s="153">
        <f t="shared" si="373"/>
        <v>0.96344647519582249</v>
      </c>
      <c r="AE220" s="317">
        <f t="shared" si="374"/>
        <v>101.26247603939454</v>
      </c>
      <c r="AF220" s="463">
        <f t="shared" si="375"/>
        <v>6.9127284595300251E-2</v>
      </c>
      <c r="AH220" s="153">
        <f t="shared" si="376"/>
        <v>0.4807401700618652</v>
      </c>
      <c r="AI220" s="153">
        <f t="shared" si="377"/>
        <v>0.82</v>
      </c>
      <c r="AJ220" s="153">
        <f t="shared" si="378"/>
        <v>1.0578642720225111</v>
      </c>
      <c r="AL220" s="317">
        <f t="shared" si="379"/>
        <v>20</v>
      </c>
      <c r="AM220" s="147">
        <f t="shared" si="380"/>
        <v>101.26247603939454</v>
      </c>
      <c r="AO220">
        <f t="shared" si="381"/>
        <v>20</v>
      </c>
      <c r="AP220">
        <f t="shared" si="382"/>
        <v>101.26247603939454</v>
      </c>
      <c r="AR220" s="5">
        <f t="shared" si="343"/>
        <v>9.8753263707571808</v>
      </c>
      <c r="AS220" s="5">
        <f t="shared" si="335"/>
        <v>0.56769230769230772</v>
      </c>
      <c r="AT220" s="5">
        <f t="shared" si="336"/>
        <v>9.3076340630648726</v>
      </c>
      <c r="AU220" s="153">
        <f t="shared" si="337"/>
        <v>5.7485928705440899E-2</v>
      </c>
      <c r="CI220" s="59">
        <f t="shared" si="383"/>
        <v>-50</v>
      </c>
    </row>
    <row r="221" spans="5:88" x14ac:dyDescent="0.25">
      <c r="E221" s="150">
        <v>5</v>
      </c>
      <c r="F221" s="191">
        <f t="shared" si="384"/>
        <v>2.5000000000000001E-2</v>
      </c>
      <c r="G221" s="191">
        <f t="shared" si="353"/>
        <v>5.000000000000001E-3</v>
      </c>
      <c r="H221" s="191">
        <f t="shared" si="354"/>
        <v>0.375</v>
      </c>
      <c r="I221" s="191">
        <f t="shared" si="355"/>
        <v>8.0000000000000016E-2</v>
      </c>
      <c r="J221" s="472">
        <f t="shared" si="356"/>
        <v>13</v>
      </c>
      <c r="K221" s="386">
        <f t="shared" si="357"/>
        <v>7.66</v>
      </c>
      <c r="L221" s="386">
        <f t="shared" si="358"/>
        <v>20.66</v>
      </c>
      <c r="M221" s="386"/>
      <c r="N221" s="191">
        <f t="shared" si="359"/>
        <v>0.37076476282671827</v>
      </c>
      <c r="O221" s="152">
        <f t="shared" si="360"/>
        <v>7.3292248651638783</v>
      </c>
      <c r="P221" s="152">
        <f t="shared" si="361"/>
        <v>1.8971291384317523</v>
      </c>
      <c r="Q221" s="191">
        <f t="shared" si="362"/>
        <v>0.4886149910109252</v>
      </c>
      <c r="R221" s="191">
        <f t="shared" si="363"/>
        <v>0.45807655407274239</v>
      </c>
      <c r="S221" s="191">
        <f t="shared" si="364"/>
        <v>15</v>
      </c>
      <c r="T221" s="191">
        <f t="shared" si="365"/>
        <v>0.2097766173484189</v>
      </c>
      <c r="U221" s="191">
        <f t="shared" si="366"/>
        <v>0.14522996585659773</v>
      </c>
      <c r="V221" s="191">
        <f t="shared" si="367"/>
        <v>0.24647383239370371</v>
      </c>
      <c r="W221" s="175">
        <f t="shared" si="368"/>
        <v>350</v>
      </c>
      <c r="X221" s="386">
        <f t="shared" si="369"/>
        <v>350</v>
      </c>
      <c r="Z221" s="191">
        <f t="shared" si="370"/>
        <v>1.530140291030901</v>
      </c>
      <c r="AA221" s="153">
        <f t="shared" si="371"/>
        <v>1.7978149633522336</v>
      </c>
      <c r="AB221" s="153">
        <f t="shared" si="372"/>
        <v>0.19838286859929052</v>
      </c>
      <c r="AC221" s="153"/>
      <c r="AD221" s="153">
        <f t="shared" si="373"/>
        <v>0.96344647519582249</v>
      </c>
      <c r="AE221" s="317">
        <f t="shared" si="374"/>
        <v>126.5780950492432</v>
      </c>
      <c r="AF221" s="463">
        <f t="shared" si="375"/>
        <v>6.9127284595300251E-2</v>
      </c>
      <c r="AH221" s="153">
        <f t="shared" si="376"/>
        <v>0.53748384988657005</v>
      </c>
      <c r="AI221" s="153">
        <f t="shared" si="377"/>
        <v>0.82</v>
      </c>
      <c r="AJ221" s="153">
        <f t="shared" si="378"/>
        <v>1.072330340028139</v>
      </c>
      <c r="AL221" s="317">
        <f t="shared" si="379"/>
        <v>25</v>
      </c>
      <c r="AM221" s="147">
        <f t="shared" si="380"/>
        <v>126.5780950492432</v>
      </c>
      <c r="AO221">
        <f t="shared" si="381"/>
        <v>25</v>
      </c>
      <c r="AP221">
        <f t="shared" si="382"/>
        <v>126.5780950492432</v>
      </c>
      <c r="AR221" s="5">
        <f t="shared" si="343"/>
        <v>7.9002610966057425</v>
      </c>
      <c r="AS221" s="5">
        <f t="shared" si="335"/>
        <v>0.56769230769230772</v>
      </c>
      <c r="AT221" s="5">
        <f t="shared" si="336"/>
        <v>7.3325687889134343</v>
      </c>
      <c r="AU221" s="153">
        <f t="shared" si="337"/>
        <v>7.1857410881801143E-2</v>
      </c>
      <c r="CI221" s="59">
        <f t="shared" si="383"/>
        <v>-50</v>
      </c>
    </row>
    <row r="222" spans="5:88" x14ac:dyDescent="0.25">
      <c r="E222" s="150">
        <v>6</v>
      </c>
      <c r="F222" s="191">
        <f t="shared" si="384"/>
        <v>0.03</v>
      </c>
      <c r="G222" s="191">
        <f t="shared" si="353"/>
        <v>6.0000000000000001E-3</v>
      </c>
      <c r="H222" s="191">
        <f t="shared" si="354"/>
        <v>0.44999999999999996</v>
      </c>
      <c r="I222" s="191">
        <f t="shared" si="355"/>
        <v>9.6000000000000002E-2</v>
      </c>
      <c r="J222" s="472">
        <f t="shared" si="356"/>
        <v>13</v>
      </c>
      <c r="K222" s="386">
        <f t="shared" si="357"/>
        <v>7.66</v>
      </c>
      <c r="L222" s="386">
        <f t="shared" si="358"/>
        <v>20.66</v>
      </c>
      <c r="M222" s="386"/>
      <c r="N222" s="191">
        <f t="shared" si="359"/>
        <v>0.37076476282671827</v>
      </c>
      <c r="O222" s="152">
        <f t="shared" si="360"/>
        <v>7.3292248651638783</v>
      </c>
      <c r="P222" s="152">
        <f t="shared" si="361"/>
        <v>1.8971291384317523</v>
      </c>
      <c r="Q222" s="191">
        <f t="shared" si="362"/>
        <v>0.4886149910109252</v>
      </c>
      <c r="R222" s="191">
        <f t="shared" si="363"/>
        <v>0.45807655407274239</v>
      </c>
      <c r="S222" s="191">
        <f t="shared" si="364"/>
        <v>15</v>
      </c>
      <c r="T222" s="191">
        <f t="shared" si="365"/>
        <v>0.25173194081810263</v>
      </c>
      <c r="U222" s="191">
        <f t="shared" si="366"/>
        <v>0.17427595902791723</v>
      </c>
      <c r="V222" s="191">
        <f t="shared" si="367"/>
        <v>0.29576859887244439</v>
      </c>
      <c r="W222" s="175">
        <f t="shared" si="368"/>
        <v>350</v>
      </c>
      <c r="X222" s="386">
        <f t="shared" si="369"/>
        <v>350</v>
      </c>
      <c r="Z222" s="191">
        <f t="shared" si="370"/>
        <v>1.530140291030901</v>
      </c>
      <c r="AA222" s="153">
        <f t="shared" si="371"/>
        <v>1.7978149633522336</v>
      </c>
      <c r="AB222" s="153">
        <f t="shared" si="372"/>
        <v>0.19838286859929052</v>
      </c>
      <c r="AC222" s="153"/>
      <c r="AD222" s="153">
        <f t="shared" si="373"/>
        <v>0.96344647519582249</v>
      </c>
      <c r="AE222" s="317">
        <f t="shared" si="374"/>
        <v>151.89371405909182</v>
      </c>
      <c r="AF222" s="463">
        <f t="shared" si="375"/>
        <v>6.9127284595300251E-2</v>
      </c>
      <c r="AH222" s="153">
        <f t="shared" si="376"/>
        <v>0.58878405775518972</v>
      </c>
      <c r="AI222" s="153">
        <f t="shared" si="377"/>
        <v>0.82</v>
      </c>
      <c r="AJ222" s="153">
        <f t="shared" si="378"/>
        <v>1.0867964080337669</v>
      </c>
      <c r="AL222" s="317">
        <f t="shared" si="379"/>
        <v>30</v>
      </c>
      <c r="AM222" s="147">
        <f t="shared" si="380"/>
        <v>151.89371405909182</v>
      </c>
      <c r="AO222">
        <f t="shared" si="381"/>
        <v>30</v>
      </c>
      <c r="AP222">
        <f t="shared" si="382"/>
        <v>151.89371405909182</v>
      </c>
      <c r="AR222" s="5">
        <f t="shared" si="343"/>
        <v>6.5835509138381196</v>
      </c>
      <c r="AS222" s="5">
        <f t="shared" si="335"/>
        <v>0.56769230769230772</v>
      </c>
      <c r="AT222" s="5">
        <f t="shared" si="336"/>
        <v>6.0158586061458124</v>
      </c>
      <c r="AU222" s="153">
        <f t="shared" si="337"/>
        <v>8.6228893058161366E-2</v>
      </c>
      <c r="CI222" s="59">
        <f t="shared" si="383"/>
        <v>-50</v>
      </c>
    </row>
    <row r="223" spans="5:88" x14ac:dyDescent="0.25">
      <c r="E223" s="150">
        <v>7</v>
      </c>
      <c r="F223" s="191">
        <f t="shared" si="384"/>
        <v>3.5000000000000003E-2</v>
      </c>
      <c r="G223" s="191">
        <f t="shared" si="353"/>
        <v>7.000000000000001E-3</v>
      </c>
      <c r="H223" s="191">
        <f t="shared" si="354"/>
        <v>0.52500000000000002</v>
      </c>
      <c r="I223" s="191">
        <f t="shared" si="355"/>
        <v>0.11200000000000002</v>
      </c>
      <c r="J223" s="472">
        <f t="shared" si="356"/>
        <v>13</v>
      </c>
      <c r="K223" s="386">
        <f t="shared" si="357"/>
        <v>7.66</v>
      </c>
      <c r="L223" s="386">
        <f t="shared" si="358"/>
        <v>20.66</v>
      </c>
      <c r="M223" s="386"/>
      <c r="N223" s="191">
        <f t="shared" si="359"/>
        <v>0.37076476282671827</v>
      </c>
      <c r="O223" s="152">
        <f t="shared" si="360"/>
        <v>7.3292248651638783</v>
      </c>
      <c r="P223" s="152">
        <f t="shared" si="361"/>
        <v>1.8971291384317523</v>
      </c>
      <c r="Q223" s="191">
        <f t="shared" si="362"/>
        <v>0.4886149910109252</v>
      </c>
      <c r="R223" s="191">
        <f t="shared" si="363"/>
        <v>0.45807655407274239</v>
      </c>
      <c r="S223" s="191">
        <f t="shared" si="364"/>
        <v>15</v>
      </c>
      <c r="T223" s="191">
        <f t="shared" si="365"/>
        <v>0.29368726428778646</v>
      </c>
      <c r="U223" s="191">
        <f t="shared" si="366"/>
        <v>0.20332195219923679</v>
      </c>
      <c r="V223" s="191">
        <f t="shared" si="367"/>
        <v>0.3450633653511852</v>
      </c>
      <c r="W223" s="175">
        <f t="shared" si="368"/>
        <v>350</v>
      </c>
      <c r="X223" s="386">
        <f t="shared" si="369"/>
        <v>350</v>
      </c>
      <c r="Z223" s="191">
        <f t="shared" si="370"/>
        <v>1.530140291030901</v>
      </c>
      <c r="AA223" s="153">
        <f t="shared" si="371"/>
        <v>1.7978149633522336</v>
      </c>
      <c r="AB223" s="153">
        <f t="shared" si="372"/>
        <v>0.19838286859929052</v>
      </c>
      <c r="AC223" s="153"/>
      <c r="AD223" s="153">
        <f t="shared" si="373"/>
        <v>0.96344647519582249</v>
      </c>
      <c r="AE223" s="317">
        <f t="shared" si="374"/>
        <v>177.20933306894048</v>
      </c>
      <c r="AF223" s="463">
        <f t="shared" si="375"/>
        <v>6.9127284595300251E-2</v>
      </c>
      <c r="AH223" s="153">
        <f t="shared" si="376"/>
        <v>0.63595946761129707</v>
      </c>
      <c r="AI223" s="153">
        <f t="shared" si="377"/>
        <v>0.82</v>
      </c>
      <c r="AJ223" s="153">
        <f t="shared" si="378"/>
        <v>1.1012624760393945</v>
      </c>
      <c r="AL223" s="317">
        <f t="shared" si="379"/>
        <v>35</v>
      </c>
      <c r="AM223" s="147">
        <f t="shared" si="380"/>
        <v>177.20933306894048</v>
      </c>
      <c r="AO223">
        <f t="shared" si="381"/>
        <v>35</v>
      </c>
      <c r="AP223">
        <f t="shared" si="382"/>
        <v>177.20933306894048</v>
      </c>
      <c r="AR223" s="5">
        <f t="shared" si="343"/>
        <v>5.6430436404326736</v>
      </c>
      <c r="AS223" s="5">
        <f t="shared" si="335"/>
        <v>0.56769230769230772</v>
      </c>
      <c r="AT223" s="5">
        <f t="shared" si="336"/>
        <v>5.0753513327403663</v>
      </c>
      <c r="AU223" s="153">
        <f t="shared" si="337"/>
        <v>0.10060037523452159</v>
      </c>
      <c r="CI223" s="59">
        <f t="shared" si="383"/>
        <v>-50</v>
      </c>
    </row>
    <row r="224" spans="5:88" x14ac:dyDescent="0.25">
      <c r="E224" s="150">
        <v>8</v>
      </c>
      <c r="F224" s="191">
        <f t="shared" si="384"/>
        <v>0.04</v>
      </c>
      <c r="G224" s="191">
        <f t="shared" si="353"/>
        <v>8.0000000000000002E-3</v>
      </c>
      <c r="H224" s="191">
        <f t="shared" si="354"/>
        <v>0.6</v>
      </c>
      <c r="I224" s="191">
        <f t="shared" si="355"/>
        <v>0.128</v>
      </c>
      <c r="J224" s="472">
        <f t="shared" si="356"/>
        <v>13</v>
      </c>
      <c r="K224" s="386">
        <f t="shared" si="357"/>
        <v>7.66</v>
      </c>
      <c r="L224" s="386">
        <f t="shared" si="358"/>
        <v>20.66</v>
      </c>
      <c r="M224" s="386"/>
      <c r="N224" s="191">
        <f t="shared" si="359"/>
        <v>0.37076476282671827</v>
      </c>
      <c r="O224" s="152">
        <f t="shared" si="360"/>
        <v>7.3292248651638783</v>
      </c>
      <c r="P224" s="152">
        <f t="shared" si="361"/>
        <v>1.8971291384317523</v>
      </c>
      <c r="Q224" s="191">
        <f t="shared" si="362"/>
        <v>0.4886149910109252</v>
      </c>
      <c r="R224" s="191">
        <f t="shared" si="363"/>
        <v>0.45807655407274239</v>
      </c>
      <c r="S224" s="191">
        <f t="shared" si="364"/>
        <v>15</v>
      </c>
      <c r="T224" s="191">
        <f t="shared" si="365"/>
        <v>0.33564258775747025</v>
      </c>
      <c r="U224" s="191">
        <f t="shared" si="366"/>
        <v>0.23236794537055633</v>
      </c>
      <c r="V224" s="191">
        <f t="shared" si="367"/>
        <v>0.39435813182992591</v>
      </c>
      <c r="W224" s="175">
        <f t="shared" si="368"/>
        <v>350</v>
      </c>
      <c r="X224" s="386">
        <f t="shared" si="369"/>
        <v>350</v>
      </c>
      <c r="Z224" s="191">
        <f t="shared" si="370"/>
        <v>1.530140291030901</v>
      </c>
      <c r="AA224" s="153">
        <f t="shared" si="371"/>
        <v>1.7978149633522336</v>
      </c>
      <c r="AB224" s="153">
        <f t="shared" si="372"/>
        <v>0.19838286859929052</v>
      </c>
      <c r="AC224" s="153"/>
      <c r="AD224" s="153">
        <f t="shared" si="373"/>
        <v>0.96344647519582249</v>
      </c>
      <c r="AE224" s="317">
        <f t="shared" si="374"/>
        <v>202.52495207878908</v>
      </c>
      <c r="AF224" s="463">
        <f t="shared" si="375"/>
        <v>6.9127284595300251E-2</v>
      </c>
      <c r="AH224" s="153">
        <f t="shared" si="376"/>
        <v>0.67986926847903795</v>
      </c>
      <c r="AI224" s="153">
        <f t="shared" si="377"/>
        <v>0.82</v>
      </c>
      <c r="AJ224" s="153">
        <f t="shared" si="378"/>
        <v>1.1157285440450224</v>
      </c>
      <c r="AL224" s="317">
        <f t="shared" si="379"/>
        <v>40</v>
      </c>
      <c r="AM224" s="147">
        <f t="shared" si="380"/>
        <v>202.52495207878908</v>
      </c>
      <c r="AO224">
        <f t="shared" si="381"/>
        <v>40</v>
      </c>
      <c r="AP224">
        <f t="shared" si="382"/>
        <v>202.52495207878908</v>
      </c>
      <c r="AR224" s="5">
        <f t="shared" si="343"/>
        <v>4.9376631853785904</v>
      </c>
      <c r="AS224" s="5">
        <f t="shared" si="335"/>
        <v>0.56769230769230772</v>
      </c>
      <c r="AT224" s="5">
        <f t="shared" si="336"/>
        <v>4.3699708776862831</v>
      </c>
      <c r="AU224" s="153">
        <f t="shared" si="337"/>
        <v>0.1149718574108818</v>
      </c>
      <c r="CI224" s="59">
        <f t="shared" si="383"/>
        <v>-50</v>
      </c>
    </row>
    <row r="225" spans="5:87" x14ac:dyDescent="0.25">
      <c r="E225" s="150">
        <v>9</v>
      </c>
      <c r="F225" s="191">
        <f t="shared" si="384"/>
        <v>4.4999999999999998E-2</v>
      </c>
      <c r="G225" s="191">
        <f t="shared" si="353"/>
        <v>8.9999999999999993E-3</v>
      </c>
      <c r="H225" s="191">
        <f t="shared" si="354"/>
        <v>0.67499999999999993</v>
      </c>
      <c r="I225" s="191">
        <f t="shared" si="355"/>
        <v>0.14399999999999999</v>
      </c>
      <c r="J225" s="472">
        <f t="shared" si="356"/>
        <v>13</v>
      </c>
      <c r="K225" s="386">
        <f t="shared" si="357"/>
        <v>7.66</v>
      </c>
      <c r="L225" s="386">
        <f t="shared" si="358"/>
        <v>20.66</v>
      </c>
      <c r="M225" s="386"/>
      <c r="N225" s="191">
        <f t="shared" si="359"/>
        <v>0.37076476282671827</v>
      </c>
      <c r="O225" s="152">
        <f t="shared" si="360"/>
        <v>7.3292248651638783</v>
      </c>
      <c r="P225" s="152">
        <f t="shared" si="361"/>
        <v>1.8971291384317523</v>
      </c>
      <c r="Q225" s="191">
        <f t="shared" si="362"/>
        <v>0.4886149910109252</v>
      </c>
      <c r="R225" s="191">
        <f t="shared" si="363"/>
        <v>0.45807655407274239</v>
      </c>
      <c r="S225" s="191">
        <f t="shared" si="364"/>
        <v>15</v>
      </c>
      <c r="T225" s="191">
        <f t="shared" si="365"/>
        <v>0.37759791122715397</v>
      </c>
      <c r="U225" s="191">
        <f t="shared" si="366"/>
        <v>0.26141393854187583</v>
      </c>
      <c r="V225" s="191">
        <f t="shared" si="367"/>
        <v>0.44365289830866655</v>
      </c>
      <c r="W225" s="175">
        <f t="shared" si="368"/>
        <v>350</v>
      </c>
      <c r="X225" s="386">
        <f t="shared" si="369"/>
        <v>350</v>
      </c>
      <c r="Z225" s="191">
        <f t="shared" si="370"/>
        <v>1.530140291030901</v>
      </c>
      <c r="AA225" s="153">
        <f t="shared" si="371"/>
        <v>1.7978149633522336</v>
      </c>
      <c r="AB225" s="153">
        <f t="shared" si="372"/>
        <v>0.19838286859929052</v>
      </c>
      <c r="AC225" s="153"/>
      <c r="AD225" s="153">
        <f t="shared" si="373"/>
        <v>0.96344647519582249</v>
      </c>
      <c r="AE225" s="317">
        <f t="shared" si="374"/>
        <v>227.84057108863772</v>
      </c>
      <c r="AF225" s="463">
        <f t="shared" si="375"/>
        <v>6.9127284595300251E-2</v>
      </c>
      <c r="AH225" s="153">
        <f t="shared" si="376"/>
        <v>0.72111025509279791</v>
      </c>
      <c r="AI225" s="153">
        <f t="shared" si="377"/>
        <v>0.82</v>
      </c>
      <c r="AJ225" s="153">
        <f t="shared" si="378"/>
        <v>1.1301946120506501</v>
      </c>
      <c r="AL225" s="317">
        <f t="shared" si="379"/>
        <v>45</v>
      </c>
      <c r="AM225" s="147">
        <f t="shared" si="380"/>
        <v>227.84057108863772</v>
      </c>
      <c r="AO225">
        <f t="shared" si="381"/>
        <v>45</v>
      </c>
      <c r="AP225">
        <f t="shared" si="382"/>
        <v>227.84057108863772</v>
      </c>
      <c r="AR225" s="5">
        <f t="shared" si="343"/>
        <v>4.389033942558747</v>
      </c>
      <c r="AS225" s="5">
        <f t="shared" si="335"/>
        <v>0.56769230769230772</v>
      </c>
      <c r="AT225" s="5">
        <f t="shared" si="336"/>
        <v>3.8213416348664393</v>
      </c>
      <c r="AU225" s="153">
        <f t="shared" si="337"/>
        <v>0.12934333958724203</v>
      </c>
      <c r="CI225" s="59">
        <f t="shared" si="383"/>
        <v>-50</v>
      </c>
    </row>
    <row r="226" spans="5:87" x14ac:dyDescent="0.25">
      <c r="E226" s="150">
        <v>10</v>
      </c>
      <c r="F226" s="191">
        <f t="shared" si="384"/>
        <v>0.05</v>
      </c>
      <c r="G226" s="191">
        <f t="shared" si="353"/>
        <v>1.0000000000000002E-2</v>
      </c>
      <c r="H226" s="191">
        <f t="shared" si="354"/>
        <v>0.75</v>
      </c>
      <c r="I226" s="191">
        <f t="shared" si="355"/>
        <v>0.16000000000000003</v>
      </c>
      <c r="J226" s="472">
        <f t="shared" si="356"/>
        <v>13</v>
      </c>
      <c r="K226" s="386">
        <f t="shared" si="357"/>
        <v>7.66</v>
      </c>
      <c r="L226" s="386">
        <f t="shared" si="358"/>
        <v>20.66</v>
      </c>
      <c r="M226" s="386"/>
      <c r="N226" s="191">
        <f t="shared" si="359"/>
        <v>0.37076476282671827</v>
      </c>
      <c r="O226" s="152">
        <f t="shared" si="360"/>
        <v>7.3292248651638783</v>
      </c>
      <c r="P226" s="152">
        <f t="shared" si="361"/>
        <v>1.8971291384317523</v>
      </c>
      <c r="Q226" s="191">
        <f t="shared" si="362"/>
        <v>0.4886149910109252</v>
      </c>
      <c r="R226" s="191">
        <f t="shared" si="363"/>
        <v>0.45807655407274239</v>
      </c>
      <c r="S226" s="191">
        <f t="shared" si="364"/>
        <v>15</v>
      </c>
      <c r="T226" s="191">
        <f t="shared" si="365"/>
        <v>0.41955323469683781</v>
      </c>
      <c r="U226" s="191">
        <f t="shared" si="366"/>
        <v>0.29045993171319545</v>
      </c>
      <c r="V226" s="191">
        <f t="shared" si="367"/>
        <v>0.49294766478740742</v>
      </c>
      <c r="W226" s="175">
        <f t="shared" si="368"/>
        <v>350</v>
      </c>
      <c r="X226" s="386">
        <f t="shared" si="369"/>
        <v>350</v>
      </c>
      <c r="Z226" s="191">
        <f t="shared" si="370"/>
        <v>1.530140291030901</v>
      </c>
      <c r="AA226" s="153">
        <f t="shared" si="371"/>
        <v>1.7978149633522336</v>
      </c>
      <c r="AB226" s="153">
        <f t="shared" si="372"/>
        <v>0.19838286859929052</v>
      </c>
      <c r="AC226" s="153"/>
      <c r="AD226" s="153">
        <f t="shared" si="373"/>
        <v>0.96344647519582249</v>
      </c>
      <c r="AE226" s="317">
        <f t="shared" si="374"/>
        <v>253.15619009848641</v>
      </c>
      <c r="AF226" s="463">
        <f t="shared" si="375"/>
        <v>6.9127284595300251E-2</v>
      </c>
      <c r="AH226" s="153">
        <f t="shared" si="376"/>
        <v>0.76011695006609203</v>
      </c>
      <c r="AI226" s="153">
        <f t="shared" si="377"/>
        <v>0.82</v>
      </c>
      <c r="AJ226" s="153">
        <f t="shared" si="378"/>
        <v>1.144660680056278</v>
      </c>
      <c r="AL226" s="317">
        <f t="shared" si="379"/>
        <v>50</v>
      </c>
      <c r="AM226" s="147">
        <f t="shared" si="380"/>
        <v>253.15619009848641</v>
      </c>
      <c r="AO226">
        <f t="shared" si="381"/>
        <v>50</v>
      </c>
      <c r="AP226">
        <f t="shared" si="382"/>
        <v>253.15619009848641</v>
      </c>
      <c r="AR226" s="5">
        <f t="shared" si="343"/>
        <v>3.9501305483028712</v>
      </c>
      <c r="AS226" s="5">
        <f t="shared" si="335"/>
        <v>0.56769230769230772</v>
      </c>
      <c r="AT226" s="5">
        <f t="shared" si="336"/>
        <v>3.3824382406105635</v>
      </c>
      <c r="AU226" s="153">
        <f t="shared" si="337"/>
        <v>0.14371482176360229</v>
      </c>
      <c r="CI226" s="59">
        <f t="shared" si="383"/>
        <v>-50</v>
      </c>
    </row>
    <row r="227" spans="5:87" x14ac:dyDescent="0.25">
      <c r="E227" s="150">
        <v>11</v>
      </c>
      <c r="F227" s="191">
        <f t="shared" si="384"/>
        <v>5.5E-2</v>
      </c>
      <c r="G227" s="191">
        <f t="shared" si="353"/>
        <v>1.1000000000000001E-2</v>
      </c>
      <c r="H227" s="191">
        <f t="shared" si="354"/>
        <v>0.82499999999999996</v>
      </c>
      <c r="I227" s="191">
        <f t="shared" si="355"/>
        <v>0.17600000000000002</v>
      </c>
      <c r="J227" s="472">
        <f t="shared" si="356"/>
        <v>13</v>
      </c>
      <c r="K227" s="386">
        <f t="shared" si="357"/>
        <v>7.66</v>
      </c>
      <c r="L227" s="386">
        <f t="shared" si="358"/>
        <v>20.66</v>
      </c>
      <c r="M227" s="386"/>
      <c r="N227" s="191">
        <f t="shared" si="359"/>
        <v>0.37076476282671827</v>
      </c>
      <c r="O227" s="152">
        <f t="shared" si="360"/>
        <v>7.3292248651638783</v>
      </c>
      <c r="P227" s="152">
        <f t="shared" si="361"/>
        <v>1.8971291384317523</v>
      </c>
      <c r="Q227" s="191">
        <f t="shared" si="362"/>
        <v>0.4886149910109252</v>
      </c>
      <c r="R227" s="191">
        <f t="shared" si="363"/>
        <v>0.45807655407274239</v>
      </c>
      <c r="S227" s="191">
        <f t="shared" si="364"/>
        <v>15</v>
      </c>
      <c r="T227" s="191">
        <f t="shared" si="365"/>
        <v>0.46150855816652153</v>
      </c>
      <c r="U227" s="191">
        <f t="shared" si="366"/>
        <v>0.3195059248845149</v>
      </c>
      <c r="V227" s="191">
        <f t="shared" si="367"/>
        <v>0.54224243126614802</v>
      </c>
      <c r="W227" s="175">
        <f t="shared" si="368"/>
        <v>350</v>
      </c>
      <c r="X227" s="386">
        <f t="shared" si="369"/>
        <v>350</v>
      </c>
      <c r="Z227" s="191">
        <f t="shared" si="370"/>
        <v>1.530140291030901</v>
      </c>
      <c r="AA227" s="153">
        <f t="shared" si="371"/>
        <v>1.7978149633522336</v>
      </c>
      <c r="AB227" s="153">
        <f t="shared" si="372"/>
        <v>0.19838286859929052</v>
      </c>
      <c r="AC227" s="153"/>
      <c r="AD227" s="153">
        <f t="shared" si="373"/>
        <v>0.96344647519582249</v>
      </c>
      <c r="AE227" s="317">
        <f t="shared" si="374"/>
        <v>278.47180910833498</v>
      </c>
      <c r="AF227" s="463">
        <f t="shared" si="375"/>
        <v>6.9127284595300251E-2</v>
      </c>
      <c r="AH227" s="153">
        <f t="shared" si="376"/>
        <v>0.79721738287342647</v>
      </c>
      <c r="AI227" s="153">
        <f t="shared" si="377"/>
        <v>0.82</v>
      </c>
      <c r="AJ227" s="153">
        <f t="shared" si="378"/>
        <v>1.1591267480619056</v>
      </c>
      <c r="AL227" s="317">
        <f t="shared" si="379"/>
        <v>55</v>
      </c>
      <c r="AM227" s="147">
        <f t="shared" si="380"/>
        <v>278.47180910833498</v>
      </c>
      <c r="AO227">
        <f t="shared" si="381"/>
        <v>55</v>
      </c>
      <c r="AP227">
        <f t="shared" si="382"/>
        <v>278.47180910833498</v>
      </c>
      <c r="AR227" s="5">
        <f t="shared" si="343"/>
        <v>3.5910277711844292</v>
      </c>
      <c r="AS227" s="5">
        <f t="shared" si="335"/>
        <v>0.56769230769230772</v>
      </c>
      <c r="AT227" s="5">
        <f t="shared" si="336"/>
        <v>3.0233354634921215</v>
      </c>
      <c r="AU227" s="153">
        <f t="shared" si="337"/>
        <v>0.15808630393996248</v>
      </c>
      <c r="CI227" s="59">
        <f t="shared" si="383"/>
        <v>-50</v>
      </c>
    </row>
    <row r="228" spans="5:87" x14ac:dyDescent="0.25">
      <c r="E228" s="150">
        <v>12</v>
      </c>
      <c r="F228" s="191">
        <f t="shared" si="384"/>
        <v>0.06</v>
      </c>
      <c r="G228" s="191">
        <f t="shared" si="353"/>
        <v>1.2E-2</v>
      </c>
      <c r="H228" s="191">
        <f t="shared" si="354"/>
        <v>0.89999999999999991</v>
      </c>
      <c r="I228" s="191">
        <f t="shared" si="355"/>
        <v>0.192</v>
      </c>
      <c r="J228" s="472">
        <f t="shared" si="356"/>
        <v>13</v>
      </c>
      <c r="K228" s="386">
        <f t="shared" si="357"/>
        <v>7.66</v>
      </c>
      <c r="L228" s="386">
        <f t="shared" si="358"/>
        <v>20.66</v>
      </c>
      <c r="M228" s="386"/>
      <c r="N228" s="191">
        <f t="shared" si="359"/>
        <v>0.37076476282671827</v>
      </c>
      <c r="O228" s="152">
        <f t="shared" si="360"/>
        <v>7.3292248651638783</v>
      </c>
      <c r="P228" s="152">
        <f t="shared" si="361"/>
        <v>1.8971291384317523</v>
      </c>
      <c r="Q228" s="191">
        <f t="shared" si="362"/>
        <v>0.4886149910109252</v>
      </c>
      <c r="R228" s="191">
        <f t="shared" si="363"/>
        <v>0.45807655407274239</v>
      </c>
      <c r="S228" s="191">
        <f t="shared" si="364"/>
        <v>15</v>
      </c>
      <c r="T228" s="191">
        <f t="shared" si="365"/>
        <v>0.50346388163620526</v>
      </c>
      <c r="U228" s="191">
        <f t="shared" si="366"/>
        <v>0.34855191805583446</v>
      </c>
      <c r="V228" s="191">
        <f t="shared" si="367"/>
        <v>0.59153719774488878</v>
      </c>
      <c r="W228" s="175">
        <f t="shared" si="368"/>
        <v>350</v>
      </c>
      <c r="X228" s="386">
        <f t="shared" si="369"/>
        <v>350</v>
      </c>
      <c r="Z228" s="191">
        <f t="shared" si="370"/>
        <v>1.530140291030901</v>
      </c>
      <c r="AA228" s="153">
        <f t="shared" si="371"/>
        <v>1.7978149633522336</v>
      </c>
      <c r="AB228" s="153">
        <f t="shared" si="372"/>
        <v>0.19838286859929052</v>
      </c>
      <c r="AC228" s="153"/>
      <c r="AD228" s="153">
        <f t="shared" si="373"/>
        <v>0.96344647519582249</v>
      </c>
      <c r="AE228" s="317">
        <f t="shared" si="374"/>
        <v>303.78742811818364</v>
      </c>
      <c r="AF228" s="463">
        <f t="shared" si="375"/>
        <v>6.9127284595300251E-2</v>
      </c>
      <c r="AH228" s="153">
        <f t="shared" si="376"/>
        <v>0.83266639978645307</v>
      </c>
      <c r="AI228" s="153">
        <f t="shared" si="377"/>
        <v>0.83266639978645307</v>
      </c>
      <c r="AJ228" s="153">
        <f t="shared" si="378"/>
        <v>1.1735928160675335</v>
      </c>
      <c r="AL228" s="317">
        <f t="shared" si="379"/>
        <v>60</v>
      </c>
      <c r="AM228" s="147">
        <f t="shared" si="380"/>
        <v>303.78742811818364</v>
      </c>
      <c r="AO228">
        <f t="shared" si="381"/>
        <v>60</v>
      </c>
      <c r="AP228">
        <f t="shared" si="382"/>
        <v>303.78742811818364</v>
      </c>
      <c r="AR228" s="5">
        <f t="shared" si="343"/>
        <v>3.2917754569190598</v>
      </c>
      <c r="AS228" s="5">
        <f t="shared" si="335"/>
        <v>0.57646135369831364</v>
      </c>
      <c r="AT228" s="5">
        <f t="shared" si="336"/>
        <v>2.715314103220746</v>
      </c>
      <c r="AU228" s="153">
        <f t="shared" si="337"/>
        <v>0.1751217120495373</v>
      </c>
      <c r="CI228" s="59">
        <f t="shared" si="383"/>
        <v>-50</v>
      </c>
    </row>
    <row r="229" spans="5:87" x14ac:dyDescent="0.25">
      <c r="E229" s="150">
        <v>13</v>
      </c>
      <c r="F229" s="191">
        <f t="shared" si="384"/>
        <v>6.5000000000000002E-2</v>
      </c>
      <c r="G229" s="191">
        <f t="shared" si="353"/>
        <v>1.3000000000000001E-2</v>
      </c>
      <c r="H229" s="191">
        <f t="shared" si="354"/>
        <v>0.97500000000000009</v>
      </c>
      <c r="I229" s="191">
        <f t="shared" si="355"/>
        <v>0.20800000000000002</v>
      </c>
      <c r="J229" s="472">
        <f t="shared" si="356"/>
        <v>13</v>
      </c>
      <c r="K229" s="386">
        <f t="shared" si="357"/>
        <v>7.66</v>
      </c>
      <c r="L229" s="386">
        <f t="shared" si="358"/>
        <v>20.66</v>
      </c>
      <c r="M229" s="386"/>
      <c r="N229" s="191">
        <f t="shared" si="359"/>
        <v>0.37076476282671827</v>
      </c>
      <c r="O229" s="152">
        <f t="shared" si="360"/>
        <v>7.3292248651638783</v>
      </c>
      <c r="P229" s="152">
        <f t="shared" si="361"/>
        <v>1.8971291384317523</v>
      </c>
      <c r="Q229" s="191">
        <f t="shared" si="362"/>
        <v>0.4886149910109252</v>
      </c>
      <c r="R229" s="191">
        <f t="shared" si="363"/>
        <v>0.45807655407274239</v>
      </c>
      <c r="S229" s="191">
        <f t="shared" si="364"/>
        <v>15</v>
      </c>
      <c r="T229" s="191">
        <f t="shared" si="365"/>
        <v>0.54541920510588915</v>
      </c>
      <c r="U229" s="191">
        <f t="shared" si="366"/>
        <v>0.37759791122715403</v>
      </c>
      <c r="V229" s="191">
        <f t="shared" si="367"/>
        <v>0.64083196422362965</v>
      </c>
      <c r="W229" s="175">
        <f t="shared" si="368"/>
        <v>350</v>
      </c>
      <c r="X229" s="386">
        <f t="shared" si="369"/>
        <v>350</v>
      </c>
      <c r="Z229" s="191">
        <f t="shared" si="370"/>
        <v>1.530140291030901</v>
      </c>
      <c r="AA229" s="153">
        <f t="shared" si="371"/>
        <v>1.7978149633522336</v>
      </c>
      <c r="AB229" s="153">
        <f t="shared" si="372"/>
        <v>0.19838286859929052</v>
      </c>
      <c r="AC229" s="153"/>
      <c r="AD229" s="153">
        <f t="shared" si="373"/>
        <v>0.96344647519582249</v>
      </c>
      <c r="AE229" s="317">
        <f t="shared" si="374"/>
        <v>329.1030471280323</v>
      </c>
      <c r="AF229" s="463">
        <f t="shared" si="375"/>
        <v>6.9127284595300251E-2</v>
      </c>
      <c r="AH229" s="153">
        <f t="shared" si="376"/>
        <v>0.8666666666666667</v>
      </c>
      <c r="AI229" s="153">
        <f t="shared" si="377"/>
        <v>0.8666666666666667</v>
      </c>
      <c r="AJ229" s="153">
        <f t="shared" si="378"/>
        <v>1.1880588840731614</v>
      </c>
      <c r="AL229" s="317">
        <f t="shared" si="379"/>
        <v>65</v>
      </c>
      <c r="AM229" s="147">
        <f t="shared" si="380"/>
        <v>329.1030471280323</v>
      </c>
      <c r="AO229">
        <f t="shared" si="381"/>
        <v>65</v>
      </c>
      <c r="AP229">
        <f t="shared" si="382"/>
        <v>329.1030471280323</v>
      </c>
      <c r="AR229" s="5">
        <f t="shared" si="343"/>
        <v>3.0385619602329781</v>
      </c>
      <c r="AS229" s="5">
        <f t="shared" si="335"/>
        <v>0.6</v>
      </c>
      <c r="AT229" s="5">
        <f t="shared" si="336"/>
        <v>2.438561960232978</v>
      </c>
      <c r="AU229" s="153">
        <f t="shared" si="337"/>
        <v>0.19746182827681938</v>
      </c>
      <c r="CI229" s="59">
        <f t="shared" si="383"/>
        <v>-50</v>
      </c>
    </row>
    <row r="230" spans="5:87" x14ac:dyDescent="0.25">
      <c r="E230" s="150">
        <v>14</v>
      </c>
      <c r="F230" s="191">
        <f t="shared" si="384"/>
        <v>7.0000000000000007E-2</v>
      </c>
      <c r="G230" s="191">
        <f t="shared" si="353"/>
        <v>1.4000000000000002E-2</v>
      </c>
      <c r="H230" s="191">
        <f t="shared" si="354"/>
        <v>1.05</v>
      </c>
      <c r="I230" s="191">
        <f t="shared" si="355"/>
        <v>0.22400000000000003</v>
      </c>
      <c r="J230" s="472">
        <f t="shared" si="356"/>
        <v>13</v>
      </c>
      <c r="K230" s="386">
        <f t="shared" si="357"/>
        <v>7.66</v>
      </c>
      <c r="L230" s="386">
        <f t="shared" si="358"/>
        <v>20.66</v>
      </c>
      <c r="M230" s="386"/>
      <c r="N230" s="191">
        <f t="shared" si="359"/>
        <v>0.37076476282671827</v>
      </c>
      <c r="O230" s="152">
        <f t="shared" si="360"/>
        <v>7.3292248651638783</v>
      </c>
      <c r="P230" s="152">
        <f t="shared" si="361"/>
        <v>1.8971291384317523</v>
      </c>
      <c r="Q230" s="191">
        <f t="shared" si="362"/>
        <v>0.4886149910109252</v>
      </c>
      <c r="R230" s="191">
        <f t="shared" si="363"/>
        <v>0.45807655407274239</v>
      </c>
      <c r="S230" s="191">
        <f t="shared" si="364"/>
        <v>15</v>
      </c>
      <c r="T230" s="191">
        <f t="shared" si="365"/>
        <v>0.58737452857557293</v>
      </c>
      <c r="U230" s="191">
        <f t="shared" si="366"/>
        <v>0.40664390439847359</v>
      </c>
      <c r="V230" s="191">
        <f t="shared" si="367"/>
        <v>0.69012673070237041</v>
      </c>
      <c r="W230" s="175">
        <f t="shared" si="368"/>
        <v>350</v>
      </c>
      <c r="X230" s="386">
        <f t="shared" si="369"/>
        <v>350</v>
      </c>
      <c r="Z230" s="191">
        <f t="shared" si="370"/>
        <v>1.530140291030901</v>
      </c>
      <c r="AA230" s="153">
        <f t="shared" si="371"/>
        <v>1.7978149633522336</v>
      </c>
      <c r="AB230" s="153">
        <f t="shared" si="372"/>
        <v>0.19838286859929052</v>
      </c>
      <c r="AC230" s="153"/>
      <c r="AD230" s="153">
        <f t="shared" si="373"/>
        <v>0.96344647519582249</v>
      </c>
      <c r="AE230" s="317">
        <f t="shared" si="374"/>
        <v>354.41866613788096</v>
      </c>
      <c r="AF230" s="463">
        <f t="shared" si="375"/>
        <v>6.9127284595300251E-2</v>
      </c>
      <c r="AH230" s="153">
        <f t="shared" si="376"/>
        <v>0.89938250421546939</v>
      </c>
      <c r="AI230" s="153">
        <f t="shared" si="377"/>
        <v>0.89938250421546939</v>
      </c>
      <c r="AJ230" s="153">
        <f t="shared" si="378"/>
        <v>1.2588018549744218</v>
      </c>
      <c r="AL230" s="317">
        <f t="shared" si="379"/>
        <v>70</v>
      </c>
      <c r="AM230" s="147">
        <f t="shared" si="380"/>
        <v>350</v>
      </c>
      <c r="AO230">
        <f t="shared" si="381"/>
        <v>70</v>
      </c>
      <c r="AP230">
        <f t="shared" si="382"/>
        <v>350</v>
      </c>
      <c r="AR230" s="5">
        <f t="shared" si="343"/>
        <v>2.8571428571428572</v>
      </c>
      <c r="AS230" s="5">
        <f t="shared" si="335"/>
        <v>0.62264942599532502</v>
      </c>
      <c r="AT230" s="5">
        <f t="shared" si="336"/>
        <v>2.2344934311475324</v>
      </c>
      <c r="AU230" s="153">
        <f t="shared" si="337"/>
        <v>0.21792729909836375</v>
      </c>
      <c r="CI230" s="59">
        <f t="shared" si="383"/>
        <v>-50</v>
      </c>
    </row>
    <row r="231" spans="5:87" x14ac:dyDescent="0.25">
      <c r="E231" s="150">
        <v>15</v>
      </c>
      <c r="F231" s="191">
        <f t="shared" si="384"/>
        <v>7.4999999999999997E-2</v>
      </c>
      <c r="G231" s="191">
        <f t="shared" si="353"/>
        <v>1.4999999999999999E-2</v>
      </c>
      <c r="H231" s="191">
        <f t="shared" si="354"/>
        <v>1.125</v>
      </c>
      <c r="I231" s="191">
        <f t="shared" si="355"/>
        <v>0.24</v>
      </c>
      <c r="J231" s="472">
        <f t="shared" si="356"/>
        <v>13</v>
      </c>
      <c r="K231" s="386">
        <f t="shared" si="357"/>
        <v>7.66</v>
      </c>
      <c r="L231" s="386">
        <f t="shared" si="358"/>
        <v>20.66</v>
      </c>
      <c r="M231" s="386"/>
      <c r="N231" s="191">
        <f t="shared" si="359"/>
        <v>0.37076476282671827</v>
      </c>
      <c r="O231" s="152">
        <f t="shared" si="360"/>
        <v>7.3292248651638783</v>
      </c>
      <c r="P231" s="152">
        <f t="shared" si="361"/>
        <v>1.8971291384317523</v>
      </c>
      <c r="Q231" s="191">
        <f t="shared" si="362"/>
        <v>0.4886149910109252</v>
      </c>
      <c r="R231" s="191">
        <f t="shared" si="363"/>
        <v>0.45807655407274239</v>
      </c>
      <c r="S231" s="191">
        <f t="shared" si="364"/>
        <v>15</v>
      </c>
      <c r="T231" s="191">
        <f t="shared" si="365"/>
        <v>0.62932985204525671</v>
      </c>
      <c r="U231" s="191">
        <f t="shared" si="366"/>
        <v>0.43568989756979315</v>
      </c>
      <c r="V231" s="191">
        <f t="shared" si="367"/>
        <v>0.73942149718111105</v>
      </c>
      <c r="W231" s="175">
        <f t="shared" si="368"/>
        <v>350</v>
      </c>
      <c r="X231" s="386">
        <f t="shared" si="369"/>
        <v>350</v>
      </c>
      <c r="Z231" s="191">
        <f t="shared" si="370"/>
        <v>1.530140291030901</v>
      </c>
      <c r="AA231" s="153">
        <f t="shared" si="371"/>
        <v>1.7978149633522336</v>
      </c>
      <c r="AB231" s="153">
        <f t="shared" si="372"/>
        <v>0.19838286859929052</v>
      </c>
      <c r="AC231" s="153"/>
      <c r="AD231" s="153">
        <f t="shared" si="373"/>
        <v>0.96344647519582249</v>
      </c>
      <c r="AE231" s="317">
        <f t="shared" si="374"/>
        <v>379.73428514772957</v>
      </c>
      <c r="AF231" s="463">
        <f t="shared" si="375"/>
        <v>6.9127284595300251E-2</v>
      </c>
      <c r="AH231" s="153">
        <f t="shared" si="376"/>
        <v>0.93094933625126275</v>
      </c>
      <c r="AI231" s="153">
        <f t="shared" si="377"/>
        <v>0.93094933625126275</v>
      </c>
      <c r="AJ231" s="153">
        <f t="shared" si="378"/>
        <v>1.2821846935194539</v>
      </c>
      <c r="AL231" s="317">
        <f t="shared" si="379"/>
        <v>75</v>
      </c>
      <c r="AM231" s="147">
        <f t="shared" si="380"/>
        <v>350</v>
      </c>
      <c r="AO231">
        <f t="shared" si="381"/>
        <v>75</v>
      </c>
      <c r="AP231">
        <f t="shared" si="382"/>
        <v>350</v>
      </c>
      <c r="AR231" s="5">
        <f t="shared" si="343"/>
        <v>2.8571428571428572</v>
      </c>
      <c r="AS231" s="5">
        <f t="shared" si="335"/>
        <v>0.64450338663548967</v>
      </c>
      <c r="AT231" s="5">
        <f t="shared" si="336"/>
        <v>2.2126394705073675</v>
      </c>
      <c r="AU231" s="153">
        <f t="shared" si="337"/>
        <v>0.22557618532242138</v>
      </c>
      <c r="CI231" s="59">
        <f t="shared" si="383"/>
        <v>-50</v>
      </c>
    </row>
    <row r="232" spans="5:87" x14ac:dyDescent="0.25">
      <c r="E232" s="150">
        <v>16</v>
      </c>
      <c r="F232" s="191">
        <f t="shared" si="384"/>
        <v>0.08</v>
      </c>
      <c r="G232" s="191">
        <f t="shared" si="353"/>
        <v>1.6E-2</v>
      </c>
      <c r="H232" s="191">
        <f t="shared" si="354"/>
        <v>1.2</v>
      </c>
      <c r="I232" s="191">
        <f t="shared" si="355"/>
        <v>0.25600000000000001</v>
      </c>
      <c r="J232" s="472">
        <f t="shared" si="356"/>
        <v>13</v>
      </c>
      <c r="K232" s="386">
        <f t="shared" si="357"/>
        <v>7.66</v>
      </c>
      <c r="L232" s="386">
        <f t="shared" si="358"/>
        <v>20.66</v>
      </c>
      <c r="M232" s="386"/>
      <c r="N232" s="191">
        <f t="shared" si="359"/>
        <v>0.37076476282671827</v>
      </c>
      <c r="O232" s="152">
        <f t="shared" si="360"/>
        <v>7.3292248651638783</v>
      </c>
      <c r="P232" s="152">
        <f t="shared" si="361"/>
        <v>1.8971291384317523</v>
      </c>
      <c r="Q232" s="191">
        <f t="shared" si="362"/>
        <v>0.4886149910109252</v>
      </c>
      <c r="R232" s="191">
        <f t="shared" si="363"/>
        <v>0.45807655407274239</v>
      </c>
      <c r="S232" s="191">
        <f t="shared" si="364"/>
        <v>15</v>
      </c>
      <c r="T232" s="191">
        <f t="shared" si="365"/>
        <v>0.67128517551494049</v>
      </c>
      <c r="U232" s="191">
        <f t="shared" si="366"/>
        <v>0.46473589074111266</v>
      </c>
      <c r="V232" s="191">
        <f t="shared" si="367"/>
        <v>0.78871626365985181</v>
      </c>
      <c r="W232" s="175">
        <f t="shared" si="368"/>
        <v>350</v>
      </c>
      <c r="X232" s="386">
        <f t="shared" si="369"/>
        <v>350</v>
      </c>
      <c r="Z232" s="191">
        <f t="shared" si="370"/>
        <v>1.530140291030901</v>
      </c>
      <c r="AA232" s="153">
        <f t="shared" si="371"/>
        <v>1.7978149633522336</v>
      </c>
      <c r="AB232" s="153">
        <f t="shared" si="372"/>
        <v>0.19838286859929052</v>
      </c>
      <c r="AC232" s="153"/>
      <c r="AD232" s="153">
        <f t="shared" si="373"/>
        <v>0.96344647519582249</v>
      </c>
      <c r="AE232" s="317">
        <f t="shared" si="374"/>
        <v>405.04990415757817</v>
      </c>
      <c r="AF232" s="463">
        <f t="shared" si="375"/>
        <v>6.9127284595300251E-2</v>
      </c>
      <c r="AH232" s="153">
        <f t="shared" si="376"/>
        <v>0.9614803401237304</v>
      </c>
      <c r="AI232" s="153">
        <f t="shared" si="377"/>
        <v>0.9614803401237304</v>
      </c>
      <c r="AJ232" s="153">
        <f t="shared" si="378"/>
        <v>1.304800251943504</v>
      </c>
      <c r="AL232" s="317">
        <f t="shared" si="379"/>
        <v>80</v>
      </c>
      <c r="AM232" s="147">
        <f t="shared" si="380"/>
        <v>350</v>
      </c>
      <c r="AO232">
        <f t="shared" si="381"/>
        <v>80</v>
      </c>
      <c r="AP232">
        <f t="shared" si="382"/>
        <v>350</v>
      </c>
      <c r="AR232" s="5">
        <f t="shared" si="343"/>
        <v>2.8571428571428572</v>
      </c>
      <c r="AS232" s="5">
        <f t="shared" si="335"/>
        <v>0.66564023547027484</v>
      </c>
      <c r="AT232" s="5">
        <f t="shared" si="336"/>
        <v>2.1915026216725826</v>
      </c>
      <c r="AU232" s="153">
        <f t="shared" si="337"/>
        <v>0.23297408241459619</v>
      </c>
      <c r="CI232" s="59">
        <f t="shared" si="383"/>
        <v>-50</v>
      </c>
    </row>
    <row r="233" spans="5:87" x14ac:dyDescent="0.25">
      <c r="E233" s="150">
        <v>17</v>
      </c>
      <c r="F233" s="191">
        <f t="shared" si="384"/>
        <v>8.5000000000000006E-2</v>
      </c>
      <c r="G233" s="191">
        <f t="shared" si="353"/>
        <v>1.7000000000000001E-2</v>
      </c>
      <c r="H233" s="191">
        <f t="shared" si="354"/>
        <v>1.2750000000000001</v>
      </c>
      <c r="I233" s="191">
        <f t="shared" si="355"/>
        <v>0.27200000000000002</v>
      </c>
      <c r="J233" s="472">
        <f t="shared" si="356"/>
        <v>13</v>
      </c>
      <c r="K233" s="386">
        <f t="shared" si="357"/>
        <v>7.66</v>
      </c>
      <c r="L233" s="386">
        <f t="shared" si="358"/>
        <v>20.66</v>
      </c>
      <c r="M233" s="386"/>
      <c r="N233" s="191">
        <f t="shared" si="359"/>
        <v>0.37076476282671827</v>
      </c>
      <c r="O233" s="152">
        <f t="shared" si="360"/>
        <v>7.3292248651638783</v>
      </c>
      <c r="P233" s="152">
        <f t="shared" si="361"/>
        <v>1.8971291384317523</v>
      </c>
      <c r="Q233" s="191">
        <f t="shared" si="362"/>
        <v>0.4886149910109252</v>
      </c>
      <c r="R233" s="191">
        <f t="shared" si="363"/>
        <v>0.45807655407274239</v>
      </c>
      <c r="S233" s="191">
        <f t="shared" si="364"/>
        <v>15</v>
      </c>
      <c r="T233" s="191">
        <f t="shared" si="365"/>
        <v>0.71324049898462427</v>
      </c>
      <c r="U233" s="191">
        <f t="shared" si="366"/>
        <v>0.49378188391243222</v>
      </c>
      <c r="V233" s="191">
        <f t="shared" si="367"/>
        <v>0.83801103013859257</v>
      </c>
      <c r="W233" s="175">
        <f t="shared" si="368"/>
        <v>350</v>
      </c>
      <c r="X233" s="386">
        <f t="shared" si="369"/>
        <v>350</v>
      </c>
      <c r="Z233" s="191">
        <f t="shared" si="370"/>
        <v>1.530140291030901</v>
      </c>
      <c r="AA233" s="153">
        <f t="shared" si="371"/>
        <v>1.7978149633522336</v>
      </c>
      <c r="AB233" s="153">
        <f t="shared" si="372"/>
        <v>0.19838286859929052</v>
      </c>
      <c r="AC233" s="153"/>
      <c r="AD233" s="153">
        <f t="shared" si="373"/>
        <v>0.96344647519582249</v>
      </c>
      <c r="AE233" s="317">
        <f t="shared" si="374"/>
        <v>430.36552316742689</v>
      </c>
      <c r="AF233" s="463">
        <f t="shared" si="375"/>
        <v>6.9127284595300251E-2</v>
      </c>
      <c r="AH233" s="153">
        <f t="shared" si="376"/>
        <v>0.99107124982123374</v>
      </c>
      <c r="AI233" s="153">
        <f t="shared" si="377"/>
        <v>0.99107124982123374</v>
      </c>
      <c r="AJ233" s="153">
        <f t="shared" si="378"/>
        <v>1.3267194443120249</v>
      </c>
      <c r="AL233" s="317">
        <f t="shared" si="379"/>
        <v>85</v>
      </c>
      <c r="AM233" s="147">
        <f t="shared" si="380"/>
        <v>350</v>
      </c>
      <c r="AO233">
        <f t="shared" si="381"/>
        <v>85</v>
      </c>
      <c r="AP233">
        <f t="shared" si="382"/>
        <v>350</v>
      </c>
      <c r="AR233" s="5">
        <f t="shared" si="343"/>
        <v>2.8571428571428572</v>
      </c>
      <c r="AS233" s="5">
        <f t="shared" si="335"/>
        <v>0.68612624987623871</v>
      </c>
      <c r="AT233" s="5">
        <f t="shared" si="336"/>
        <v>2.1710166072666186</v>
      </c>
      <c r="AU233" s="153">
        <f t="shared" si="337"/>
        <v>0.24014418745668353</v>
      </c>
      <c r="CI233" s="59">
        <f t="shared" si="383"/>
        <v>-50</v>
      </c>
    </row>
    <row r="234" spans="5:87" x14ac:dyDescent="0.25">
      <c r="E234" s="150">
        <v>18</v>
      </c>
      <c r="F234" s="191">
        <f t="shared" si="384"/>
        <v>0.09</v>
      </c>
      <c r="G234" s="191">
        <f t="shared" si="353"/>
        <v>1.7999999999999999E-2</v>
      </c>
      <c r="H234" s="191">
        <f t="shared" si="354"/>
        <v>1.3499999999999999</v>
      </c>
      <c r="I234" s="191">
        <f t="shared" si="355"/>
        <v>0.28799999999999998</v>
      </c>
      <c r="J234" s="472">
        <f t="shared" si="356"/>
        <v>13</v>
      </c>
      <c r="K234" s="386">
        <f t="shared" si="357"/>
        <v>7.66</v>
      </c>
      <c r="L234" s="386">
        <f t="shared" si="358"/>
        <v>20.66</v>
      </c>
      <c r="M234" s="386"/>
      <c r="N234" s="191">
        <f t="shared" si="359"/>
        <v>0.37076476282671827</v>
      </c>
      <c r="O234" s="152">
        <f t="shared" si="360"/>
        <v>7.3292248651638783</v>
      </c>
      <c r="P234" s="152">
        <f t="shared" si="361"/>
        <v>1.8971291384317523</v>
      </c>
      <c r="Q234" s="191">
        <f t="shared" si="362"/>
        <v>0.4886149910109252</v>
      </c>
      <c r="R234" s="191">
        <f t="shared" si="363"/>
        <v>0.45807655407274239</v>
      </c>
      <c r="S234" s="191">
        <f t="shared" si="364"/>
        <v>15</v>
      </c>
      <c r="T234" s="191">
        <f t="shared" si="365"/>
        <v>0.75519582245430794</v>
      </c>
      <c r="U234" s="191">
        <f t="shared" si="366"/>
        <v>0.52282787708375167</v>
      </c>
      <c r="V234" s="191">
        <f t="shared" si="367"/>
        <v>0.88730579661733311</v>
      </c>
      <c r="W234" s="175">
        <f t="shared" si="368"/>
        <v>350</v>
      </c>
      <c r="X234" s="386">
        <f t="shared" si="369"/>
        <v>350</v>
      </c>
      <c r="Z234" s="191">
        <f t="shared" si="370"/>
        <v>1.530140291030901</v>
      </c>
      <c r="AA234" s="153">
        <f t="shared" si="371"/>
        <v>1.7978149633522336</v>
      </c>
      <c r="AB234" s="153">
        <f t="shared" si="372"/>
        <v>0.19838286859929052</v>
      </c>
      <c r="AC234" s="153"/>
      <c r="AD234" s="153">
        <f t="shared" si="373"/>
        <v>0.96344647519582249</v>
      </c>
      <c r="AE234" s="317">
        <f t="shared" si="374"/>
        <v>455.68114217727543</v>
      </c>
      <c r="AF234" s="463">
        <f t="shared" si="375"/>
        <v>6.9127284595300251E-2</v>
      </c>
      <c r="AH234" s="153">
        <f t="shared" si="376"/>
        <v>1.019803902718557</v>
      </c>
      <c r="AI234" s="153">
        <f t="shared" si="377"/>
        <v>1.019803902718557</v>
      </c>
      <c r="AJ234" s="153">
        <f t="shared" si="378"/>
        <v>1.3480028909026349</v>
      </c>
      <c r="AL234" s="317">
        <f t="shared" si="379"/>
        <v>90</v>
      </c>
      <c r="AM234" s="147">
        <f t="shared" si="380"/>
        <v>350</v>
      </c>
      <c r="AO234">
        <f t="shared" si="381"/>
        <v>90</v>
      </c>
      <c r="AP234">
        <f t="shared" si="382"/>
        <v>350</v>
      </c>
      <c r="AR234" s="5">
        <f t="shared" si="343"/>
        <v>2.8571428571428572</v>
      </c>
      <c r="AS234" s="5">
        <f t="shared" si="335"/>
        <v>0.70601808649746256</v>
      </c>
      <c r="AT234" s="5">
        <f t="shared" si="336"/>
        <v>2.1511247706453949</v>
      </c>
      <c r="AU234" s="153">
        <f t="shared" si="337"/>
        <v>0.24710633027411189</v>
      </c>
      <c r="CI234" s="59">
        <f t="shared" si="383"/>
        <v>-50</v>
      </c>
    </row>
    <row r="235" spans="5:87" x14ac:dyDescent="0.25">
      <c r="E235" s="150">
        <v>19</v>
      </c>
      <c r="F235" s="191">
        <f t="shared" si="384"/>
        <v>9.5000000000000001E-2</v>
      </c>
      <c r="G235" s="191">
        <f t="shared" si="353"/>
        <v>1.9000000000000003E-2</v>
      </c>
      <c r="H235" s="191">
        <f t="shared" si="354"/>
        <v>1.425</v>
      </c>
      <c r="I235" s="191">
        <f t="shared" si="355"/>
        <v>0.30400000000000005</v>
      </c>
      <c r="J235" s="472">
        <f t="shared" si="356"/>
        <v>13</v>
      </c>
      <c r="K235" s="386">
        <f t="shared" si="357"/>
        <v>7.66</v>
      </c>
      <c r="L235" s="386">
        <f t="shared" si="358"/>
        <v>20.66</v>
      </c>
      <c r="M235" s="386"/>
      <c r="N235" s="191">
        <f t="shared" si="359"/>
        <v>0.37076476282671827</v>
      </c>
      <c r="O235" s="152">
        <f t="shared" si="360"/>
        <v>7.3292248651638783</v>
      </c>
      <c r="P235" s="152">
        <f t="shared" si="361"/>
        <v>1.8971291384317523</v>
      </c>
      <c r="Q235" s="191">
        <f t="shared" si="362"/>
        <v>0.4886149910109252</v>
      </c>
      <c r="R235" s="191">
        <f t="shared" si="363"/>
        <v>0.45807655407274239</v>
      </c>
      <c r="S235" s="191">
        <f t="shared" si="364"/>
        <v>15</v>
      </c>
      <c r="T235" s="191">
        <f t="shared" si="365"/>
        <v>0.79715114592399183</v>
      </c>
      <c r="U235" s="191">
        <f t="shared" si="366"/>
        <v>0.55187387025507129</v>
      </c>
      <c r="V235" s="191">
        <f t="shared" si="367"/>
        <v>0.93660056309607398</v>
      </c>
      <c r="W235" s="175">
        <f t="shared" si="368"/>
        <v>350</v>
      </c>
      <c r="X235" s="386">
        <f t="shared" si="369"/>
        <v>350</v>
      </c>
      <c r="Z235" s="191">
        <f t="shared" si="370"/>
        <v>1.530140291030901</v>
      </c>
      <c r="AA235" s="153">
        <f t="shared" si="371"/>
        <v>1.7978149633522336</v>
      </c>
      <c r="AB235" s="153">
        <f t="shared" si="372"/>
        <v>0.19838286859929052</v>
      </c>
      <c r="AC235" s="153"/>
      <c r="AD235" s="153">
        <f t="shared" si="373"/>
        <v>0.96344647519582249</v>
      </c>
      <c r="AE235" s="317">
        <f t="shared" si="374"/>
        <v>480.99676118712415</v>
      </c>
      <c r="AF235" s="463">
        <f t="shared" si="375"/>
        <v>6.9127284595300251E-2</v>
      </c>
      <c r="AH235" s="153">
        <f t="shared" si="376"/>
        <v>1.0477489097001143</v>
      </c>
      <c r="AI235" s="153">
        <f t="shared" si="377"/>
        <v>1.0477489097001143</v>
      </c>
      <c r="AJ235" s="153">
        <f t="shared" si="378"/>
        <v>1.3687028960741587</v>
      </c>
      <c r="AL235" s="317">
        <f t="shared" si="379"/>
        <v>95</v>
      </c>
      <c r="AM235" s="147">
        <f t="shared" si="380"/>
        <v>350</v>
      </c>
      <c r="AO235">
        <f t="shared" si="381"/>
        <v>95</v>
      </c>
      <c r="AP235">
        <f t="shared" si="382"/>
        <v>350</v>
      </c>
      <c r="AR235" s="5">
        <f t="shared" si="343"/>
        <v>2.8571428571428572</v>
      </c>
      <c r="AS235" s="5">
        <f t="shared" si="335"/>
        <v>0.72536462979238669</v>
      </c>
      <c r="AT235" s="5">
        <f t="shared" si="336"/>
        <v>2.1317782273504706</v>
      </c>
      <c r="AU235" s="153">
        <f t="shared" si="337"/>
        <v>0.25387762042733536</v>
      </c>
      <c r="CI235" s="59">
        <f t="shared" si="383"/>
        <v>-50</v>
      </c>
    </row>
    <row r="236" spans="5:87" x14ac:dyDescent="0.25">
      <c r="E236" s="150">
        <v>20</v>
      </c>
      <c r="F236" s="191">
        <f t="shared" si="384"/>
        <v>0.1</v>
      </c>
      <c r="G236" s="191">
        <f t="shared" si="353"/>
        <v>2.0000000000000004E-2</v>
      </c>
      <c r="H236" s="191">
        <f t="shared" si="354"/>
        <v>1.5</v>
      </c>
      <c r="I236" s="191">
        <f t="shared" si="355"/>
        <v>0.32000000000000006</v>
      </c>
      <c r="J236" s="472">
        <f t="shared" si="356"/>
        <v>13</v>
      </c>
      <c r="K236" s="386">
        <f t="shared" si="357"/>
        <v>7.66</v>
      </c>
      <c r="L236" s="386">
        <f t="shared" si="358"/>
        <v>20.66</v>
      </c>
      <c r="M236" s="386"/>
      <c r="N236" s="191">
        <f t="shared" si="359"/>
        <v>0.37076476282671827</v>
      </c>
      <c r="O236" s="152">
        <f t="shared" si="360"/>
        <v>7.3292248651638783</v>
      </c>
      <c r="P236" s="152">
        <f t="shared" si="361"/>
        <v>1.8971291384317523</v>
      </c>
      <c r="Q236" s="191">
        <f t="shared" si="362"/>
        <v>0.4886149910109252</v>
      </c>
      <c r="R236" s="191">
        <f t="shared" si="363"/>
        <v>0.45807655407274239</v>
      </c>
      <c r="S236" s="191">
        <f t="shared" si="364"/>
        <v>15</v>
      </c>
      <c r="T236" s="191">
        <f t="shared" si="365"/>
        <v>0.83910646939367561</v>
      </c>
      <c r="U236" s="191">
        <f t="shared" si="366"/>
        <v>0.5809198634263909</v>
      </c>
      <c r="V236" s="191">
        <f t="shared" si="367"/>
        <v>0.98589532957481485</v>
      </c>
      <c r="W236" s="175">
        <f t="shared" si="368"/>
        <v>350</v>
      </c>
      <c r="X236" s="386">
        <f t="shared" si="369"/>
        <v>350</v>
      </c>
      <c r="Z236" s="191">
        <f t="shared" si="370"/>
        <v>1.530140291030901</v>
      </c>
      <c r="AA236" s="153">
        <f t="shared" si="371"/>
        <v>1.7978149633522336</v>
      </c>
      <c r="AB236" s="153">
        <f t="shared" si="372"/>
        <v>0.19838286859929052</v>
      </c>
      <c r="AC236" s="153"/>
      <c r="AD236" s="153">
        <f t="shared" si="373"/>
        <v>0.96344647519582249</v>
      </c>
      <c r="AE236" s="317">
        <f t="shared" si="374"/>
        <v>506.31238019697281</v>
      </c>
      <c r="AF236" s="463">
        <f t="shared" si="375"/>
        <v>6.9127284595300251E-2</v>
      </c>
      <c r="AH236" s="153">
        <f t="shared" si="376"/>
        <v>1.0749676997731401</v>
      </c>
      <c r="AI236" s="153">
        <f t="shared" si="377"/>
        <v>1.0749676997731401</v>
      </c>
      <c r="AJ236" s="153">
        <f t="shared" si="378"/>
        <v>1.3888649627949186</v>
      </c>
      <c r="AL236" s="317">
        <f t="shared" si="379"/>
        <v>100</v>
      </c>
      <c r="AM236" s="147">
        <f t="shared" si="380"/>
        <v>350</v>
      </c>
      <c r="AO236">
        <f t="shared" si="381"/>
        <v>100</v>
      </c>
      <c r="AP236">
        <f t="shared" si="382"/>
        <v>350</v>
      </c>
      <c r="AR236" s="5">
        <f t="shared" si="343"/>
        <v>2.8571428571428572</v>
      </c>
      <c r="AS236" s="5">
        <f t="shared" si="335"/>
        <v>0.74420840753525086</v>
      </c>
      <c r="AT236" s="5">
        <f t="shared" si="336"/>
        <v>2.1129344496076063</v>
      </c>
      <c r="AU236" s="153">
        <f t="shared" si="337"/>
        <v>0.26047294263733778</v>
      </c>
      <c r="CI236" s="59">
        <f t="shared" si="383"/>
        <v>-50</v>
      </c>
    </row>
    <row r="237" spans="5:87" x14ac:dyDescent="0.25">
      <c r="E237" s="150">
        <v>21</v>
      </c>
      <c r="F237" s="191">
        <f t="shared" si="384"/>
        <v>0.105</v>
      </c>
      <c r="G237" s="191">
        <f t="shared" si="353"/>
        <v>2.1000000000000001E-2</v>
      </c>
      <c r="H237" s="191">
        <f t="shared" si="354"/>
        <v>1.575</v>
      </c>
      <c r="I237" s="191">
        <f t="shared" si="355"/>
        <v>0.33600000000000002</v>
      </c>
      <c r="J237" s="472">
        <f t="shared" si="356"/>
        <v>13</v>
      </c>
      <c r="K237" s="386">
        <f t="shared" si="357"/>
        <v>7.66</v>
      </c>
      <c r="L237" s="386">
        <f t="shared" si="358"/>
        <v>20.66</v>
      </c>
      <c r="M237" s="386"/>
      <c r="N237" s="191">
        <f t="shared" si="359"/>
        <v>0.37076476282671827</v>
      </c>
      <c r="O237" s="152">
        <f t="shared" si="360"/>
        <v>7.3292248651638783</v>
      </c>
      <c r="P237" s="152">
        <f t="shared" si="361"/>
        <v>1.8971291384317523</v>
      </c>
      <c r="Q237" s="191">
        <f t="shared" si="362"/>
        <v>0.4886149910109252</v>
      </c>
      <c r="R237" s="191">
        <f t="shared" si="363"/>
        <v>0.45807655407274239</v>
      </c>
      <c r="S237" s="191">
        <f t="shared" si="364"/>
        <v>15</v>
      </c>
      <c r="T237" s="191">
        <f t="shared" si="365"/>
        <v>0.88106179286335939</v>
      </c>
      <c r="U237" s="191">
        <f t="shared" si="366"/>
        <v>0.6099658565977103</v>
      </c>
      <c r="V237" s="191">
        <f t="shared" si="367"/>
        <v>1.0351900960535552</v>
      </c>
      <c r="W237" s="175">
        <f t="shared" si="368"/>
        <v>350</v>
      </c>
      <c r="X237" s="386">
        <f t="shared" si="369"/>
        <v>350</v>
      </c>
      <c r="Z237" s="191">
        <f t="shared" si="370"/>
        <v>1.530140291030901</v>
      </c>
      <c r="AA237" s="153">
        <f t="shared" si="371"/>
        <v>1.7978149633522336</v>
      </c>
      <c r="AB237" s="153">
        <f t="shared" si="372"/>
        <v>0.19838286859929052</v>
      </c>
      <c r="AC237" s="153"/>
      <c r="AD237" s="153">
        <f t="shared" si="373"/>
        <v>0.96344647519582249</v>
      </c>
      <c r="AE237" s="317">
        <f t="shared" si="374"/>
        <v>531.62799920682141</v>
      </c>
      <c r="AF237" s="463">
        <f t="shared" si="375"/>
        <v>6.9127284595300251E-2</v>
      </c>
      <c r="AH237" s="153">
        <f t="shared" si="376"/>
        <v>1.1015141094572205</v>
      </c>
      <c r="AI237" s="153">
        <f t="shared" si="377"/>
        <v>1.1015141094572205</v>
      </c>
      <c r="AJ237" s="153">
        <f t="shared" si="378"/>
        <v>1.4085289699683115</v>
      </c>
      <c r="AL237" s="317">
        <f t="shared" si="379"/>
        <v>105</v>
      </c>
      <c r="AM237" s="147">
        <f t="shared" si="380"/>
        <v>350</v>
      </c>
      <c r="AO237">
        <f t="shared" si="381"/>
        <v>105</v>
      </c>
      <c r="AP237">
        <f t="shared" si="382"/>
        <v>350</v>
      </c>
      <c r="AR237" s="5">
        <f t="shared" si="343"/>
        <v>2.8571428571428572</v>
      </c>
      <c r="AS237" s="5">
        <f t="shared" si="335"/>
        <v>0.76258669116269107</v>
      </c>
      <c r="AT237" s="5">
        <f t="shared" si="336"/>
        <v>2.0945561659801664</v>
      </c>
      <c r="AU237" s="153">
        <f t="shared" si="337"/>
        <v>0.26690534190694187</v>
      </c>
      <c r="CI237" s="59">
        <f t="shared" si="383"/>
        <v>-50</v>
      </c>
    </row>
    <row r="238" spans="5:87" x14ac:dyDescent="0.25">
      <c r="E238" s="150">
        <v>22</v>
      </c>
      <c r="F238" s="191">
        <f t="shared" si="384"/>
        <v>0.11</v>
      </c>
      <c r="G238" s="191">
        <f t="shared" si="353"/>
        <v>2.2000000000000002E-2</v>
      </c>
      <c r="H238" s="191">
        <f t="shared" si="354"/>
        <v>1.65</v>
      </c>
      <c r="I238" s="191">
        <f t="shared" si="355"/>
        <v>0.35200000000000004</v>
      </c>
      <c r="J238" s="472">
        <f t="shared" si="356"/>
        <v>13</v>
      </c>
      <c r="K238" s="386">
        <f t="shared" si="357"/>
        <v>7.66</v>
      </c>
      <c r="L238" s="386">
        <f t="shared" si="358"/>
        <v>20.66</v>
      </c>
      <c r="M238" s="386"/>
      <c r="N238" s="191">
        <f t="shared" si="359"/>
        <v>0.37076476282671827</v>
      </c>
      <c r="O238" s="152">
        <f t="shared" si="360"/>
        <v>7.3292248651638783</v>
      </c>
      <c r="P238" s="152">
        <f t="shared" si="361"/>
        <v>1.8971291384317523</v>
      </c>
      <c r="Q238" s="191">
        <f t="shared" si="362"/>
        <v>0.4886149910109252</v>
      </c>
      <c r="R238" s="191">
        <f t="shared" si="363"/>
        <v>0.45807655407274239</v>
      </c>
      <c r="S238" s="191">
        <f t="shared" si="364"/>
        <v>15</v>
      </c>
      <c r="T238" s="191">
        <f t="shared" si="365"/>
        <v>0.92301711633304306</v>
      </c>
      <c r="U238" s="191">
        <f t="shared" si="366"/>
        <v>0.6390118497690298</v>
      </c>
      <c r="V238" s="191">
        <f t="shared" si="367"/>
        <v>1.084484862532296</v>
      </c>
      <c r="W238" s="175">
        <f t="shared" si="368"/>
        <v>350</v>
      </c>
      <c r="X238" s="386">
        <f t="shared" si="369"/>
        <v>350</v>
      </c>
      <c r="Z238" s="191">
        <f t="shared" si="370"/>
        <v>1.530140291030901</v>
      </c>
      <c r="AA238" s="153">
        <f t="shared" si="371"/>
        <v>1.7978149633522336</v>
      </c>
      <c r="AB238" s="153">
        <f t="shared" si="372"/>
        <v>0.19838286859929052</v>
      </c>
      <c r="AC238" s="153"/>
      <c r="AD238" s="153">
        <f t="shared" si="373"/>
        <v>0.96344647519582249</v>
      </c>
      <c r="AE238" s="317">
        <f t="shared" si="374"/>
        <v>556.94361821666996</v>
      </c>
      <c r="AF238" s="463">
        <f t="shared" si="375"/>
        <v>6.9127284595300251E-2</v>
      </c>
      <c r="AH238" s="153">
        <f t="shared" si="376"/>
        <v>1.1274356350191841</v>
      </c>
      <c r="AI238" s="153">
        <f t="shared" si="377"/>
        <v>1.1274356350191841</v>
      </c>
      <c r="AJ238" s="153">
        <f t="shared" si="378"/>
        <v>1.4277301000142104</v>
      </c>
      <c r="AL238" s="317">
        <f t="shared" si="379"/>
        <v>110</v>
      </c>
      <c r="AM238" s="147">
        <f t="shared" si="380"/>
        <v>350</v>
      </c>
      <c r="AO238">
        <f t="shared" si="381"/>
        <v>110</v>
      </c>
      <c r="AP238">
        <f t="shared" si="382"/>
        <v>350</v>
      </c>
      <c r="AR238" s="5">
        <f t="shared" si="343"/>
        <v>2.8571428571428572</v>
      </c>
      <c r="AS238" s="5">
        <f t="shared" si="335"/>
        <v>0.78053236270558912</v>
      </c>
      <c r="AT238" s="5">
        <f t="shared" si="336"/>
        <v>2.0766104944372681</v>
      </c>
      <c r="AU238" s="153">
        <f t="shared" si="337"/>
        <v>0.27318632694695616</v>
      </c>
      <c r="CI238" s="59">
        <f t="shared" si="383"/>
        <v>-50</v>
      </c>
    </row>
    <row r="239" spans="5:87" x14ac:dyDescent="0.25">
      <c r="E239" s="150">
        <v>23</v>
      </c>
      <c r="F239" s="191">
        <f t="shared" si="384"/>
        <v>0.115</v>
      </c>
      <c r="G239" s="191">
        <f t="shared" si="353"/>
        <v>2.3000000000000003E-2</v>
      </c>
      <c r="H239" s="191">
        <f t="shared" si="354"/>
        <v>1.7250000000000001</v>
      </c>
      <c r="I239" s="191">
        <f t="shared" si="355"/>
        <v>0.36800000000000005</v>
      </c>
      <c r="J239" s="472">
        <f t="shared" si="356"/>
        <v>13</v>
      </c>
      <c r="K239" s="386">
        <f t="shared" si="357"/>
        <v>7.66</v>
      </c>
      <c r="L239" s="386">
        <f t="shared" si="358"/>
        <v>20.66</v>
      </c>
      <c r="M239" s="386"/>
      <c r="N239" s="191">
        <f t="shared" si="359"/>
        <v>0.37076476282671827</v>
      </c>
      <c r="O239" s="152">
        <f t="shared" si="360"/>
        <v>7.3292248651638783</v>
      </c>
      <c r="P239" s="152">
        <f t="shared" si="361"/>
        <v>1.8971291384317523</v>
      </c>
      <c r="Q239" s="191">
        <f t="shared" si="362"/>
        <v>0.4886149910109252</v>
      </c>
      <c r="R239" s="191">
        <f t="shared" si="363"/>
        <v>0.45807655407274239</v>
      </c>
      <c r="S239" s="191">
        <f t="shared" si="364"/>
        <v>15</v>
      </c>
      <c r="T239" s="191">
        <f t="shared" si="365"/>
        <v>0.96497243980272696</v>
      </c>
      <c r="U239" s="191">
        <f t="shared" si="366"/>
        <v>0.66805784294034942</v>
      </c>
      <c r="V239" s="191">
        <f t="shared" si="367"/>
        <v>1.1337796290110369</v>
      </c>
      <c r="W239" s="175">
        <f t="shared" si="368"/>
        <v>350</v>
      </c>
      <c r="X239" s="386">
        <f t="shared" si="369"/>
        <v>350</v>
      </c>
      <c r="Z239" s="191">
        <f t="shared" si="370"/>
        <v>1.530140291030901</v>
      </c>
      <c r="AA239" s="153">
        <f t="shared" si="371"/>
        <v>1.7978149633522336</v>
      </c>
      <c r="AB239" s="153">
        <f t="shared" si="372"/>
        <v>0.19838286859929052</v>
      </c>
      <c r="AC239" s="153"/>
      <c r="AD239" s="153">
        <f t="shared" si="373"/>
        <v>0.96344647519582249</v>
      </c>
      <c r="AE239" s="317">
        <f t="shared" si="374"/>
        <v>582.25923722651874</v>
      </c>
      <c r="AF239" s="463">
        <f t="shared" si="375"/>
        <v>6.9127284595300251E-2</v>
      </c>
      <c r="AH239" s="153">
        <f t="shared" si="376"/>
        <v>1.1527744310527055</v>
      </c>
      <c r="AI239" s="153">
        <f t="shared" si="377"/>
        <v>1.1527744310527055</v>
      </c>
      <c r="AJ239" s="153">
        <f t="shared" si="378"/>
        <v>1.4464995785575596</v>
      </c>
      <c r="AL239" s="317">
        <f t="shared" si="379"/>
        <v>115</v>
      </c>
      <c r="AM239" s="147">
        <f t="shared" si="380"/>
        <v>350</v>
      </c>
      <c r="AO239">
        <f t="shared" si="381"/>
        <v>115</v>
      </c>
      <c r="AP239">
        <f t="shared" si="382"/>
        <v>350</v>
      </c>
      <c r="AR239" s="5">
        <f t="shared" si="343"/>
        <v>2.8571428571428572</v>
      </c>
      <c r="AS239" s="5">
        <f t="shared" si="335"/>
        <v>0.79807460611341152</v>
      </c>
      <c r="AT239" s="5">
        <f t="shared" si="336"/>
        <v>2.0590682510294456</v>
      </c>
      <c r="AU239" s="153">
        <f t="shared" si="337"/>
        <v>0.27932611213969405</v>
      </c>
      <c r="CI239" s="59">
        <f t="shared" si="383"/>
        <v>-50</v>
      </c>
    </row>
    <row r="240" spans="5:87" x14ac:dyDescent="0.25">
      <c r="E240" s="150">
        <v>24</v>
      </c>
      <c r="F240" s="191">
        <f t="shared" si="384"/>
        <v>0.12</v>
      </c>
      <c r="G240" s="191">
        <f t="shared" si="353"/>
        <v>2.4E-2</v>
      </c>
      <c r="H240" s="191">
        <f t="shared" si="354"/>
        <v>1.7999999999999998</v>
      </c>
      <c r="I240" s="191">
        <f t="shared" si="355"/>
        <v>0.38400000000000001</v>
      </c>
      <c r="J240" s="472">
        <f t="shared" si="356"/>
        <v>13</v>
      </c>
      <c r="K240" s="386">
        <f t="shared" si="357"/>
        <v>7.66</v>
      </c>
      <c r="L240" s="386">
        <f t="shared" si="358"/>
        <v>20.66</v>
      </c>
      <c r="M240" s="386"/>
      <c r="N240" s="191">
        <f t="shared" si="359"/>
        <v>0.37076476282671827</v>
      </c>
      <c r="O240" s="152">
        <f t="shared" si="360"/>
        <v>7.3292248651638783</v>
      </c>
      <c r="P240" s="152">
        <f t="shared" si="361"/>
        <v>1.8971291384317523</v>
      </c>
      <c r="Q240" s="191">
        <f t="shared" si="362"/>
        <v>0.4886149910109252</v>
      </c>
      <c r="R240" s="191">
        <f t="shared" si="363"/>
        <v>0.45807655407274239</v>
      </c>
      <c r="S240" s="191">
        <f t="shared" si="364"/>
        <v>15</v>
      </c>
      <c r="T240" s="191">
        <f t="shared" si="365"/>
        <v>1.0069277632724105</v>
      </c>
      <c r="U240" s="191">
        <f t="shared" si="366"/>
        <v>0.69710383611166893</v>
      </c>
      <c r="V240" s="191">
        <f t="shared" si="367"/>
        <v>1.1830743954897776</v>
      </c>
      <c r="W240" s="175">
        <f t="shared" si="368"/>
        <v>350</v>
      </c>
      <c r="X240" s="386">
        <f t="shared" si="369"/>
        <v>350</v>
      </c>
      <c r="Z240" s="191">
        <f t="shared" si="370"/>
        <v>1.530140291030901</v>
      </c>
      <c r="AA240" s="153">
        <f t="shared" si="371"/>
        <v>1.7978149633522336</v>
      </c>
      <c r="AB240" s="153">
        <f t="shared" si="372"/>
        <v>0.19838286859929052</v>
      </c>
      <c r="AC240" s="153"/>
      <c r="AD240" s="153">
        <f t="shared" si="373"/>
        <v>0.96344647519582249</v>
      </c>
      <c r="AE240" s="317">
        <f t="shared" si="374"/>
        <v>607.57485623636728</v>
      </c>
      <c r="AF240" s="463">
        <f t="shared" si="375"/>
        <v>6.9127284595300251E-2</v>
      </c>
      <c r="AH240" s="153">
        <f t="shared" si="376"/>
        <v>1.1775681155103794</v>
      </c>
      <c r="AI240" s="153">
        <f t="shared" si="377"/>
        <v>1.1775681155103794</v>
      </c>
      <c r="AJ240" s="153">
        <f t="shared" si="378"/>
        <v>1.4648652707484291</v>
      </c>
      <c r="AL240" s="317">
        <f t="shared" si="379"/>
        <v>120</v>
      </c>
      <c r="AM240" s="147">
        <f t="shared" si="380"/>
        <v>350</v>
      </c>
      <c r="AO240">
        <f t="shared" si="381"/>
        <v>120</v>
      </c>
      <c r="AP240">
        <f t="shared" si="382"/>
        <v>350</v>
      </c>
      <c r="AR240" s="5">
        <f t="shared" si="343"/>
        <v>2.8571428571428572</v>
      </c>
      <c r="AS240" s="5">
        <f t="shared" si="335"/>
        <v>0.8152394645841089</v>
      </c>
      <c r="AT240" s="5">
        <f t="shared" si="336"/>
        <v>2.0419033925587482</v>
      </c>
      <c r="AU240" s="153">
        <f t="shared" si="337"/>
        <v>0.28533381260443813</v>
      </c>
      <c r="CI240" s="59">
        <f t="shared" si="383"/>
        <v>-50</v>
      </c>
    </row>
    <row r="241" spans="5:87" x14ac:dyDescent="0.25">
      <c r="E241" s="150">
        <v>25</v>
      </c>
      <c r="F241" s="191">
        <f t="shared" si="384"/>
        <v>0.125</v>
      </c>
      <c r="G241" s="191">
        <f t="shared" si="353"/>
        <v>2.5000000000000001E-2</v>
      </c>
      <c r="H241" s="191">
        <f t="shared" si="354"/>
        <v>1.875</v>
      </c>
      <c r="I241" s="191">
        <f t="shared" si="355"/>
        <v>0.4</v>
      </c>
      <c r="J241" s="472">
        <f t="shared" si="356"/>
        <v>13</v>
      </c>
      <c r="K241" s="386">
        <f t="shared" si="357"/>
        <v>7.66</v>
      </c>
      <c r="L241" s="386">
        <f t="shared" si="358"/>
        <v>20.66</v>
      </c>
      <c r="M241" s="386"/>
      <c r="N241" s="191">
        <f t="shared" si="359"/>
        <v>0.37076476282671827</v>
      </c>
      <c r="O241" s="152">
        <f t="shared" si="360"/>
        <v>7.3292248651638783</v>
      </c>
      <c r="P241" s="152">
        <f t="shared" si="361"/>
        <v>1.8971291384317523</v>
      </c>
      <c r="Q241" s="191">
        <f t="shared" si="362"/>
        <v>0.4886149910109252</v>
      </c>
      <c r="R241" s="191">
        <f t="shared" si="363"/>
        <v>0.45807655407274239</v>
      </c>
      <c r="S241" s="191">
        <f t="shared" si="364"/>
        <v>15</v>
      </c>
      <c r="T241" s="191">
        <f t="shared" si="365"/>
        <v>1.0488830867420944</v>
      </c>
      <c r="U241" s="191">
        <f t="shared" si="366"/>
        <v>0.72614982928298843</v>
      </c>
      <c r="V241" s="191">
        <f t="shared" si="367"/>
        <v>1.2323691619685184</v>
      </c>
      <c r="W241" s="175">
        <f t="shared" si="368"/>
        <v>350</v>
      </c>
      <c r="X241" s="386">
        <f t="shared" si="369"/>
        <v>350</v>
      </c>
      <c r="Z241" s="191">
        <f t="shared" si="370"/>
        <v>1.530140291030901</v>
      </c>
      <c r="AA241" s="153">
        <f t="shared" si="371"/>
        <v>1.7978149633522336</v>
      </c>
      <c r="AB241" s="153">
        <f t="shared" si="372"/>
        <v>0.19838286859929052</v>
      </c>
      <c r="AC241" s="153"/>
      <c r="AD241" s="153">
        <f t="shared" si="373"/>
        <v>0.96344647519582249</v>
      </c>
      <c r="AE241" s="317">
        <f t="shared" si="374"/>
        <v>632.89047524621594</v>
      </c>
      <c r="AF241" s="463">
        <f t="shared" si="375"/>
        <v>6.9127284595300251E-2</v>
      </c>
      <c r="AH241" s="153">
        <f t="shared" si="376"/>
        <v>1.2018504251546631</v>
      </c>
      <c r="AI241" s="153">
        <f t="shared" si="377"/>
        <v>1.2018504251546631</v>
      </c>
      <c r="AJ241" s="153">
        <f t="shared" si="378"/>
        <v>1.482852166781232</v>
      </c>
      <c r="AL241" s="317">
        <f t="shared" si="379"/>
        <v>125</v>
      </c>
      <c r="AM241" s="147">
        <f t="shared" si="380"/>
        <v>350</v>
      </c>
      <c r="AO241">
        <f t="shared" si="381"/>
        <v>125</v>
      </c>
      <c r="AP241">
        <f t="shared" si="382"/>
        <v>350</v>
      </c>
      <c r="AR241" s="5">
        <f t="shared" si="343"/>
        <v>2.8571428571428572</v>
      </c>
      <c r="AS241" s="5">
        <f t="shared" si="335"/>
        <v>0.83205029433784372</v>
      </c>
      <c r="AT241" s="5">
        <f t="shared" si="336"/>
        <v>2.0250925628050136</v>
      </c>
      <c r="AU241" s="153">
        <f t="shared" si="337"/>
        <v>0.29121760301824529</v>
      </c>
      <c r="CI241" s="59">
        <f t="shared" si="383"/>
        <v>-50</v>
      </c>
    </row>
    <row r="242" spans="5:87" x14ac:dyDescent="0.25">
      <c r="E242" s="150">
        <v>26</v>
      </c>
      <c r="F242" s="191">
        <f t="shared" si="384"/>
        <v>0.13</v>
      </c>
      <c r="G242" s="191">
        <f t="shared" si="353"/>
        <v>2.6000000000000002E-2</v>
      </c>
      <c r="H242" s="191">
        <f t="shared" si="354"/>
        <v>1.9500000000000002</v>
      </c>
      <c r="I242" s="191">
        <f t="shared" si="355"/>
        <v>0.41600000000000004</v>
      </c>
      <c r="J242" s="472">
        <f t="shared" si="356"/>
        <v>13</v>
      </c>
      <c r="K242" s="386">
        <f t="shared" si="357"/>
        <v>7.66</v>
      </c>
      <c r="L242" s="386">
        <f t="shared" si="358"/>
        <v>20.66</v>
      </c>
      <c r="M242" s="386"/>
      <c r="N242" s="191">
        <f t="shared" si="359"/>
        <v>0.37076476282671827</v>
      </c>
      <c r="O242" s="152">
        <f t="shared" si="360"/>
        <v>7.3292248651638783</v>
      </c>
      <c r="P242" s="152">
        <f t="shared" si="361"/>
        <v>1.8971291384317523</v>
      </c>
      <c r="Q242" s="191">
        <f t="shared" si="362"/>
        <v>0.4886149910109252</v>
      </c>
      <c r="R242" s="191">
        <f t="shared" si="363"/>
        <v>0.45807655407274239</v>
      </c>
      <c r="S242" s="191">
        <f t="shared" si="364"/>
        <v>15</v>
      </c>
      <c r="T242" s="191">
        <f t="shared" si="365"/>
        <v>1.0908384102117783</v>
      </c>
      <c r="U242" s="191">
        <f t="shared" si="366"/>
        <v>0.75519582245430805</v>
      </c>
      <c r="V242" s="191">
        <f t="shared" si="367"/>
        <v>1.2816639284472593</v>
      </c>
      <c r="W242" s="175">
        <f t="shared" si="368"/>
        <v>350</v>
      </c>
      <c r="X242" s="386">
        <f t="shared" si="369"/>
        <v>350</v>
      </c>
      <c r="Z242" s="191">
        <f t="shared" si="370"/>
        <v>1.530140291030901</v>
      </c>
      <c r="AA242" s="153">
        <f t="shared" si="371"/>
        <v>1.7978149633522336</v>
      </c>
      <c r="AB242" s="153">
        <f t="shared" si="372"/>
        <v>0.19838286859929052</v>
      </c>
      <c r="AC242" s="153"/>
      <c r="AD242" s="153">
        <f t="shared" si="373"/>
        <v>0.96344647519582249</v>
      </c>
      <c r="AE242" s="317">
        <f t="shared" si="374"/>
        <v>658.2060942560646</v>
      </c>
      <c r="AF242" s="463">
        <f t="shared" si="375"/>
        <v>6.9127284595300251E-2</v>
      </c>
      <c r="AH242" s="153">
        <f t="shared" si="376"/>
        <v>1.2256517540566825</v>
      </c>
      <c r="AI242" s="153">
        <f t="shared" si="377"/>
        <v>1.2256517540566825</v>
      </c>
      <c r="AJ242" s="153">
        <f t="shared" si="378"/>
        <v>1.5004827807827277</v>
      </c>
      <c r="AL242" s="317">
        <f t="shared" si="379"/>
        <v>130</v>
      </c>
      <c r="AM242" s="147">
        <f t="shared" si="380"/>
        <v>350</v>
      </c>
      <c r="AO242">
        <f t="shared" si="381"/>
        <v>130</v>
      </c>
      <c r="AP242">
        <f t="shared" si="382"/>
        <v>350</v>
      </c>
      <c r="AR242" s="5">
        <f t="shared" si="343"/>
        <v>2.8571428571428572</v>
      </c>
      <c r="AS242" s="5">
        <f t="shared" si="335"/>
        <v>0.84852813742385724</v>
      </c>
      <c r="AT242" s="5">
        <f t="shared" si="336"/>
        <v>2.0086147197190001</v>
      </c>
      <c r="AU242" s="153">
        <f t="shared" si="337"/>
        <v>0.29698484809835002</v>
      </c>
      <c r="CI242" s="59">
        <f t="shared" si="383"/>
        <v>-50</v>
      </c>
    </row>
    <row r="243" spans="5:87" x14ac:dyDescent="0.25">
      <c r="E243" s="150">
        <v>27</v>
      </c>
      <c r="F243" s="191">
        <f t="shared" si="384"/>
        <v>0.13500000000000001</v>
      </c>
      <c r="G243" s="191">
        <f t="shared" si="353"/>
        <v>2.7000000000000003E-2</v>
      </c>
      <c r="H243" s="191">
        <f t="shared" si="354"/>
        <v>2.0250000000000004</v>
      </c>
      <c r="I243" s="191">
        <f t="shared" si="355"/>
        <v>0.43200000000000005</v>
      </c>
      <c r="J243" s="472">
        <f t="shared" si="356"/>
        <v>13</v>
      </c>
      <c r="K243" s="386">
        <f t="shared" si="357"/>
        <v>7.66</v>
      </c>
      <c r="L243" s="386">
        <f t="shared" si="358"/>
        <v>20.66</v>
      </c>
      <c r="M243" s="386"/>
      <c r="N243" s="191">
        <f t="shared" si="359"/>
        <v>0.37076476282671827</v>
      </c>
      <c r="O243" s="152">
        <f t="shared" si="360"/>
        <v>7.3292248651638783</v>
      </c>
      <c r="P243" s="152">
        <f t="shared" si="361"/>
        <v>1.8971291384317523</v>
      </c>
      <c r="Q243" s="191">
        <f t="shared" si="362"/>
        <v>0.4886149910109252</v>
      </c>
      <c r="R243" s="191">
        <f t="shared" si="363"/>
        <v>0.45807655407274239</v>
      </c>
      <c r="S243" s="191">
        <f t="shared" si="364"/>
        <v>15</v>
      </c>
      <c r="T243" s="191">
        <f t="shared" si="365"/>
        <v>1.1327937336814622</v>
      </c>
      <c r="U243" s="191">
        <f t="shared" si="366"/>
        <v>0.78424181562562778</v>
      </c>
      <c r="V243" s="191">
        <f t="shared" si="367"/>
        <v>1.3309586949260002</v>
      </c>
      <c r="W243" s="175">
        <f t="shared" si="368"/>
        <v>350</v>
      </c>
      <c r="X243" s="386">
        <f t="shared" si="369"/>
        <v>350</v>
      </c>
      <c r="Z243" s="191">
        <f t="shared" si="370"/>
        <v>1.530140291030901</v>
      </c>
      <c r="AA243" s="153">
        <f t="shared" si="371"/>
        <v>1.7978149633522336</v>
      </c>
      <c r="AB243" s="153">
        <f t="shared" si="372"/>
        <v>0.19838286859929052</v>
      </c>
      <c r="AC243" s="153"/>
      <c r="AD243" s="153">
        <f t="shared" si="373"/>
        <v>0.96344647519582249</v>
      </c>
      <c r="AE243" s="317">
        <f t="shared" si="374"/>
        <v>683.52171326591326</v>
      </c>
      <c r="AF243" s="463">
        <f t="shared" si="375"/>
        <v>6.9127284595300251E-2</v>
      </c>
      <c r="AH243" s="153">
        <f t="shared" si="376"/>
        <v>1.2489995996796797</v>
      </c>
      <c r="AI243" s="153">
        <f t="shared" si="377"/>
        <v>1.2489995996796797</v>
      </c>
      <c r="AJ243" s="153">
        <f t="shared" si="378"/>
        <v>1.5177774812442071</v>
      </c>
      <c r="AL243" s="317">
        <f t="shared" si="379"/>
        <v>135</v>
      </c>
      <c r="AM243" s="147">
        <f t="shared" si="380"/>
        <v>350</v>
      </c>
      <c r="AO243">
        <f t="shared" si="381"/>
        <v>135</v>
      </c>
      <c r="AP243">
        <f t="shared" si="382"/>
        <v>350</v>
      </c>
      <c r="AR243" s="5">
        <f t="shared" si="343"/>
        <v>2.8571428571428572</v>
      </c>
      <c r="AS243" s="5">
        <f t="shared" ref="AS243:AS306" si="385">L*AI243/J243*1000000</f>
        <v>0.86469203054747046</v>
      </c>
      <c r="AT243" s="5">
        <f t="shared" ref="AT243:AT306" si="386">AR243-AS243</f>
        <v>1.9924508265953866</v>
      </c>
      <c r="AU243" s="153">
        <f t="shared" ref="AU243:AU306" si="387">AS243/AR243</f>
        <v>0.30264221069161468</v>
      </c>
      <c r="CI243" s="59">
        <f t="shared" si="383"/>
        <v>-50</v>
      </c>
    </row>
    <row r="244" spans="5:87" x14ac:dyDescent="0.25">
      <c r="E244" s="150">
        <v>28</v>
      </c>
      <c r="F244" s="191">
        <f t="shared" si="384"/>
        <v>0.14000000000000001</v>
      </c>
      <c r="G244" s="191">
        <f t="shared" si="353"/>
        <v>2.8000000000000004E-2</v>
      </c>
      <c r="H244" s="191">
        <f t="shared" si="354"/>
        <v>2.1</v>
      </c>
      <c r="I244" s="191">
        <f t="shared" si="355"/>
        <v>0.44800000000000006</v>
      </c>
      <c r="J244" s="472">
        <f t="shared" si="356"/>
        <v>13</v>
      </c>
      <c r="K244" s="386">
        <f t="shared" si="357"/>
        <v>7.66</v>
      </c>
      <c r="L244" s="386">
        <f t="shared" si="358"/>
        <v>20.66</v>
      </c>
      <c r="M244" s="386"/>
      <c r="N244" s="191">
        <f t="shared" si="359"/>
        <v>0.37076476282671827</v>
      </c>
      <c r="O244" s="152">
        <f t="shared" si="360"/>
        <v>7.3292248651638783</v>
      </c>
      <c r="P244" s="152">
        <f t="shared" si="361"/>
        <v>1.8971291384317523</v>
      </c>
      <c r="Q244" s="191">
        <f t="shared" si="362"/>
        <v>0.4886149910109252</v>
      </c>
      <c r="R244" s="191">
        <f t="shared" si="363"/>
        <v>0.45807655407274239</v>
      </c>
      <c r="S244" s="191">
        <f t="shared" si="364"/>
        <v>15</v>
      </c>
      <c r="T244" s="191">
        <f t="shared" si="365"/>
        <v>1.1747490571511459</v>
      </c>
      <c r="U244" s="191">
        <f t="shared" si="366"/>
        <v>0.81328780879694718</v>
      </c>
      <c r="V244" s="191">
        <f t="shared" si="367"/>
        <v>1.3802534614047408</v>
      </c>
      <c r="W244" s="175">
        <f t="shared" si="368"/>
        <v>350</v>
      </c>
      <c r="X244" s="386">
        <f t="shared" si="369"/>
        <v>350</v>
      </c>
      <c r="Z244" s="191">
        <f t="shared" si="370"/>
        <v>1.530140291030901</v>
      </c>
      <c r="AA244" s="153">
        <f t="shared" si="371"/>
        <v>1.7978149633522336</v>
      </c>
      <c r="AB244" s="153">
        <f t="shared" si="372"/>
        <v>0.19838286859929052</v>
      </c>
      <c r="AC244" s="153"/>
      <c r="AD244" s="153">
        <f t="shared" si="373"/>
        <v>0.96344647519582249</v>
      </c>
      <c r="AE244" s="317">
        <f t="shared" si="374"/>
        <v>708.83733227576192</v>
      </c>
      <c r="AF244" s="463">
        <f t="shared" si="375"/>
        <v>6.9127284595300251E-2</v>
      </c>
      <c r="AH244" s="153">
        <f t="shared" si="376"/>
        <v>1.2719189352225941</v>
      </c>
      <c r="AI244" s="153">
        <f t="shared" si="377"/>
        <v>1.2719189352225941</v>
      </c>
      <c r="AJ244" s="153">
        <f t="shared" si="378"/>
        <v>1.5347547668315511</v>
      </c>
      <c r="AL244" s="317">
        <f t="shared" si="379"/>
        <v>140</v>
      </c>
      <c r="AM244" s="147">
        <f t="shared" si="380"/>
        <v>350</v>
      </c>
      <c r="AO244">
        <f t="shared" si="381"/>
        <v>140</v>
      </c>
      <c r="AP244">
        <f t="shared" si="382"/>
        <v>350</v>
      </c>
      <c r="AR244" s="5">
        <f t="shared" si="343"/>
        <v>2.8571428571428572</v>
      </c>
      <c r="AS244" s="5">
        <f t="shared" si="385"/>
        <v>0.88055926284641139</v>
      </c>
      <c r="AT244" s="5">
        <f t="shared" si="386"/>
        <v>1.9765835942964458</v>
      </c>
      <c r="AU244" s="153">
        <f t="shared" si="387"/>
        <v>0.308195741996244</v>
      </c>
      <c r="CI244" s="59">
        <f t="shared" si="383"/>
        <v>-50</v>
      </c>
    </row>
    <row r="245" spans="5:87" x14ac:dyDescent="0.25">
      <c r="E245" s="150">
        <v>29</v>
      </c>
      <c r="F245" s="191">
        <f t="shared" si="384"/>
        <v>0.14499999999999999</v>
      </c>
      <c r="G245" s="191">
        <f t="shared" si="353"/>
        <v>2.8999999999999998E-2</v>
      </c>
      <c r="H245" s="191">
        <f t="shared" si="354"/>
        <v>2.1749999999999998</v>
      </c>
      <c r="I245" s="191">
        <f t="shared" si="355"/>
        <v>0.46399999999999997</v>
      </c>
      <c r="J245" s="472">
        <f t="shared" si="356"/>
        <v>13</v>
      </c>
      <c r="K245" s="386">
        <f t="shared" si="357"/>
        <v>7.66</v>
      </c>
      <c r="L245" s="386">
        <f t="shared" si="358"/>
        <v>20.66</v>
      </c>
      <c r="M245" s="386"/>
      <c r="N245" s="191">
        <f t="shared" si="359"/>
        <v>0.37076476282671827</v>
      </c>
      <c r="O245" s="152">
        <f t="shared" si="360"/>
        <v>7.3292248651638783</v>
      </c>
      <c r="P245" s="152">
        <f t="shared" si="361"/>
        <v>1.8971291384317523</v>
      </c>
      <c r="Q245" s="191">
        <f t="shared" si="362"/>
        <v>0.4886149910109252</v>
      </c>
      <c r="R245" s="191">
        <f t="shared" si="363"/>
        <v>0.45807655407274239</v>
      </c>
      <c r="S245" s="191">
        <f t="shared" si="364"/>
        <v>15</v>
      </c>
      <c r="T245" s="191">
        <f t="shared" si="365"/>
        <v>1.2167043806208295</v>
      </c>
      <c r="U245" s="191">
        <f t="shared" si="366"/>
        <v>0.84233380196826657</v>
      </c>
      <c r="V245" s="191">
        <f t="shared" si="367"/>
        <v>1.4295482278834812</v>
      </c>
      <c r="W245" s="175">
        <f t="shared" si="368"/>
        <v>350</v>
      </c>
      <c r="X245" s="386">
        <f t="shared" si="369"/>
        <v>350</v>
      </c>
      <c r="Z245" s="191">
        <f t="shared" si="370"/>
        <v>1.530140291030901</v>
      </c>
      <c r="AA245" s="153">
        <f t="shared" si="371"/>
        <v>1.7978149633522336</v>
      </c>
      <c r="AB245" s="153">
        <f t="shared" si="372"/>
        <v>0.19838286859929052</v>
      </c>
      <c r="AC245" s="153"/>
      <c r="AD245" s="153">
        <f t="shared" si="373"/>
        <v>0.96344647519582249</v>
      </c>
      <c r="AE245" s="317">
        <f t="shared" si="374"/>
        <v>734.15295128561047</v>
      </c>
      <c r="AF245" s="463">
        <f t="shared" si="375"/>
        <v>6.9127284595300251E-2</v>
      </c>
      <c r="AH245" s="153">
        <f t="shared" si="376"/>
        <v>1.2944325225965065</v>
      </c>
      <c r="AI245" s="153">
        <f t="shared" si="377"/>
        <v>1.2944325225965065</v>
      </c>
      <c r="AJ245" s="153">
        <f t="shared" si="378"/>
        <v>1.5514314982196344</v>
      </c>
      <c r="AL245" s="317">
        <f t="shared" si="379"/>
        <v>145</v>
      </c>
      <c r="AM245" s="147">
        <f t="shared" si="380"/>
        <v>350</v>
      </c>
      <c r="AO245">
        <f t="shared" si="381"/>
        <v>145</v>
      </c>
      <c r="AP245">
        <f t="shared" si="382"/>
        <v>350</v>
      </c>
      <c r="AR245" s="5">
        <f t="shared" si="343"/>
        <v>2.8571428571428572</v>
      </c>
      <c r="AS245" s="5">
        <f t="shared" si="385"/>
        <v>0.89614559256681225</v>
      </c>
      <c r="AT245" s="5">
        <f t="shared" si="386"/>
        <v>1.960997264576045</v>
      </c>
      <c r="AU245" s="153">
        <f t="shared" si="387"/>
        <v>0.31365095739838428</v>
      </c>
      <c r="CI245" s="59">
        <f t="shared" si="383"/>
        <v>-50</v>
      </c>
    </row>
    <row r="246" spans="5:87" x14ac:dyDescent="0.25">
      <c r="E246" s="150">
        <v>30</v>
      </c>
      <c r="F246" s="191">
        <f t="shared" si="384"/>
        <v>0.15</v>
      </c>
      <c r="G246" s="191">
        <f t="shared" si="353"/>
        <v>0.03</v>
      </c>
      <c r="H246" s="191">
        <f t="shared" si="354"/>
        <v>2.25</v>
      </c>
      <c r="I246" s="191">
        <f t="shared" si="355"/>
        <v>0.48</v>
      </c>
      <c r="J246" s="472">
        <f t="shared" si="356"/>
        <v>13</v>
      </c>
      <c r="K246" s="386">
        <f t="shared" si="357"/>
        <v>7.66</v>
      </c>
      <c r="L246" s="386">
        <f t="shared" si="358"/>
        <v>20.66</v>
      </c>
      <c r="M246" s="386"/>
      <c r="N246" s="191">
        <f t="shared" si="359"/>
        <v>0.37076476282671827</v>
      </c>
      <c r="O246" s="152">
        <f t="shared" si="360"/>
        <v>7.3292248651638783</v>
      </c>
      <c r="P246" s="152">
        <f t="shared" si="361"/>
        <v>1.8971291384317523</v>
      </c>
      <c r="Q246" s="191">
        <f t="shared" si="362"/>
        <v>0.4886149910109252</v>
      </c>
      <c r="R246" s="191">
        <f t="shared" si="363"/>
        <v>0.45807655407274239</v>
      </c>
      <c r="S246" s="191">
        <f t="shared" si="364"/>
        <v>15</v>
      </c>
      <c r="T246" s="191">
        <f t="shared" si="365"/>
        <v>1.2586597040905134</v>
      </c>
      <c r="U246" s="191">
        <f t="shared" si="366"/>
        <v>0.8713797951395863</v>
      </c>
      <c r="V246" s="191">
        <f t="shared" si="367"/>
        <v>1.4788429943622221</v>
      </c>
      <c r="W246" s="175">
        <f t="shared" si="368"/>
        <v>350</v>
      </c>
      <c r="X246" s="386">
        <f t="shared" si="369"/>
        <v>350</v>
      </c>
      <c r="Z246" s="191">
        <f t="shared" si="370"/>
        <v>1.530140291030901</v>
      </c>
      <c r="AA246" s="153">
        <f t="shared" si="371"/>
        <v>1.7978149633522336</v>
      </c>
      <c r="AB246" s="153">
        <f t="shared" si="372"/>
        <v>0.19838286859929052</v>
      </c>
      <c r="AC246" s="153"/>
      <c r="AD246" s="153">
        <f t="shared" si="373"/>
        <v>0.96344647519582249</v>
      </c>
      <c r="AE246" s="317">
        <f t="shared" si="374"/>
        <v>759.46857029545913</v>
      </c>
      <c r="AF246" s="463">
        <f t="shared" si="375"/>
        <v>6.9127284595300251E-2</v>
      </c>
      <c r="AH246" s="153">
        <f t="shared" si="376"/>
        <v>1.3165611772087666</v>
      </c>
      <c r="AI246" s="153">
        <f t="shared" si="377"/>
        <v>1.3165611772087666</v>
      </c>
      <c r="AJ246" s="153">
        <f t="shared" si="378"/>
        <v>1.5678230942287161</v>
      </c>
      <c r="AL246" s="317">
        <f t="shared" si="379"/>
        <v>150</v>
      </c>
      <c r="AM246" s="147">
        <f t="shared" si="380"/>
        <v>350</v>
      </c>
      <c r="AO246">
        <f t="shared" si="381"/>
        <v>150</v>
      </c>
      <c r="AP246">
        <f t="shared" si="382"/>
        <v>350</v>
      </c>
      <c r="AR246" s="5">
        <f t="shared" si="343"/>
        <v>2.8571428571428572</v>
      </c>
      <c r="AS246" s="5">
        <f t="shared" si="385"/>
        <v>0.91146543037530003</v>
      </c>
      <c r="AT246" s="5">
        <f t="shared" si="386"/>
        <v>1.9456774267675572</v>
      </c>
      <c r="AU246" s="153">
        <f t="shared" si="387"/>
        <v>0.31901290063135501</v>
      </c>
      <c r="CI246" s="59">
        <f t="shared" si="383"/>
        <v>-50</v>
      </c>
    </row>
    <row r="247" spans="5:87" x14ac:dyDescent="0.25">
      <c r="E247" s="150">
        <v>31</v>
      </c>
      <c r="F247" s="191">
        <f t="shared" si="384"/>
        <v>0.155</v>
      </c>
      <c r="G247" s="191">
        <f t="shared" si="353"/>
        <v>3.1E-2</v>
      </c>
      <c r="H247" s="191">
        <f t="shared" si="354"/>
        <v>2.3250000000000002</v>
      </c>
      <c r="I247" s="191">
        <f t="shared" si="355"/>
        <v>0.496</v>
      </c>
      <c r="J247" s="472">
        <f t="shared" si="356"/>
        <v>13</v>
      </c>
      <c r="K247" s="386">
        <f t="shared" si="357"/>
        <v>7.66</v>
      </c>
      <c r="L247" s="386">
        <f t="shared" si="358"/>
        <v>20.66</v>
      </c>
      <c r="M247" s="386"/>
      <c r="N247" s="191">
        <f t="shared" si="359"/>
        <v>0.37076476282671827</v>
      </c>
      <c r="O247" s="152">
        <f t="shared" si="360"/>
        <v>7.3292248651638783</v>
      </c>
      <c r="P247" s="152">
        <f t="shared" si="361"/>
        <v>1.8971291384317523</v>
      </c>
      <c r="Q247" s="191">
        <f t="shared" si="362"/>
        <v>0.4886149910109252</v>
      </c>
      <c r="R247" s="191">
        <f t="shared" si="363"/>
        <v>0.45807655407274239</v>
      </c>
      <c r="S247" s="191">
        <f t="shared" si="364"/>
        <v>15</v>
      </c>
      <c r="T247" s="191">
        <f t="shared" si="365"/>
        <v>1.3006150275601973</v>
      </c>
      <c r="U247" s="191">
        <f t="shared" si="366"/>
        <v>0.90042578831090592</v>
      </c>
      <c r="V247" s="191">
        <f t="shared" si="367"/>
        <v>1.528137760840963</v>
      </c>
      <c r="W247" s="175">
        <f t="shared" si="368"/>
        <v>350</v>
      </c>
      <c r="X247" s="386">
        <f t="shared" si="369"/>
        <v>350</v>
      </c>
      <c r="Z247" s="191">
        <f t="shared" si="370"/>
        <v>1.530140291030901</v>
      </c>
      <c r="AA247" s="153">
        <f t="shared" si="371"/>
        <v>1.7978149633522336</v>
      </c>
      <c r="AB247" s="153">
        <f t="shared" si="372"/>
        <v>0.19838286859929052</v>
      </c>
      <c r="AC247" s="153"/>
      <c r="AD247" s="153">
        <f t="shared" si="373"/>
        <v>0.96344647519582249</v>
      </c>
      <c r="AE247" s="317">
        <f t="shared" si="374"/>
        <v>784.78418930530779</v>
      </c>
      <c r="AF247" s="463">
        <f t="shared" si="375"/>
        <v>6.9127284595300251E-2</v>
      </c>
      <c r="AH247" s="153">
        <f t="shared" si="376"/>
        <v>1.3383239933256488</v>
      </c>
      <c r="AI247" s="153">
        <f t="shared" si="377"/>
        <v>1.3383239933256488</v>
      </c>
      <c r="AJ247" s="153">
        <f t="shared" si="378"/>
        <v>1.5839436987597399</v>
      </c>
      <c r="AL247" s="317">
        <f t="shared" si="379"/>
        <v>155</v>
      </c>
      <c r="AM247" s="147">
        <f t="shared" si="380"/>
        <v>350</v>
      </c>
      <c r="AO247">
        <f t="shared" si="381"/>
        <v>155</v>
      </c>
      <c r="AP247">
        <f t="shared" si="382"/>
        <v>350</v>
      </c>
      <c r="AR247" s="5">
        <f t="shared" si="343"/>
        <v>2.8571428571428572</v>
      </c>
      <c r="AS247" s="5">
        <f t="shared" si="385"/>
        <v>0.92653199537929543</v>
      </c>
      <c r="AT247" s="5">
        <f t="shared" si="386"/>
        <v>1.9306108617635618</v>
      </c>
      <c r="AU247" s="153">
        <f t="shared" si="387"/>
        <v>0.32428619838275341</v>
      </c>
      <c r="CI247" s="59">
        <f t="shared" si="383"/>
        <v>-50</v>
      </c>
    </row>
    <row r="248" spans="5:87" x14ac:dyDescent="0.25">
      <c r="E248" s="150">
        <v>32</v>
      </c>
      <c r="F248" s="191">
        <f t="shared" si="384"/>
        <v>0.16</v>
      </c>
      <c r="G248" s="191">
        <f t="shared" ref="G248:G279" si="388">IF(PLOT_TYPE=1, E248/100*Iout2, min_I*EXP(Q248*rr/100))</f>
        <v>3.2000000000000001E-2</v>
      </c>
      <c r="H248" s="191">
        <f t="shared" ref="H248:H279" si="389">F248*Vout</f>
        <v>2.4</v>
      </c>
      <c r="I248" s="191">
        <f t="shared" ref="I248:I279" si="390">Vout2*G248</f>
        <v>0.51200000000000001</v>
      </c>
      <c r="J248" s="472">
        <f t="shared" si="356"/>
        <v>13</v>
      </c>
      <c r="K248" s="386">
        <f t="shared" si="357"/>
        <v>7.66</v>
      </c>
      <c r="L248" s="386">
        <f t="shared" si="358"/>
        <v>20.66</v>
      </c>
      <c r="M248" s="386"/>
      <c r="N248" s="191">
        <f t="shared" si="359"/>
        <v>0.37076476282671827</v>
      </c>
      <c r="O248" s="152">
        <f t="shared" ref="O248:O279" si="391">N248*J248*Isw_max*0.5*Efficiency*Pout/(Pout+Pout2)</f>
        <v>7.3292248651638783</v>
      </c>
      <c r="P248" s="152">
        <f t="shared" ref="P248:P279" si="392">N248*J248*Isw_max*0.5*Efficiency*(Pout2/Pout_total)</f>
        <v>1.8971291384317523</v>
      </c>
      <c r="Q248" s="191">
        <f t="shared" si="362"/>
        <v>0.4886149910109252</v>
      </c>
      <c r="R248" s="191">
        <f t="shared" ref="R248:R279" si="393">O248/Vout2</f>
        <v>0.45807655407274239</v>
      </c>
      <c r="S248" s="191">
        <f t="shared" ref="S248:S279" si="394">MIN(Vout,O248/F248)</f>
        <v>15</v>
      </c>
      <c r="T248" s="191">
        <f t="shared" ref="T248:T279" si="395">MIN(2*(Vout*F248+Vout2*G248)/(Efficiency*J248*N248), Isw_max)</f>
        <v>1.342570351029881</v>
      </c>
      <c r="U248" s="191">
        <f t="shared" si="366"/>
        <v>0.92947178148222531</v>
      </c>
      <c r="V248" s="191">
        <f t="shared" si="367"/>
        <v>1.5774325273197036</v>
      </c>
      <c r="W248" s="175">
        <f t="shared" si="368"/>
        <v>350</v>
      </c>
      <c r="X248" s="386">
        <f t="shared" si="369"/>
        <v>350</v>
      </c>
      <c r="Z248" s="191">
        <f t="shared" si="370"/>
        <v>1.530140291030901</v>
      </c>
      <c r="AA248" s="153">
        <f t="shared" si="371"/>
        <v>1.7978149633522336</v>
      </c>
      <c r="AB248" s="153">
        <f t="shared" ref="AB248:AB279" si="396">0.5*AA248*Z248*Nps*W248/1000*(Pout/(Pout+Pout2))</f>
        <v>0.19838286859929052</v>
      </c>
      <c r="AC248" s="153"/>
      <c r="AD248" s="153">
        <f t="shared" si="373"/>
        <v>0.96344647519582249</v>
      </c>
      <c r="AE248" s="317">
        <f t="shared" ref="AE248:AE279" si="397">MAX(10, F248/(0.5*AD248/1000000*Isw_min*Nps)/1000*Pout_total/Pout)</f>
        <v>810.09980831515634</v>
      </c>
      <c r="AF248" s="463">
        <f t="shared" ref="AF248:AF279" si="398">0.5*AD248/1000000*Isw_min*Nps*W248*1000*(Pout/Pout_total)</f>
        <v>6.9127284595300251E-2</v>
      </c>
      <c r="AH248" s="153">
        <f t="shared" ref="AH248:AH279" si="399">SQRT((H248+I248)/(0.5*L*Fsw_DCM))</f>
        <v>1.3597385369580759</v>
      </c>
      <c r="AI248" s="153">
        <f t="shared" ref="AI248:AI279" si="400">MAX(IF(F248&gt;AB248,T248,AH248),Isw_min)</f>
        <v>1.3597385369580759</v>
      </c>
      <c r="AJ248" s="153">
        <f t="shared" ref="AJ248:AJ279" si="401">IF(F248&gt;AF248, (AI248-Isw_min)/1.08*0.8+1.2, AE248*0.2/350+1)</f>
        <v>1.5998063236726487</v>
      </c>
      <c r="AL248" s="317">
        <f t="shared" ref="AL248:AL279" si="402">F248*1000</f>
        <v>160</v>
      </c>
      <c r="AM248" s="147">
        <f t="shared" ref="AM248:AM279" si="403">IF(F248&gt;AF248, X248, AE248)</f>
        <v>350</v>
      </c>
      <c r="AO248">
        <f t="shared" si="381"/>
        <v>160</v>
      </c>
      <c r="AP248">
        <f t="shared" si="382"/>
        <v>350</v>
      </c>
      <c r="AR248" s="5">
        <f t="shared" si="343"/>
        <v>2.8571428571428572</v>
      </c>
      <c r="AS248" s="5">
        <f t="shared" si="385"/>
        <v>0.94135744866328319</v>
      </c>
      <c r="AT248" s="5">
        <f t="shared" si="386"/>
        <v>1.915785408479574</v>
      </c>
      <c r="AU248" s="153">
        <f t="shared" si="387"/>
        <v>0.32947510703214911</v>
      </c>
      <c r="CI248" s="59">
        <f t="shared" ref="CI248:CI279" si="404">IF(ABS(F248-Ioutmax_Vinmax)&lt;Iout/200, AM248, -50)</f>
        <v>-50</v>
      </c>
    </row>
    <row r="249" spans="5:87" x14ac:dyDescent="0.25">
      <c r="E249" s="150">
        <v>33</v>
      </c>
      <c r="F249" s="191">
        <f t="shared" ref="F249:F280" si="405">IF(PLOT_TYPE=1, E249/100*Iout_max, min_I*EXP(O249*rr/100))</f>
        <v>0.16500000000000001</v>
      </c>
      <c r="G249" s="191">
        <f t="shared" si="388"/>
        <v>3.3000000000000002E-2</v>
      </c>
      <c r="H249" s="191">
        <f t="shared" si="389"/>
        <v>2.4750000000000001</v>
      </c>
      <c r="I249" s="191">
        <f t="shared" si="390"/>
        <v>0.52800000000000002</v>
      </c>
      <c r="J249" s="472">
        <f t="shared" si="356"/>
        <v>13</v>
      </c>
      <c r="K249" s="386">
        <f t="shared" si="357"/>
        <v>7.66</v>
      </c>
      <c r="L249" s="386">
        <f t="shared" si="358"/>
        <v>20.66</v>
      </c>
      <c r="M249" s="386"/>
      <c r="N249" s="191">
        <f t="shared" si="359"/>
        <v>0.37076476282671827</v>
      </c>
      <c r="O249" s="152">
        <f t="shared" si="391"/>
        <v>7.3292248651638783</v>
      </c>
      <c r="P249" s="152">
        <f t="shared" si="392"/>
        <v>1.8971291384317523</v>
      </c>
      <c r="Q249" s="191">
        <f t="shared" si="362"/>
        <v>0.4886149910109252</v>
      </c>
      <c r="R249" s="191">
        <f t="shared" si="393"/>
        <v>0.45807655407274239</v>
      </c>
      <c r="S249" s="191">
        <f t="shared" si="394"/>
        <v>15</v>
      </c>
      <c r="T249" s="191">
        <f t="shared" si="395"/>
        <v>1.3845256744995649</v>
      </c>
      <c r="U249" s="191">
        <f t="shared" si="366"/>
        <v>0.95851777465354493</v>
      </c>
      <c r="V249" s="191">
        <f t="shared" si="367"/>
        <v>1.6267272937984445</v>
      </c>
      <c r="W249" s="175">
        <f t="shared" si="368"/>
        <v>350</v>
      </c>
      <c r="X249" s="386">
        <f t="shared" si="369"/>
        <v>350</v>
      </c>
      <c r="Z249" s="191">
        <f t="shared" si="370"/>
        <v>1.530140291030901</v>
      </c>
      <c r="AA249" s="153">
        <f t="shared" si="371"/>
        <v>1.7978149633522336</v>
      </c>
      <c r="AB249" s="153">
        <f t="shared" si="396"/>
        <v>0.19838286859929052</v>
      </c>
      <c r="AC249" s="153"/>
      <c r="AD249" s="153">
        <f t="shared" si="373"/>
        <v>0.96344647519582249</v>
      </c>
      <c r="AE249" s="317">
        <f t="shared" si="397"/>
        <v>835.415427325005</v>
      </c>
      <c r="AF249" s="463">
        <f t="shared" si="398"/>
        <v>6.9127284595300251E-2</v>
      </c>
      <c r="AH249" s="153">
        <f t="shared" si="399"/>
        <v>1.3808210118138653</v>
      </c>
      <c r="AI249" s="153">
        <f t="shared" si="400"/>
        <v>1.3808210118138653</v>
      </c>
      <c r="AJ249" s="153">
        <f t="shared" si="401"/>
        <v>1.6154229717139743</v>
      </c>
      <c r="AL249" s="317">
        <f t="shared" si="402"/>
        <v>165</v>
      </c>
      <c r="AM249" s="147">
        <f t="shared" si="403"/>
        <v>350</v>
      </c>
      <c r="AO249">
        <f t="shared" si="381"/>
        <v>165</v>
      </c>
      <c r="AP249">
        <f t="shared" si="382"/>
        <v>350</v>
      </c>
      <c r="AR249" s="5">
        <f t="shared" si="343"/>
        <v>2.8571428571428572</v>
      </c>
      <c r="AS249" s="5">
        <f t="shared" si="385"/>
        <v>0.95595300817882989</v>
      </c>
      <c r="AT249" s="5">
        <f t="shared" si="386"/>
        <v>1.9011898489640273</v>
      </c>
      <c r="AU249" s="153">
        <f t="shared" si="387"/>
        <v>0.33458355286259045</v>
      </c>
      <c r="CI249" s="59">
        <f t="shared" si="404"/>
        <v>-50</v>
      </c>
    </row>
    <row r="250" spans="5:87" x14ac:dyDescent="0.25">
      <c r="E250" s="150">
        <v>34</v>
      </c>
      <c r="F250" s="191">
        <f t="shared" si="405"/>
        <v>0.17</v>
      </c>
      <c r="G250" s="191">
        <f t="shared" si="388"/>
        <v>3.4000000000000002E-2</v>
      </c>
      <c r="H250" s="191">
        <f t="shared" si="389"/>
        <v>2.5500000000000003</v>
      </c>
      <c r="I250" s="191">
        <f t="shared" si="390"/>
        <v>0.54400000000000004</v>
      </c>
      <c r="J250" s="472">
        <f t="shared" si="356"/>
        <v>13</v>
      </c>
      <c r="K250" s="386">
        <f t="shared" si="357"/>
        <v>7.66</v>
      </c>
      <c r="L250" s="386">
        <f t="shared" si="358"/>
        <v>20.66</v>
      </c>
      <c r="M250" s="386"/>
      <c r="N250" s="191">
        <f t="shared" si="359"/>
        <v>0.37076476282671827</v>
      </c>
      <c r="O250" s="152">
        <f t="shared" si="391"/>
        <v>7.3292248651638783</v>
      </c>
      <c r="P250" s="152">
        <f t="shared" si="392"/>
        <v>1.8971291384317523</v>
      </c>
      <c r="Q250" s="191">
        <f t="shared" si="362"/>
        <v>0.4886149910109252</v>
      </c>
      <c r="R250" s="191">
        <f t="shared" si="393"/>
        <v>0.45807655407274239</v>
      </c>
      <c r="S250" s="191">
        <f t="shared" si="394"/>
        <v>15</v>
      </c>
      <c r="T250" s="191">
        <f t="shared" si="395"/>
        <v>1.4264809979692485</v>
      </c>
      <c r="U250" s="191">
        <f t="shared" si="366"/>
        <v>0.98756376782486444</v>
      </c>
      <c r="V250" s="191">
        <f t="shared" si="367"/>
        <v>1.6760220602771851</v>
      </c>
      <c r="W250" s="175">
        <f t="shared" si="368"/>
        <v>350</v>
      </c>
      <c r="X250" s="386">
        <f t="shared" si="369"/>
        <v>350</v>
      </c>
      <c r="Z250" s="191">
        <f t="shared" si="370"/>
        <v>1.530140291030901</v>
      </c>
      <c r="AA250" s="153">
        <f t="shared" si="371"/>
        <v>1.7978149633522336</v>
      </c>
      <c r="AB250" s="153">
        <f t="shared" si="396"/>
        <v>0.19838286859929052</v>
      </c>
      <c r="AC250" s="153"/>
      <c r="AD250" s="153">
        <f t="shared" si="373"/>
        <v>0.96344647519582249</v>
      </c>
      <c r="AE250" s="317">
        <f t="shared" si="397"/>
        <v>860.73104633485377</v>
      </c>
      <c r="AF250" s="463">
        <f t="shared" si="398"/>
        <v>6.9127284595300251E-2</v>
      </c>
      <c r="AH250" s="153">
        <f t="shared" si="399"/>
        <v>1.4015864027752427</v>
      </c>
      <c r="AI250" s="153">
        <f t="shared" si="400"/>
        <v>1.4015864027752427</v>
      </c>
      <c r="AJ250" s="153">
        <f t="shared" si="401"/>
        <v>1.630804742796476</v>
      </c>
      <c r="AL250" s="317">
        <f t="shared" si="402"/>
        <v>170</v>
      </c>
      <c r="AM250" s="147">
        <f t="shared" si="403"/>
        <v>350</v>
      </c>
      <c r="AO250">
        <f t="shared" si="381"/>
        <v>170</v>
      </c>
      <c r="AP250">
        <f t="shared" si="382"/>
        <v>350</v>
      </c>
      <c r="AR250" s="5">
        <f t="shared" si="343"/>
        <v>2.8571428571428572</v>
      </c>
      <c r="AS250" s="5">
        <f t="shared" si="385"/>
        <v>0.97032904807516795</v>
      </c>
      <c r="AT250" s="5">
        <f t="shared" si="386"/>
        <v>1.8868138090676894</v>
      </c>
      <c r="AU250" s="153">
        <f t="shared" si="387"/>
        <v>0.33961516682630877</v>
      </c>
      <c r="CI250" s="59">
        <f t="shared" si="404"/>
        <v>-50</v>
      </c>
    </row>
    <row r="251" spans="5:87" x14ac:dyDescent="0.25">
      <c r="E251" s="150">
        <v>35</v>
      </c>
      <c r="F251" s="191">
        <f t="shared" si="405"/>
        <v>0.17499999999999999</v>
      </c>
      <c r="G251" s="191">
        <f t="shared" si="388"/>
        <v>3.4999999999999996E-2</v>
      </c>
      <c r="H251" s="191">
        <f t="shared" si="389"/>
        <v>2.625</v>
      </c>
      <c r="I251" s="191">
        <f t="shared" si="390"/>
        <v>0.55999999999999994</v>
      </c>
      <c r="J251" s="472">
        <f t="shared" si="356"/>
        <v>13</v>
      </c>
      <c r="K251" s="386">
        <f t="shared" si="357"/>
        <v>7.66</v>
      </c>
      <c r="L251" s="386">
        <f t="shared" si="358"/>
        <v>20.66</v>
      </c>
      <c r="M251" s="386"/>
      <c r="N251" s="191">
        <f t="shared" si="359"/>
        <v>0.37076476282671827</v>
      </c>
      <c r="O251" s="152">
        <f t="shared" si="391"/>
        <v>7.3292248651638783</v>
      </c>
      <c r="P251" s="152">
        <f t="shared" si="392"/>
        <v>1.8971291384317523</v>
      </c>
      <c r="Q251" s="191">
        <f t="shared" si="362"/>
        <v>0.4886149910109252</v>
      </c>
      <c r="R251" s="191">
        <f t="shared" si="393"/>
        <v>0.45807655407274239</v>
      </c>
      <c r="S251" s="191">
        <f t="shared" si="394"/>
        <v>15</v>
      </c>
      <c r="T251" s="191">
        <f t="shared" si="395"/>
        <v>1.4684363214389322</v>
      </c>
      <c r="U251" s="191">
        <f t="shared" si="366"/>
        <v>1.0166097609961839</v>
      </c>
      <c r="V251" s="191">
        <f t="shared" si="367"/>
        <v>1.7253168267559258</v>
      </c>
      <c r="W251" s="175">
        <f t="shared" si="368"/>
        <v>350</v>
      </c>
      <c r="X251" s="386">
        <f t="shared" si="369"/>
        <v>350</v>
      </c>
      <c r="Z251" s="191">
        <f t="shared" si="370"/>
        <v>1.530140291030901</v>
      </c>
      <c r="AA251" s="153">
        <f t="shared" si="371"/>
        <v>1.7978149633522336</v>
      </c>
      <c r="AB251" s="153">
        <f t="shared" si="396"/>
        <v>0.19838286859929052</v>
      </c>
      <c r="AC251" s="153"/>
      <c r="AD251" s="153">
        <f t="shared" si="373"/>
        <v>0.96344647519582249</v>
      </c>
      <c r="AE251" s="317">
        <f t="shared" si="397"/>
        <v>886.04666534470232</v>
      </c>
      <c r="AF251" s="463">
        <f t="shared" si="398"/>
        <v>6.9127284595300251E-2</v>
      </c>
      <c r="AH251" s="153">
        <f t="shared" si="399"/>
        <v>1.4220486005134361</v>
      </c>
      <c r="AI251" s="153">
        <f t="shared" si="400"/>
        <v>1.4220486005134361</v>
      </c>
      <c r="AJ251" s="153">
        <f t="shared" si="401"/>
        <v>1.6459619263062488</v>
      </c>
      <c r="AL251" s="317">
        <f t="shared" si="402"/>
        <v>175</v>
      </c>
      <c r="AM251" s="147">
        <f t="shared" si="403"/>
        <v>350</v>
      </c>
      <c r="AO251">
        <f t="shared" si="381"/>
        <v>175</v>
      </c>
      <c r="AP251">
        <f t="shared" si="382"/>
        <v>350</v>
      </c>
      <c r="AR251" s="5">
        <f t="shared" si="343"/>
        <v>2.8571428571428572</v>
      </c>
      <c r="AS251" s="5">
        <f t="shared" si="385"/>
        <v>0.98449518497084032</v>
      </c>
      <c r="AT251" s="5">
        <f t="shared" si="386"/>
        <v>1.8726476721720169</v>
      </c>
      <c r="AU251" s="153">
        <f t="shared" si="387"/>
        <v>0.34457331473979408</v>
      </c>
      <c r="CI251" s="59">
        <f t="shared" si="404"/>
        <v>-50</v>
      </c>
    </row>
    <row r="252" spans="5:87" x14ac:dyDescent="0.25">
      <c r="E252" s="150">
        <v>36</v>
      </c>
      <c r="F252" s="191">
        <f t="shared" si="405"/>
        <v>0.18</v>
      </c>
      <c r="G252" s="191">
        <f t="shared" si="388"/>
        <v>3.5999999999999997E-2</v>
      </c>
      <c r="H252" s="191">
        <f t="shared" si="389"/>
        <v>2.6999999999999997</v>
      </c>
      <c r="I252" s="191">
        <f t="shared" si="390"/>
        <v>0.57599999999999996</v>
      </c>
      <c r="J252" s="472">
        <f t="shared" si="356"/>
        <v>13</v>
      </c>
      <c r="K252" s="386">
        <f t="shared" si="357"/>
        <v>7.66</v>
      </c>
      <c r="L252" s="386">
        <f t="shared" si="358"/>
        <v>20.66</v>
      </c>
      <c r="M252" s="386"/>
      <c r="N252" s="191">
        <f t="shared" si="359"/>
        <v>0.37076476282671827</v>
      </c>
      <c r="O252" s="152">
        <f t="shared" si="391"/>
        <v>7.3292248651638783</v>
      </c>
      <c r="P252" s="152">
        <f t="shared" si="392"/>
        <v>1.8971291384317523</v>
      </c>
      <c r="Q252" s="191">
        <f t="shared" si="362"/>
        <v>0.4886149910109252</v>
      </c>
      <c r="R252" s="191">
        <f t="shared" si="393"/>
        <v>0.45807655407274239</v>
      </c>
      <c r="S252" s="191">
        <f t="shared" si="394"/>
        <v>15</v>
      </c>
      <c r="T252" s="191">
        <f t="shared" si="395"/>
        <v>1.5103916449086159</v>
      </c>
      <c r="U252" s="191">
        <f t="shared" si="366"/>
        <v>1.0456557541675033</v>
      </c>
      <c r="V252" s="191">
        <f t="shared" si="367"/>
        <v>1.7746115932346662</v>
      </c>
      <c r="W252" s="175">
        <f t="shared" si="368"/>
        <v>350</v>
      </c>
      <c r="X252" s="386">
        <f t="shared" si="369"/>
        <v>350</v>
      </c>
      <c r="Z252" s="191">
        <f t="shared" si="370"/>
        <v>1.530140291030901</v>
      </c>
      <c r="AA252" s="153">
        <f t="shared" si="371"/>
        <v>1.7978149633522336</v>
      </c>
      <c r="AB252" s="153">
        <f t="shared" si="396"/>
        <v>0.19838286859929052</v>
      </c>
      <c r="AC252" s="153"/>
      <c r="AD252" s="153">
        <f t="shared" si="373"/>
        <v>0.96344647519582249</v>
      </c>
      <c r="AE252" s="317">
        <f t="shared" si="397"/>
        <v>911.36228435455087</v>
      </c>
      <c r="AF252" s="463">
        <f t="shared" si="398"/>
        <v>6.9127284595300251E-2</v>
      </c>
      <c r="AH252" s="153">
        <f t="shared" si="399"/>
        <v>1.4422205101855958</v>
      </c>
      <c r="AI252" s="153">
        <f t="shared" si="400"/>
        <v>1.4422205101855958</v>
      </c>
      <c r="AJ252" s="153">
        <f t="shared" si="401"/>
        <v>1.66090408161896</v>
      </c>
      <c r="AL252" s="317">
        <f t="shared" si="402"/>
        <v>180</v>
      </c>
      <c r="AM252" s="147">
        <f t="shared" si="403"/>
        <v>350</v>
      </c>
      <c r="AO252">
        <f t="shared" si="381"/>
        <v>180</v>
      </c>
      <c r="AP252">
        <f t="shared" si="382"/>
        <v>350</v>
      </c>
      <c r="AR252" s="5">
        <f t="shared" si="343"/>
        <v>2.8571428571428572</v>
      </c>
      <c r="AS252" s="5">
        <f t="shared" si="385"/>
        <v>0.9984603532054126</v>
      </c>
      <c r="AT252" s="5">
        <f t="shared" si="386"/>
        <v>1.8586825039374446</v>
      </c>
      <c r="AU252" s="153">
        <f t="shared" si="387"/>
        <v>0.34946112362189441</v>
      </c>
      <c r="CI252" s="59">
        <f t="shared" si="404"/>
        <v>-50</v>
      </c>
    </row>
    <row r="253" spans="5:87" x14ac:dyDescent="0.25">
      <c r="E253" s="150">
        <v>37</v>
      </c>
      <c r="F253" s="191">
        <f t="shared" si="405"/>
        <v>0.185</v>
      </c>
      <c r="G253" s="191">
        <f t="shared" si="388"/>
        <v>3.6999999999999998E-2</v>
      </c>
      <c r="H253" s="191">
        <f t="shared" si="389"/>
        <v>2.7749999999999999</v>
      </c>
      <c r="I253" s="191">
        <f t="shared" si="390"/>
        <v>0.59199999999999997</v>
      </c>
      <c r="J253" s="472">
        <f t="shared" si="356"/>
        <v>13</v>
      </c>
      <c r="K253" s="386">
        <f t="shared" si="357"/>
        <v>7.66</v>
      </c>
      <c r="L253" s="386">
        <f t="shared" si="358"/>
        <v>20.66</v>
      </c>
      <c r="M253" s="386"/>
      <c r="N253" s="191">
        <f t="shared" si="359"/>
        <v>0.37076476282671827</v>
      </c>
      <c r="O253" s="152">
        <f t="shared" si="391"/>
        <v>7.3292248651638783</v>
      </c>
      <c r="P253" s="152">
        <f t="shared" si="392"/>
        <v>1.8971291384317523</v>
      </c>
      <c r="Q253" s="191">
        <f t="shared" si="362"/>
        <v>0.4886149910109252</v>
      </c>
      <c r="R253" s="191">
        <f t="shared" si="393"/>
        <v>0.45807655407274239</v>
      </c>
      <c r="S253" s="191">
        <f t="shared" si="394"/>
        <v>15</v>
      </c>
      <c r="T253" s="191">
        <f t="shared" si="395"/>
        <v>1.5523469683782998</v>
      </c>
      <c r="U253" s="191">
        <f t="shared" si="366"/>
        <v>1.0747017473388232</v>
      </c>
      <c r="V253" s="191">
        <f t="shared" si="367"/>
        <v>1.8239063597134073</v>
      </c>
      <c r="W253" s="175">
        <f t="shared" si="368"/>
        <v>350</v>
      </c>
      <c r="X253" s="386">
        <f t="shared" si="369"/>
        <v>344.9931701933175</v>
      </c>
      <c r="Z253" s="191">
        <f t="shared" si="370"/>
        <v>1.530140291030901</v>
      </c>
      <c r="AA253" s="153">
        <f t="shared" si="371"/>
        <v>1.7978149633522336</v>
      </c>
      <c r="AB253" s="153">
        <f t="shared" si="396"/>
        <v>0.19838286859929052</v>
      </c>
      <c r="AC253" s="153"/>
      <c r="AD253" s="153">
        <f t="shared" si="373"/>
        <v>0.96344647519582249</v>
      </c>
      <c r="AE253" s="317">
        <f t="shared" si="397"/>
        <v>936.67790336439953</v>
      </c>
      <c r="AF253" s="463">
        <f t="shared" si="398"/>
        <v>6.9127284595300251E-2</v>
      </c>
      <c r="AH253" s="153">
        <f t="shared" si="399"/>
        <v>1.4621141466307539</v>
      </c>
      <c r="AI253" s="153">
        <f t="shared" si="400"/>
        <v>1.4621141466307539</v>
      </c>
      <c r="AJ253" s="153">
        <f t="shared" si="401"/>
        <v>1.6756401086153732</v>
      </c>
      <c r="AL253" s="317">
        <f t="shared" si="402"/>
        <v>185</v>
      </c>
      <c r="AM253" s="147">
        <f t="shared" si="403"/>
        <v>344.9931701933175</v>
      </c>
      <c r="AO253">
        <f t="shared" si="381"/>
        <v>185</v>
      </c>
      <c r="AP253">
        <f t="shared" si="382"/>
        <v>344.9931701933175</v>
      </c>
      <c r="AR253" s="5">
        <f t="shared" si="343"/>
        <v>2.8986081070522305</v>
      </c>
      <c r="AS253" s="5">
        <f t="shared" si="385"/>
        <v>1.0122328707443682</v>
      </c>
      <c r="AT253" s="5">
        <f t="shared" si="386"/>
        <v>1.8863752363078623</v>
      </c>
      <c r="AU253" s="153">
        <f t="shared" si="387"/>
        <v>0.34921342705198216</v>
      </c>
      <c r="CI253" s="59">
        <f t="shared" si="404"/>
        <v>-50</v>
      </c>
    </row>
    <row r="254" spans="5:87" x14ac:dyDescent="0.25">
      <c r="E254" s="150">
        <v>38</v>
      </c>
      <c r="F254" s="191">
        <f t="shared" si="405"/>
        <v>0.19</v>
      </c>
      <c r="G254" s="191">
        <f t="shared" si="388"/>
        <v>3.8000000000000006E-2</v>
      </c>
      <c r="H254" s="191">
        <f t="shared" si="389"/>
        <v>2.85</v>
      </c>
      <c r="I254" s="191">
        <f t="shared" si="390"/>
        <v>0.6080000000000001</v>
      </c>
      <c r="J254" s="472">
        <f t="shared" si="356"/>
        <v>13</v>
      </c>
      <c r="K254" s="386">
        <f t="shared" si="357"/>
        <v>7.66</v>
      </c>
      <c r="L254" s="386">
        <f t="shared" si="358"/>
        <v>20.66</v>
      </c>
      <c r="M254" s="386"/>
      <c r="N254" s="191">
        <f t="shared" si="359"/>
        <v>0.37076476282671827</v>
      </c>
      <c r="O254" s="152">
        <f t="shared" si="391"/>
        <v>7.3292248651638783</v>
      </c>
      <c r="P254" s="152">
        <f t="shared" si="392"/>
        <v>1.8971291384317523</v>
      </c>
      <c r="Q254" s="191">
        <f t="shared" si="362"/>
        <v>0.4886149910109252</v>
      </c>
      <c r="R254" s="191">
        <f t="shared" si="393"/>
        <v>0.45807655407274239</v>
      </c>
      <c r="S254" s="191">
        <f t="shared" si="394"/>
        <v>15</v>
      </c>
      <c r="T254" s="191">
        <f t="shared" si="395"/>
        <v>1.5943022918479837</v>
      </c>
      <c r="U254" s="191">
        <f t="shared" si="366"/>
        <v>1.1037477405101426</v>
      </c>
      <c r="V254" s="191">
        <f t="shared" si="367"/>
        <v>1.873201126192148</v>
      </c>
      <c r="W254" s="175">
        <f t="shared" si="368"/>
        <v>350</v>
      </c>
      <c r="X254" s="386">
        <f t="shared" si="369"/>
        <v>335.91440255665128</v>
      </c>
      <c r="Z254" s="191">
        <f t="shared" si="370"/>
        <v>1.530140291030901</v>
      </c>
      <c r="AA254" s="153">
        <f t="shared" si="371"/>
        <v>1.7978149633522336</v>
      </c>
      <c r="AB254" s="153">
        <f t="shared" si="396"/>
        <v>0.19838286859929052</v>
      </c>
      <c r="AC254" s="153"/>
      <c r="AD254" s="153">
        <f t="shared" si="373"/>
        <v>0.96344647519582249</v>
      </c>
      <c r="AE254" s="317">
        <f t="shared" si="397"/>
        <v>961.9935223742483</v>
      </c>
      <c r="AF254" s="463">
        <f t="shared" si="398"/>
        <v>6.9127284595300251E-2</v>
      </c>
      <c r="AH254" s="153">
        <f t="shared" si="399"/>
        <v>1.4817407180595248</v>
      </c>
      <c r="AI254" s="153">
        <f t="shared" si="400"/>
        <v>1.4817407180595248</v>
      </c>
      <c r="AJ254" s="153">
        <f t="shared" si="401"/>
        <v>1.6901783096737222</v>
      </c>
      <c r="AL254" s="317">
        <f t="shared" si="402"/>
        <v>190</v>
      </c>
      <c r="AM254" s="147">
        <f t="shared" si="403"/>
        <v>335.91440255665128</v>
      </c>
      <c r="AO254">
        <f t="shared" si="381"/>
        <v>190</v>
      </c>
      <c r="AP254">
        <f t="shared" si="382"/>
        <v>335.91440255665128</v>
      </c>
      <c r="AR254" s="5">
        <f t="shared" si="343"/>
        <v>2.9769488667022905</v>
      </c>
      <c r="AS254" s="5">
        <f t="shared" si="385"/>
        <v>1.0258204971181324</v>
      </c>
      <c r="AT254" s="5">
        <f t="shared" si="386"/>
        <v>1.9511283695841581</v>
      </c>
      <c r="AU254" s="153">
        <f t="shared" si="387"/>
        <v>0.34458787941980445</v>
      </c>
      <c r="CI254" s="59">
        <f t="shared" si="404"/>
        <v>-50</v>
      </c>
    </row>
    <row r="255" spans="5:87" x14ac:dyDescent="0.25">
      <c r="E255" s="150">
        <v>39</v>
      </c>
      <c r="F255" s="191">
        <f t="shared" si="405"/>
        <v>0.19500000000000001</v>
      </c>
      <c r="G255" s="191">
        <f t="shared" si="388"/>
        <v>3.9000000000000007E-2</v>
      </c>
      <c r="H255" s="191">
        <f t="shared" si="389"/>
        <v>2.9250000000000003</v>
      </c>
      <c r="I255" s="191">
        <f t="shared" si="390"/>
        <v>0.62400000000000011</v>
      </c>
      <c r="J255" s="472">
        <f t="shared" si="356"/>
        <v>13</v>
      </c>
      <c r="K255" s="386">
        <f t="shared" si="357"/>
        <v>7.66</v>
      </c>
      <c r="L255" s="386">
        <f t="shared" si="358"/>
        <v>20.66</v>
      </c>
      <c r="M255" s="386"/>
      <c r="N255" s="191">
        <f t="shared" si="359"/>
        <v>0.37076476282671827</v>
      </c>
      <c r="O255" s="152">
        <f t="shared" si="391"/>
        <v>7.3292248651638783</v>
      </c>
      <c r="P255" s="152">
        <f t="shared" si="392"/>
        <v>1.8971291384317523</v>
      </c>
      <c r="Q255" s="191">
        <f t="shared" si="362"/>
        <v>0.4886149910109252</v>
      </c>
      <c r="R255" s="191">
        <f t="shared" si="393"/>
        <v>0.45807655407274239</v>
      </c>
      <c r="S255" s="191">
        <f t="shared" si="394"/>
        <v>15</v>
      </c>
      <c r="T255" s="191">
        <f t="shared" si="395"/>
        <v>1.6362576153176676</v>
      </c>
      <c r="U255" s="191">
        <f t="shared" si="366"/>
        <v>1.1327937336814622</v>
      </c>
      <c r="V255" s="191">
        <f t="shared" si="367"/>
        <v>1.9224958926708888</v>
      </c>
      <c r="W255" s="175">
        <f t="shared" si="368"/>
        <v>350</v>
      </c>
      <c r="X255" s="386">
        <f t="shared" si="369"/>
        <v>327.30121274750633</v>
      </c>
      <c r="Z255" s="191">
        <f t="shared" si="370"/>
        <v>1.530140291030901</v>
      </c>
      <c r="AA255" s="153">
        <f t="shared" si="371"/>
        <v>1.7978149633522336</v>
      </c>
      <c r="AB255" s="153">
        <f t="shared" si="396"/>
        <v>0.19838286859929052</v>
      </c>
      <c r="AC255" s="153"/>
      <c r="AD255" s="153">
        <f t="shared" si="373"/>
        <v>0.96344647519582249</v>
      </c>
      <c r="AE255" s="317">
        <f t="shared" si="397"/>
        <v>987.30914138409696</v>
      </c>
      <c r="AF255" s="463">
        <f t="shared" si="398"/>
        <v>6.9127284595300251E-2</v>
      </c>
      <c r="AH255" s="153">
        <f t="shared" si="399"/>
        <v>1.5011106998930273</v>
      </c>
      <c r="AI255" s="153">
        <f t="shared" si="400"/>
        <v>1.5011106998930273</v>
      </c>
      <c r="AJ255" s="153">
        <f t="shared" si="401"/>
        <v>1.7045264443652055</v>
      </c>
      <c r="AL255" s="317">
        <f t="shared" si="402"/>
        <v>195</v>
      </c>
      <c r="AM255" s="147">
        <f t="shared" si="403"/>
        <v>327.30121274750633</v>
      </c>
      <c r="AO255">
        <f t="shared" si="381"/>
        <v>195</v>
      </c>
      <c r="AP255">
        <f t="shared" si="382"/>
        <v>327.30121274750633</v>
      </c>
      <c r="AR255" s="5">
        <f t="shared" si="343"/>
        <v>3.055289626352351</v>
      </c>
      <c r="AS255" s="5">
        <f t="shared" si="385"/>
        <v>1.0392304845413267</v>
      </c>
      <c r="AT255" s="5">
        <f t="shared" si="386"/>
        <v>2.0160591418110245</v>
      </c>
      <c r="AU255" s="153">
        <f t="shared" si="387"/>
        <v>0.34014139791455489</v>
      </c>
      <c r="CI255" s="59">
        <f t="shared" si="404"/>
        <v>-50</v>
      </c>
    </row>
    <row r="256" spans="5:87" x14ac:dyDescent="0.25">
      <c r="E256" s="150">
        <v>40</v>
      </c>
      <c r="F256" s="191">
        <f t="shared" si="405"/>
        <v>0.2</v>
      </c>
      <c r="G256" s="191">
        <f t="shared" si="388"/>
        <v>4.0000000000000008E-2</v>
      </c>
      <c r="H256" s="191">
        <f t="shared" si="389"/>
        <v>3</v>
      </c>
      <c r="I256" s="191">
        <f t="shared" si="390"/>
        <v>0.64000000000000012</v>
      </c>
      <c r="J256" s="472">
        <f t="shared" si="356"/>
        <v>13</v>
      </c>
      <c r="K256" s="386">
        <f t="shared" si="357"/>
        <v>7.66</v>
      </c>
      <c r="L256" s="386">
        <f t="shared" si="358"/>
        <v>20.66</v>
      </c>
      <c r="M256" s="386"/>
      <c r="N256" s="191">
        <f t="shared" si="359"/>
        <v>0.37076476282671827</v>
      </c>
      <c r="O256" s="152">
        <f t="shared" si="391"/>
        <v>7.3292248651638783</v>
      </c>
      <c r="P256" s="152">
        <f t="shared" si="392"/>
        <v>1.8971291384317523</v>
      </c>
      <c r="Q256" s="191">
        <f t="shared" si="362"/>
        <v>0.4886149910109252</v>
      </c>
      <c r="R256" s="191">
        <f t="shared" si="393"/>
        <v>0.45807655407274239</v>
      </c>
      <c r="S256" s="191">
        <f t="shared" si="394"/>
        <v>15</v>
      </c>
      <c r="T256" s="191">
        <f t="shared" si="395"/>
        <v>1.6782129387873512</v>
      </c>
      <c r="U256" s="191">
        <f t="shared" si="366"/>
        <v>1.1618397268527818</v>
      </c>
      <c r="V256" s="191">
        <f t="shared" si="367"/>
        <v>1.9717906591496297</v>
      </c>
      <c r="W256" s="175">
        <f t="shared" si="368"/>
        <v>350</v>
      </c>
      <c r="X256" s="386">
        <f t="shared" si="369"/>
        <v>319.11868242881872</v>
      </c>
      <c r="Z256" s="191">
        <f t="shared" si="370"/>
        <v>1.530140291030901</v>
      </c>
      <c r="AA256" s="153">
        <f t="shared" si="371"/>
        <v>1.7978149633522336</v>
      </c>
      <c r="AB256" s="153">
        <f t="shared" si="396"/>
        <v>0.19838286859929052</v>
      </c>
      <c r="AC256" s="153"/>
      <c r="AD256" s="153">
        <f t="shared" si="373"/>
        <v>0.96344647519582249</v>
      </c>
      <c r="AE256" s="317">
        <f t="shared" si="397"/>
        <v>1012.6247603939456</v>
      </c>
      <c r="AF256" s="463">
        <f t="shared" si="398"/>
        <v>6.9127284595300251E-2</v>
      </c>
      <c r="AH256" s="153">
        <f t="shared" si="399"/>
        <v>1.5202339001321841</v>
      </c>
      <c r="AI256" s="153">
        <f t="shared" si="400"/>
        <v>1.6782129387873512</v>
      </c>
      <c r="AJ256" s="153">
        <f t="shared" si="401"/>
        <v>1.8357132879906306</v>
      </c>
      <c r="AL256" s="317">
        <f t="shared" si="402"/>
        <v>200</v>
      </c>
      <c r="AM256" s="147">
        <f t="shared" si="403"/>
        <v>319.11868242881872</v>
      </c>
      <c r="AO256">
        <f t="shared" si="381"/>
        <v>200</v>
      </c>
      <c r="AP256">
        <f t="shared" si="382"/>
        <v>319.11868242881872</v>
      </c>
      <c r="AR256" s="5">
        <f t="shared" si="343"/>
        <v>3.1336303860024111</v>
      </c>
      <c r="AS256" s="5">
        <f t="shared" si="385"/>
        <v>1.1618397268527818</v>
      </c>
      <c r="AT256" s="5">
        <f t="shared" si="386"/>
        <v>1.9717906591496293</v>
      </c>
      <c r="AU256" s="153">
        <f t="shared" si="387"/>
        <v>0.37076476282671833</v>
      </c>
      <c r="CI256" s="59">
        <f t="shared" si="404"/>
        <v>-50</v>
      </c>
    </row>
    <row r="257" spans="5:87" x14ac:dyDescent="0.25">
      <c r="E257" s="150">
        <v>41</v>
      </c>
      <c r="F257" s="191">
        <f t="shared" si="405"/>
        <v>0.20499999999999999</v>
      </c>
      <c r="G257" s="191">
        <f t="shared" si="388"/>
        <v>4.1000000000000002E-2</v>
      </c>
      <c r="H257" s="191">
        <f t="shared" si="389"/>
        <v>3.0749999999999997</v>
      </c>
      <c r="I257" s="191">
        <f t="shared" si="390"/>
        <v>0.65600000000000003</v>
      </c>
      <c r="J257" s="472">
        <f t="shared" si="356"/>
        <v>13</v>
      </c>
      <c r="K257" s="386">
        <f t="shared" si="357"/>
        <v>7.66</v>
      </c>
      <c r="L257" s="386">
        <f t="shared" si="358"/>
        <v>20.66</v>
      </c>
      <c r="M257" s="386"/>
      <c r="N257" s="191">
        <f t="shared" si="359"/>
        <v>0.37076476282671827</v>
      </c>
      <c r="O257" s="152">
        <f t="shared" si="391"/>
        <v>7.3292248651638783</v>
      </c>
      <c r="P257" s="152">
        <f t="shared" si="392"/>
        <v>1.8971291384317523</v>
      </c>
      <c r="Q257" s="191">
        <f t="shared" si="362"/>
        <v>0.4886149910109252</v>
      </c>
      <c r="R257" s="191">
        <f t="shared" si="393"/>
        <v>0.45807655407274239</v>
      </c>
      <c r="S257" s="191">
        <f t="shared" si="394"/>
        <v>15</v>
      </c>
      <c r="T257" s="191">
        <f t="shared" si="395"/>
        <v>1.7201682622570349</v>
      </c>
      <c r="U257" s="191">
        <f t="shared" si="366"/>
        <v>1.190885720024101</v>
      </c>
      <c r="V257" s="191">
        <f t="shared" si="367"/>
        <v>2.0210854256283697</v>
      </c>
      <c r="W257" s="175">
        <f t="shared" si="368"/>
        <v>350</v>
      </c>
      <c r="X257" s="386">
        <f t="shared" si="369"/>
        <v>311.33529993055492</v>
      </c>
      <c r="Z257" s="191">
        <f t="shared" si="370"/>
        <v>1.530140291030901</v>
      </c>
      <c r="AA257" s="153">
        <f t="shared" si="371"/>
        <v>1.7978149633522336</v>
      </c>
      <c r="AB257" s="153">
        <f t="shared" si="396"/>
        <v>0.19838286859929052</v>
      </c>
      <c r="AC257" s="153"/>
      <c r="AD257" s="153">
        <f t="shared" si="373"/>
        <v>0.96344647519582249</v>
      </c>
      <c r="AE257" s="317">
        <f t="shared" si="397"/>
        <v>1037.9403794037942</v>
      </c>
      <c r="AF257" s="463">
        <f t="shared" si="398"/>
        <v>6.9127284595300251E-2</v>
      </c>
      <c r="AH257" s="153">
        <f t="shared" si="399"/>
        <v>1.5391195174153594</v>
      </c>
      <c r="AI257" s="153">
        <f t="shared" si="400"/>
        <v>1.7201682622570349</v>
      </c>
      <c r="AJ257" s="153">
        <f t="shared" si="401"/>
        <v>1.8667913053755814</v>
      </c>
      <c r="AL257" s="317">
        <f t="shared" si="402"/>
        <v>205</v>
      </c>
      <c r="AM257" s="147">
        <f t="shared" si="403"/>
        <v>311.33529993055492</v>
      </c>
      <c r="AO257">
        <f t="shared" si="381"/>
        <v>205</v>
      </c>
      <c r="AP257">
        <f t="shared" si="382"/>
        <v>311.33529993055492</v>
      </c>
      <c r="AR257" s="5">
        <f t="shared" si="343"/>
        <v>3.2119711456524702</v>
      </c>
      <c r="AS257" s="5">
        <f t="shared" si="385"/>
        <v>1.190885720024101</v>
      </c>
      <c r="AT257" s="5">
        <f t="shared" si="386"/>
        <v>2.0210854256283692</v>
      </c>
      <c r="AU257" s="153">
        <f t="shared" si="387"/>
        <v>0.37076476282671839</v>
      </c>
      <c r="CI257" s="59">
        <f t="shared" si="404"/>
        <v>-50</v>
      </c>
    </row>
    <row r="258" spans="5:87" x14ac:dyDescent="0.25">
      <c r="E258" s="150">
        <v>42</v>
      </c>
      <c r="F258" s="191">
        <f t="shared" si="405"/>
        <v>0.21</v>
      </c>
      <c r="G258" s="191">
        <f t="shared" si="388"/>
        <v>4.2000000000000003E-2</v>
      </c>
      <c r="H258" s="191">
        <f t="shared" si="389"/>
        <v>3.15</v>
      </c>
      <c r="I258" s="191">
        <f t="shared" si="390"/>
        <v>0.67200000000000004</v>
      </c>
      <c r="J258" s="472">
        <f t="shared" si="356"/>
        <v>13</v>
      </c>
      <c r="K258" s="386">
        <f t="shared" si="357"/>
        <v>7.66</v>
      </c>
      <c r="L258" s="386">
        <f t="shared" si="358"/>
        <v>20.66</v>
      </c>
      <c r="M258" s="386"/>
      <c r="N258" s="191">
        <f t="shared" si="359"/>
        <v>0.37076476282671827</v>
      </c>
      <c r="O258" s="152">
        <f t="shared" si="391"/>
        <v>7.3292248651638783</v>
      </c>
      <c r="P258" s="152">
        <f t="shared" si="392"/>
        <v>1.8971291384317523</v>
      </c>
      <c r="Q258" s="191">
        <f t="shared" si="362"/>
        <v>0.4886149910109252</v>
      </c>
      <c r="R258" s="191">
        <f t="shared" si="393"/>
        <v>0.45807655407274239</v>
      </c>
      <c r="S258" s="191">
        <f t="shared" si="394"/>
        <v>15</v>
      </c>
      <c r="T258" s="191">
        <f t="shared" si="395"/>
        <v>1.7621235857267188</v>
      </c>
      <c r="U258" s="191">
        <f t="shared" si="366"/>
        <v>1.2199317131954206</v>
      </c>
      <c r="V258" s="191">
        <f t="shared" si="367"/>
        <v>2.0703801921071103</v>
      </c>
      <c r="W258" s="175">
        <f t="shared" si="368"/>
        <v>350</v>
      </c>
      <c r="X258" s="386">
        <f t="shared" si="369"/>
        <v>303.9225546941131</v>
      </c>
      <c r="Z258" s="191">
        <f t="shared" si="370"/>
        <v>1.530140291030901</v>
      </c>
      <c r="AA258" s="153">
        <f t="shared" si="371"/>
        <v>1.7978149633522336</v>
      </c>
      <c r="AB258" s="153">
        <f t="shared" si="396"/>
        <v>0.19838286859929052</v>
      </c>
      <c r="AC258" s="153"/>
      <c r="AD258" s="153">
        <f t="shared" si="373"/>
        <v>0.96344647519582249</v>
      </c>
      <c r="AE258" s="317">
        <f t="shared" si="397"/>
        <v>1063.2559984136428</v>
      </c>
      <c r="AF258" s="463">
        <f t="shared" si="398"/>
        <v>6.9127284595300251E-2</v>
      </c>
      <c r="AH258" s="153">
        <f t="shared" si="399"/>
        <v>1.5577761927397231</v>
      </c>
      <c r="AI258" s="153">
        <f t="shared" si="400"/>
        <v>1.7621235857267188</v>
      </c>
      <c r="AJ258" s="153">
        <f t="shared" si="401"/>
        <v>1.8978693227605326</v>
      </c>
      <c r="AL258" s="317">
        <f t="shared" si="402"/>
        <v>210</v>
      </c>
      <c r="AM258" s="147">
        <f t="shared" si="403"/>
        <v>303.9225546941131</v>
      </c>
      <c r="AO258">
        <f t="shared" si="381"/>
        <v>210</v>
      </c>
      <c r="AP258">
        <f t="shared" si="382"/>
        <v>303.9225546941131</v>
      </c>
      <c r="AR258" s="5">
        <f t="shared" si="343"/>
        <v>3.2903119053025311</v>
      </c>
      <c r="AS258" s="5">
        <f t="shared" si="385"/>
        <v>1.2199317131954206</v>
      </c>
      <c r="AT258" s="5">
        <f t="shared" si="386"/>
        <v>2.0703801921071108</v>
      </c>
      <c r="AU258" s="153">
        <f t="shared" si="387"/>
        <v>0.37076476282671833</v>
      </c>
      <c r="CI258" s="59">
        <f t="shared" si="404"/>
        <v>-50</v>
      </c>
    </row>
    <row r="259" spans="5:87" x14ac:dyDescent="0.25">
      <c r="E259" s="150">
        <v>43</v>
      </c>
      <c r="F259" s="191">
        <f t="shared" si="405"/>
        <v>0.215</v>
      </c>
      <c r="G259" s="191">
        <f t="shared" si="388"/>
        <v>4.3000000000000003E-2</v>
      </c>
      <c r="H259" s="191">
        <f t="shared" si="389"/>
        <v>3.2250000000000001</v>
      </c>
      <c r="I259" s="191">
        <f t="shared" si="390"/>
        <v>0.68800000000000006</v>
      </c>
      <c r="J259" s="472">
        <f t="shared" si="356"/>
        <v>13</v>
      </c>
      <c r="K259" s="386">
        <f t="shared" si="357"/>
        <v>7.66</v>
      </c>
      <c r="L259" s="386">
        <f t="shared" si="358"/>
        <v>20.66</v>
      </c>
      <c r="M259" s="386"/>
      <c r="N259" s="191">
        <f t="shared" si="359"/>
        <v>0.37076476282671827</v>
      </c>
      <c r="O259" s="152">
        <f t="shared" si="391"/>
        <v>7.3292248651638783</v>
      </c>
      <c r="P259" s="152">
        <f t="shared" si="392"/>
        <v>1.8971291384317523</v>
      </c>
      <c r="Q259" s="191">
        <f t="shared" si="362"/>
        <v>0.4886149910109252</v>
      </c>
      <c r="R259" s="191">
        <f t="shared" si="393"/>
        <v>0.45807655407274239</v>
      </c>
      <c r="S259" s="191">
        <f t="shared" si="394"/>
        <v>15</v>
      </c>
      <c r="T259" s="191">
        <f t="shared" si="395"/>
        <v>1.8040789091964027</v>
      </c>
      <c r="U259" s="191">
        <f t="shared" si="366"/>
        <v>1.2489777063667404</v>
      </c>
      <c r="V259" s="191">
        <f t="shared" si="367"/>
        <v>2.1196749585858514</v>
      </c>
      <c r="W259" s="175">
        <f t="shared" si="368"/>
        <v>350</v>
      </c>
      <c r="X259" s="386">
        <f t="shared" si="369"/>
        <v>296.85458830587788</v>
      </c>
      <c r="Z259" s="191">
        <f t="shared" si="370"/>
        <v>1.530140291030901</v>
      </c>
      <c r="AA259" s="153">
        <f t="shared" si="371"/>
        <v>1.7978149633522336</v>
      </c>
      <c r="AB259" s="153">
        <f t="shared" si="396"/>
        <v>0.19838286859929052</v>
      </c>
      <c r="AC259" s="153"/>
      <c r="AD259" s="153">
        <f t="shared" si="373"/>
        <v>0.96344647519582249</v>
      </c>
      <c r="AE259" s="317">
        <f t="shared" si="397"/>
        <v>1088.5716174234913</v>
      </c>
      <c r="AF259" s="463">
        <f t="shared" si="398"/>
        <v>6.9127284595300251E-2</v>
      </c>
      <c r="AH259" s="153">
        <f t="shared" si="399"/>
        <v>1.5762120556715853</v>
      </c>
      <c r="AI259" s="153">
        <f t="shared" si="400"/>
        <v>1.8040789091964027</v>
      </c>
      <c r="AJ259" s="153">
        <f t="shared" si="401"/>
        <v>1.9289473401454835</v>
      </c>
      <c r="AL259" s="317">
        <f t="shared" si="402"/>
        <v>215</v>
      </c>
      <c r="AM259" s="147">
        <f t="shared" si="403"/>
        <v>296.85458830587788</v>
      </c>
      <c r="AO259">
        <f t="shared" si="381"/>
        <v>215</v>
      </c>
      <c r="AP259">
        <f t="shared" si="382"/>
        <v>296.85458830587788</v>
      </c>
      <c r="AR259" s="5">
        <f t="shared" si="343"/>
        <v>3.3686526649525921</v>
      </c>
      <c r="AS259" s="5">
        <f t="shared" si="385"/>
        <v>1.2489777063667404</v>
      </c>
      <c r="AT259" s="5">
        <f t="shared" si="386"/>
        <v>2.1196749585858514</v>
      </c>
      <c r="AU259" s="153">
        <f t="shared" si="387"/>
        <v>0.37076476282671833</v>
      </c>
      <c r="CI259" s="59">
        <f t="shared" si="404"/>
        <v>-50</v>
      </c>
    </row>
    <row r="260" spans="5:87" x14ac:dyDescent="0.25">
      <c r="E260" s="150">
        <v>44</v>
      </c>
      <c r="F260" s="191">
        <f t="shared" si="405"/>
        <v>0.22</v>
      </c>
      <c r="G260" s="191">
        <f t="shared" si="388"/>
        <v>4.4000000000000004E-2</v>
      </c>
      <c r="H260" s="191">
        <f t="shared" si="389"/>
        <v>3.3</v>
      </c>
      <c r="I260" s="191">
        <f t="shared" si="390"/>
        <v>0.70400000000000007</v>
      </c>
      <c r="J260" s="472">
        <f t="shared" si="356"/>
        <v>13</v>
      </c>
      <c r="K260" s="386">
        <f t="shared" si="357"/>
        <v>7.66</v>
      </c>
      <c r="L260" s="386">
        <f t="shared" si="358"/>
        <v>20.66</v>
      </c>
      <c r="M260" s="386"/>
      <c r="N260" s="191">
        <f t="shared" si="359"/>
        <v>0.37076476282671827</v>
      </c>
      <c r="O260" s="152">
        <f t="shared" si="391"/>
        <v>7.3292248651638783</v>
      </c>
      <c r="P260" s="152">
        <f t="shared" si="392"/>
        <v>1.8971291384317523</v>
      </c>
      <c r="Q260" s="191">
        <f t="shared" si="362"/>
        <v>0.4886149910109252</v>
      </c>
      <c r="R260" s="191">
        <f t="shared" si="393"/>
        <v>0.45807655407274239</v>
      </c>
      <c r="S260" s="191">
        <f t="shared" si="394"/>
        <v>15</v>
      </c>
      <c r="T260" s="191">
        <f t="shared" si="395"/>
        <v>1.8460342326660861</v>
      </c>
      <c r="U260" s="191">
        <f t="shared" si="366"/>
        <v>1.2780236995380596</v>
      </c>
      <c r="V260" s="191">
        <f t="shared" si="367"/>
        <v>2.1689697250645921</v>
      </c>
      <c r="W260" s="175">
        <f t="shared" si="368"/>
        <v>350</v>
      </c>
      <c r="X260" s="386">
        <f t="shared" si="369"/>
        <v>290.10789311710795</v>
      </c>
      <c r="Z260" s="191">
        <f t="shared" si="370"/>
        <v>1.530140291030901</v>
      </c>
      <c r="AA260" s="153">
        <f t="shared" si="371"/>
        <v>1.7978149633522336</v>
      </c>
      <c r="AB260" s="153">
        <f t="shared" si="396"/>
        <v>0.19838286859929052</v>
      </c>
      <c r="AC260" s="153"/>
      <c r="AD260" s="153">
        <f t="shared" si="373"/>
        <v>0.96344647519582249</v>
      </c>
      <c r="AE260" s="317">
        <f t="shared" si="397"/>
        <v>1113.8872364333399</v>
      </c>
      <c r="AF260" s="463">
        <f t="shared" si="398"/>
        <v>6.9127284595300251E-2</v>
      </c>
      <c r="AH260" s="153">
        <f t="shared" si="399"/>
        <v>1.5944347657468529</v>
      </c>
      <c r="AI260" s="153">
        <f t="shared" si="400"/>
        <v>1.8460342326660861</v>
      </c>
      <c r="AJ260" s="153">
        <f t="shared" si="401"/>
        <v>1.9600253575304341</v>
      </c>
      <c r="AL260" s="317">
        <f t="shared" si="402"/>
        <v>220</v>
      </c>
      <c r="AM260" s="147">
        <f t="shared" si="403"/>
        <v>290.10789311710795</v>
      </c>
      <c r="AO260">
        <f t="shared" si="381"/>
        <v>220</v>
      </c>
      <c r="AP260">
        <f t="shared" si="382"/>
        <v>290.10789311710795</v>
      </c>
      <c r="AR260" s="5">
        <f t="shared" si="343"/>
        <v>3.4469934246026517</v>
      </c>
      <c r="AS260" s="5">
        <f t="shared" si="385"/>
        <v>1.2780236995380596</v>
      </c>
      <c r="AT260" s="5">
        <f t="shared" si="386"/>
        <v>2.1689697250645921</v>
      </c>
      <c r="AU260" s="153">
        <f t="shared" si="387"/>
        <v>0.37076476282671827</v>
      </c>
      <c r="CI260" s="59">
        <f t="shared" si="404"/>
        <v>-50</v>
      </c>
    </row>
    <row r="261" spans="5:87" x14ac:dyDescent="0.25">
      <c r="E261" s="150">
        <v>45</v>
      </c>
      <c r="F261" s="191">
        <f t="shared" si="405"/>
        <v>0.22500000000000001</v>
      </c>
      <c r="G261" s="191">
        <f t="shared" si="388"/>
        <v>4.5000000000000005E-2</v>
      </c>
      <c r="H261" s="191">
        <f t="shared" si="389"/>
        <v>3.375</v>
      </c>
      <c r="I261" s="191">
        <f t="shared" si="390"/>
        <v>0.72000000000000008</v>
      </c>
      <c r="J261" s="472">
        <f t="shared" si="356"/>
        <v>13</v>
      </c>
      <c r="K261" s="386">
        <f t="shared" si="357"/>
        <v>7.66</v>
      </c>
      <c r="L261" s="386">
        <f t="shared" si="358"/>
        <v>20.66</v>
      </c>
      <c r="M261" s="386"/>
      <c r="N261" s="191">
        <f t="shared" si="359"/>
        <v>0.37076476282671827</v>
      </c>
      <c r="O261" s="152">
        <f t="shared" si="391"/>
        <v>7.3292248651638783</v>
      </c>
      <c r="P261" s="152">
        <f t="shared" si="392"/>
        <v>1.8971291384317523</v>
      </c>
      <c r="Q261" s="191">
        <f t="shared" si="362"/>
        <v>0.4886149910109252</v>
      </c>
      <c r="R261" s="191">
        <f t="shared" si="393"/>
        <v>0.45807655407274239</v>
      </c>
      <c r="S261" s="191">
        <f t="shared" si="394"/>
        <v>15</v>
      </c>
      <c r="T261" s="191">
        <f t="shared" si="395"/>
        <v>1.88798955613577</v>
      </c>
      <c r="U261" s="191">
        <f t="shared" si="366"/>
        <v>1.3070696927093792</v>
      </c>
      <c r="V261" s="191">
        <f t="shared" si="367"/>
        <v>2.2182644915433327</v>
      </c>
      <c r="W261" s="175">
        <f t="shared" si="368"/>
        <v>350</v>
      </c>
      <c r="X261" s="386">
        <f t="shared" si="369"/>
        <v>283.6610510478389</v>
      </c>
      <c r="Z261" s="191">
        <f t="shared" si="370"/>
        <v>1.530140291030901</v>
      </c>
      <c r="AA261" s="153">
        <f t="shared" si="371"/>
        <v>1.7978149633522336</v>
      </c>
      <c r="AB261" s="153">
        <f t="shared" si="396"/>
        <v>0.19838286859929052</v>
      </c>
      <c r="AC261" s="153"/>
      <c r="AD261" s="153">
        <f t="shared" si="373"/>
        <v>0.96344647519582249</v>
      </c>
      <c r="AE261" s="317">
        <f t="shared" si="397"/>
        <v>1139.2028554431886</v>
      </c>
      <c r="AF261" s="463">
        <f t="shared" si="398"/>
        <v>6.9127284595300251E-2</v>
      </c>
      <c r="AH261" s="153">
        <f t="shared" si="399"/>
        <v>1.61245154965971</v>
      </c>
      <c r="AI261" s="153">
        <f t="shared" si="400"/>
        <v>1.88798955613577</v>
      </c>
      <c r="AJ261" s="153">
        <f t="shared" si="401"/>
        <v>1.9911033749153852</v>
      </c>
      <c r="AL261" s="317">
        <f t="shared" si="402"/>
        <v>225</v>
      </c>
      <c r="AM261" s="147">
        <f t="shared" si="403"/>
        <v>283.6610510478389</v>
      </c>
      <c r="AO261">
        <f t="shared" si="381"/>
        <v>225</v>
      </c>
      <c r="AP261">
        <f t="shared" si="382"/>
        <v>283.6610510478389</v>
      </c>
      <c r="AR261" s="5">
        <f t="shared" si="343"/>
        <v>3.5253341842527117</v>
      </c>
      <c r="AS261" s="5">
        <f t="shared" si="385"/>
        <v>1.3070696927093792</v>
      </c>
      <c r="AT261" s="5">
        <f t="shared" si="386"/>
        <v>2.2182644915433327</v>
      </c>
      <c r="AU261" s="153">
        <f t="shared" si="387"/>
        <v>0.37076476282671833</v>
      </c>
      <c r="CI261" s="59">
        <f t="shared" si="404"/>
        <v>-50</v>
      </c>
    </row>
    <row r="262" spans="5:87" x14ac:dyDescent="0.25">
      <c r="E262" s="150">
        <v>46</v>
      </c>
      <c r="F262" s="191">
        <f t="shared" si="405"/>
        <v>0.23</v>
      </c>
      <c r="G262" s="191">
        <f t="shared" si="388"/>
        <v>4.6000000000000006E-2</v>
      </c>
      <c r="H262" s="191">
        <f t="shared" si="389"/>
        <v>3.45</v>
      </c>
      <c r="I262" s="191">
        <f t="shared" si="390"/>
        <v>0.7360000000000001</v>
      </c>
      <c r="J262" s="472">
        <f t="shared" si="356"/>
        <v>13</v>
      </c>
      <c r="K262" s="386">
        <f t="shared" si="357"/>
        <v>7.66</v>
      </c>
      <c r="L262" s="386">
        <f t="shared" si="358"/>
        <v>20.66</v>
      </c>
      <c r="M262" s="386"/>
      <c r="N262" s="191">
        <f t="shared" si="359"/>
        <v>0.37076476282671827</v>
      </c>
      <c r="O262" s="152">
        <f t="shared" si="391"/>
        <v>7.3292248651638783</v>
      </c>
      <c r="P262" s="152">
        <f t="shared" si="392"/>
        <v>1.8971291384317523</v>
      </c>
      <c r="Q262" s="191">
        <f t="shared" si="362"/>
        <v>0.4886149910109252</v>
      </c>
      <c r="R262" s="191">
        <f t="shared" si="393"/>
        <v>0.45807655407274239</v>
      </c>
      <c r="S262" s="191">
        <f t="shared" si="394"/>
        <v>15</v>
      </c>
      <c r="T262" s="191">
        <f t="shared" si="395"/>
        <v>1.9299448796054539</v>
      </c>
      <c r="U262" s="191">
        <f t="shared" si="366"/>
        <v>1.3361156858806988</v>
      </c>
      <c r="V262" s="191">
        <f t="shared" si="367"/>
        <v>2.2675592580220738</v>
      </c>
      <c r="W262" s="175">
        <f t="shared" si="368"/>
        <v>350</v>
      </c>
      <c r="X262" s="386">
        <f t="shared" si="369"/>
        <v>277.49450645984234</v>
      </c>
      <c r="Z262" s="191">
        <f t="shared" si="370"/>
        <v>1.530140291030901</v>
      </c>
      <c r="AA262" s="153">
        <f t="shared" si="371"/>
        <v>1.7978149633522336</v>
      </c>
      <c r="AB262" s="153">
        <f t="shared" si="396"/>
        <v>0.19838286859929052</v>
      </c>
      <c r="AC262" s="153"/>
      <c r="AD262" s="153">
        <f t="shared" si="373"/>
        <v>0.96344647519582249</v>
      </c>
      <c r="AE262" s="317">
        <f t="shared" si="397"/>
        <v>1164.5184744530375</v>
      </c>
      <c r="AF262" s="463">
        <f t="shared" si="398"/>
        <v>6.9127284595300251E-2</v>
      </c>
      <c r="AH262" s="153">
        <f t="shared" si="399"/>
        <v>1.6302692347516645</v>
      </c>
      <c r="AI262" s="153">
        <f t="shared" si="400"/>
        <v>1.9299448796054539</v>
      </c>
      <c r="AJ262" s="153">
        <f t="shared" si="401"/>
        <v>2.022181392300336</v>
      </c>
      <c r="AL262" s="317">
        <f t="shared" si="402"/>
        <v>230</v>
      </c>
      <c r="AM262" s="147">
        <f t="shared" si="403"/>
        <v>277.49450645984234</v>
      </c>
      <c r="AO262">
        <f t="shared" si="381"/>
        <v>230</v>
      </c>
      <c r="AP262">
        <f t="shared" si="382"/>
        <v>277.49450645984234</v>
      </c>
      <c r="AR262" s="5">
        <f t="shared" si="343"/>
        <v>3.6036749439027731</v>
      </c>
      <c r="AS262" s="5">
        <f t="shared" si="385"/>
        <v>1.3361156858806988</v>
      </c>
      <c r="AT262" s="5">
        <f t="shared" si="386"/>
        <v>2.2675592580220743</v>
      </c>
      <c r="AU262" s="153">
        <f t="shared" si="387"/>
        <v>0.37076476282671822</v>
      </c>
      <c r="CI262" s="59">
        <f t="shared" si="404"/>
        <v>-50</v>
      </c>
    </row>
    <row r="263" spans="5:87" x14ac:dyDescent="0.25">
      <c r="E263" s="150">
        <v>47</v>
      </c>
      <c r="F263" s="191">
        <f t="shared" si="405"/>
        <v>0.23499999999999999</v>
      </c>
      <c r="G263" s="191">
        <f t="shared" si="388"/>
        <v>4.7E-2</v>
      </c>
      <c r="H263" s="191">
        <f t="shared" si="389"/>
        <v>3.5249999999999999</v>
      </c>
      <c r="I263" s="191">
        <f t="shared" si="390"/>
        <v>0.752</v>
      </c>
      <c r="J263" s="472">
        <f t="shared" si="356"/>
        <v>13</v>
      </c>
      <c r="K263" s="386">
        <f t="shared" si="357"/>
        <v>7.66</v>
      </c>
      <c r="L263" s="386">
        <f t="shared" si="358"/>
        <v>20.66</v>
      </c>
      <c r="M263" s="386"/>
      <c r="N263" s="191">
        <f t="shared" si="359"/>
        <v>0.37076476282671827</v>
      </c>
      <c r="O263" s="152">
        <f t="shared" si="391"/>
        <v>7.3292248651638783</v>
      </c>
      <c r="P263" s="152">
        <f t="shared" si="392"/>
        <v>1.8971291384317523</v>
      </c>
      <c r="Q263" s="191">
        <f t="shared" si="362"/>
        <v>0.4886149910109252</v>
      </c>
      <c r="R263" s="191">
        <f t="shared" si="393"/>
        <v>0.45807655407274239</v>
      </c>
      <c r="S263" s="191">
        <f t="shared" si="394"/>
        <v>15</v>
      </c>
      <c r="T263" s="191">
        <f t="shared" si="395"/>
        <v>1.9719002030751378</v>
      </c>
      <c r="U263" s="191">
        <f t="shared" si="366"/>
        <v>1.3651616790520185</v>
      </c>
      <c r="V263" s="191">
        <f t="shared" si="367"/>
        <v>2.3168540245008145</v>
      </c>
      <c r="W263" s="175">
        <f t="shared" si="368"/>
        <v>350</v>
      </c>
      <c r="X263" s="386">
        <f t="shared" si="369"/>
        <v>271.59036802452658</v>
      </c>
      <c r="Z263" s="191">
        <f t="shared" si="370"/>
        <v>1.530140291030901</v>
      </c>
      <c r="AA263" s="153">
        <f t="shared" si="371"/>
        <v>1.7978149633522336</v>
      </c>
      <c r="AB263" s="153">
        <f t="shared" si="396"/>
        <v>0.19838286859929052</v>
      </c>
      <c r="AC263" s="153"/>
      <c r="AD263" s="153">
        <f t="shared" si="373"/>
        <v>0.96344647519582249</v>
      </c>
      <c r="AE263" s="317">
        <f t="shared" si="397"/>
        <v>1189.8340934628859</v>
      </c>
      <c r="AF263" s="463">
        <f t="shared" si="398"/>
        <v>6.9127284595300251E-2</v>
      </c>
      <c r="AH263" s="153">
        <f t="shared" si="399"/>
        <v>1.6478942792411033</v>
      </c>
      <c r="AI263" s="153">
        <f t="shared" si="400"/>
        <v>1.9719002030751378</v>
      </c>
      <c r="AJ263" s="153">
        <f t="shared" si="401"/>
        <v>2.0532594096852872</v>
      </c>
      <c r="AL263" s="317">
        <f t="shared" si="402"/>
        <v>235</v>
      </c>
      <c r="AM263" s="147">
        <f t="shared" si="403"/>
        <v>271.59036802452658</v>
      </c>
      <c r="AO263">
        <f t="shared" si="381"/>
        <v>235</v>
      </c>
      <c r="AP263">
        <f t="shared" si="382"/>
        <v>271.59036802452658</v>
      </c>
      <c r="AR263" s="5">
        <f t="shared" ref="AR263:AR316" si="406">1/AM263*1000</f>
        <v>3.6820157035528327</v>
      </c>
      <c r="AS263" s="5">
        <f t="shared" si="385"/>
        <v>1.3651616790520185</v>
      </c>
      <c r="AT263" s="5">
        <f t="shared" si="386"/>
        <v>2.316854024500814</v>
      </c>
      <c r="AU263" s="153">
        <f t="shared" si="387"/>
        <v>0.37076476282671833</v>
      </c>
      <c r="CI263" s="59">
        <f t="shared" si="404"/>
        <v>-50</v>
      </c>
    </row>
    <row r="264" spans="5:87" x14ac:dyDescent="0.25">
      <c r="E264" s="150">
        <v>48</v>
      </c>
      <c r="F264" s="191">
        <f t="shared" si="405"/>
        <v>0.24</v>
      </c>
      <c r="G264" s="191">
        <f t="shared" si="388"/>
        <v>4.8000000000000001E-2</v>
      </c>
      <c r="H264" s="191">
        <f t="shared" si="389"/>
        <v>3.5999999999999996</v>
      </c>
      <c r="I264" s="191">
        <f t="shared" si="390"/>
        <v>0.76800000000000002</v>
      </c>
      <c r="J264" s="472">
        <f t="shared" si="356"/>
        <v>13</v>
      </c>
      <c r="K264" s="386">
        <f t="shared" si="357"/>
        <v>7.66</v>
      </c>
      <c r="L264" s="386">
        <f t="shared" si="358"/>
        <v>20.66</v>
      </c>
      <c r="M264" s="386"/>
      <c r="N264" s="191">
        <f t="shared" si="359"/>
        <v>0.37076476282671827</v>
      </c>
      <c r="O264" s="152">
        <f t="shared" si="391"/>
        <v>7.3292248651638783</v>
      </c>
      <c r="P264" s="152">
        <f t="shared" si="392"/>
        <v>1.8971291384317523</v>
      </c>
      <c r="Q264" s="191">
        <f t="shared" si="362"/>
        <v>0.4886149910109252</v>
      </c>
      <c r="R264" s="191">
        <f t="shared" si="393"/>
        <v>0.45807655407274239</v>
      </c>
      <c r="S264" s="191">
        <f t="shared" si="394"/>
        <v>15</v>
      </c>
      <c r="T264" s="191">
        <f t="shared" si="395"/>
        <v>2.013855526544821</v>
      </c>
      <c r="U264" s="191">
        <f t="shared" si="366"/>
        <v>1.3942076722233379</v>
      </c>
      <c r="V264" s="191">
        <f t="shared" si="367"/>
        <v>2.3661487909795551</v>
      </c>
      <c r="W264" s="175">
        <f t="shared" si="368"/>
        <v>350</v>
      </c>
      <c r="X264" s="386">
        <f t="shared" si="369"/>
        <v>265.93223535734893</v>
      </c>
      <c r="Z264" s="191">
        <f t="shared" si="370"/>
        <v>1.530140291030901</v>
      </c>
      <c r="AA264" s="153">
        <f t="shared" si="371"/>
        <v>1.7978149633522336</v>
      </c>
      <c r="AB264" s="153">
        <f t="shared" si="396"/>
        <v>0.19838286859929052</v>
      </c>
      <c r="AC264" s="153"/>
      <c r="AD264" s="153">
        <f t="shared" si="373"/>
        <v>0.96344647519582249</v>
      </c>
      <c r="AE264" s="317">
        <f t="shared" si="397"/>
        <v>1215.1497124727346</v>
      </c>
      <c r="AF264" s="463">
        <f t="shared" si="398"/>
        <v>6.9127284595300251E-2</v>
      </c>
      <c r="AH264" s="153">
        <f t="shared" si="399"/>
        <v>1.6653327995729061</v>
      </c>
      <c r="AI264" s="153">
        <f t="shared" si="400"/>
        <v>2.013855526544821</v>
      </c>
      <c r="AJ264" s="153">
        <f t="shared" si="401"/>
        <v>2.0843374270702379</v>
      </c>
      <c r="AL264" s="317">
        <f t="shared" si="402"/>
        <v>240</v>
      </c>
      <c r="AM264" s="147">
        <f t="shared" si="403"/>
        <v>265.93223535734893</v>
      </c>
      <c r="AO264">
        <f t="shared" si="381"/>
        <v>240</v>
      </c>
      <c r="AP264">
        <f t="shared" si="382"/>
        <v>265.93223535734893</v>
      </c>
      <c r="AR264" s="5">
        <f t="shared" si="406"/>
        <v>3.7603564632028932</v>
      </c>
      <c r="AS264" s="5">
        <f t="shared" si="385"/>
        <v>1.3942076722233379</v>
      </c>
      <c r="AT264" s="5">
        <f t="shared" si="386"/>
        <v>2.3661487909795555</v>
      </c>
      <c r="AU264" s="153">
        <f t="shared" si="387"/>
        <v>0.37076476282671827</v>
      </c>
      <c r="CI264" s="59">
        <f t="shared" si="404"/>
        <v>-50</v>
      </c>
    </row>
    <row r="265" spans="5:87" x14ac:dyDescent="0.25">
      <c r="E265" s="150">
        <v>49</v>
      </c>
      <c r="F265" s="191">
        <f t="shared" si="405"/>
        <v>0.245</v>
      </c>
      <c r="G265" s="191">
        <f t="shared" si="388"/>
        <v>4.9000000000000002E-2</v>
      </c>
      <c r="H265" s="191">
        <f t="shared" si="389"/>
        <v>3.6749999999999998</v>
      </c>
      <c r="I265" s="191">
        <f t="shared" si="390"/>
        <v>0.78400000000000003</v>
      </c>
      <c r="J265" s="472">
        <f t="shared" si="356"/>
        <v>13</v>
      </c>
      <c r="K265" s="386">
        <f t="shared" si="357"/>
        <v>7.66</v>
      </c>
      <c r="L265" s="386">
        <f t="shared" si="358"/>
        <v>20.66</v>
      </c>
      <c r="M265" s="386"/>
      <c r="N265" s="191">
        <f t="shared" si="359"/>
        <v>0.37076476282671827</v>
      </c>
      <c r="O265" s="152">
        <f t="shared" si="391"/>
        <v>7.3292248651638783</v>
      </c>
      <c r="P265" s="152">
        <f t="shared" si="392"/>
        <v>1.8971291384317523</v>
      </c>
      <c r="Q265" s="191">
        <f t="shared" si="362"/>
        <v>0.4886149910109252</v>
      </c>
      <c r="R265" s="191">
        <f t="shared" si="393"/>
        <v>0.45807655407274239</v>
      </c>
      <c r="S265" s="191">
        <f t="shared" si="394"/>
        <v>15</v>
      </c>
      <c r="T265" s="191">
        <f t="shared" si="395"/>
        <v>2.0558108500145051</v>
      </c>
      <c r="U265" s="191">
        <f t="shared" si="366"/>
        <v>1.4232536653946575</v>
      </c>
      <c r="V265" s="191">
        <f t="shared" si="367"/>
        <v>2.4154435574582958</v>
      </c>
      <c r="W265" s="175">
        <f t="shared" si="368"/>
        <v>350</v>
      </c>
      <c r="X265" s="386">
        <f t="shared" si="369"/>
        <v>260.50504688066832</v>
      </c>
      <c r="Z265" s="191">
        <f t="shared" si="370"/>
        <v>1.530140291030901</v>
      </c>
      <c r="AA265" s="153">
        <f t="shared" si="371"/>
        <v>1.7978149633522336</v>
      </c>
      <c r="AB265" s="153">
        <f t="shared" si="396"/>
        <v>0.19838286859929052</v>
      </c>
      <c r="AC265" s="153"/>
      <c r="AD265" s="153">
        <f t="shared" si="373"/>
        <v>0.96344647519582249</v>
      </c>
      <c r="AE265" s="317">
        <f t="shared" si="397"/>
        <v>1240.4653314825832</v>
      </c>
      <c r="AF265" s="463">
        <f t="shared" si="398"/>
        <v>6.9127284595300251E-2</v>
      </c>
      <c r="AH265" s="153">
        <f t="shared" si="399"/>
        <v>1.6825905952165283</v>
      </c>
      <c r="AI265" s="153">
        <f t="shared" si="400"/>
        <v>2.0558108500145051</v>
      </c>
      <c r="AJ265" s="153">
        <f t="shared" si="401"/>
        <v>2.1154154444551891</v>
      </c>
      <c r="AL265" s="317">
        <f t="shared" si="402"/>
        <v>245</v>
      </c>
      <c r="AM265" s="147">
        <f t="shared" si="403"/>
        <v>260.50504688066832</v>
      </c>
      <c r="AO265">
        <f t="shared" si="381"/>
        <v>245</v>
      </c>
      <c r="AP265">
        <f t="shared" si="382"/>
        <v>260.50504688066832</v>
      </c>
      <c r="AR265" s="5">
        <f t="shared" si="406"/>
        <v>3.8386972228529537</v>
      </c>
      <c r="AS265" s="5">
        <f t="shared" si="385"/>
        <v>1.4232536653946575</v>
      </c>
      <c r="AT265" s="5">
        <f t="shared" si="386"/>
        <v>2.4154435574582962</v>
      </c>
      <c r="AU265" s="153">
        <f t="shared" si="387"/>
        <v>0.37076476282671827</v>
      </c>
      <c r="CI265" s="59">
        <f t="shared" si="404"/>
        <v>-50</v>
      </c>
    </row>
    <row r="266" spans="5:87" x14ac:dyDescent="0.25">
      <c r="E266" s="150">
        <v>50</v>
      </c>
      <c r="F266" s="191">
        <f t="shared" si="405"/>
        <v>0.25</v>
      </c>
      <c r="G266" s="191">
        <f t="shared" si="388"/>
        <v>0.05</v>
      </c>
      <c r="H266" s="191">
        <f t="shared" si="389"/>
        <v>3.75</v>
      </c>
      <c r="I266" s="191">
        <f t="shared" si="390"/>
        <v>0.8</v>
      </c>
      <c r="J266" s="472">
        <f t="shared" si="356"/>
        <v>13</v>
      </c>
      <c r="K266" s="386">
        <f t="shared" si="357"/>
        <v>7.66</v>
      </c>
      <c r="L266" s="386">
        <f t="shared" si="358"/>
        <v>20.66</v>
      </c>
      <c r="M266" s="386"/>
      <c r="N266" s="191">
        <f t="shared" si="359"/>
        <v>0.37076476282671827</v>
      </c>
      <c r="O266" s="152">
        <f t="shared" si="391"/>
        <v>7.3292248651638783</v>
      </c>
      <c r="P266" s="152">
        <f t="shared" si="392"/>
        <v>1.8971291384317523</v>
      </c>
      <c r="Q266" s="191">
        <f t="shared" si="362"/>
        <v>0.4886149910109252</v>
      </c>
      <c r="R266" s="191">
        <f t="shared" si="393"/>
        <v>0.45807655407274239</v>
      </c>
      <c r="S266" s="191">
        <f t="shared" si="394"/>
        <v>15</v>
      </c>
      <c r="T266" s="191">
        <f t="shared" si="395"/>
        <v>2.0977661734841888</v>
      </c>
      <c r="U266" s="191">
        <f t="shared" si="366"/>
        <v>1.4522996585659769</v>
      </c>
      <c r="V266" s="191">
        <f t="shared" si="367"/>
        <v>2.4647383239370368</v>
      </c>
      <c r="W266" s="175">
        <f t="shared" si="368"/>
        <v>350</v>
      </c>
      <c r="X266" s="386">
        <f t="shared" si="369"/>
        <v>255.29494594305496</v>
      </c>
      <c r="Z266" s="191">
        <f t="shared" si="370"/>
        <v>1.530140291030901</v>
      </c>
      <c r="AA266" s="153">
        <f t="shared" si="371"/>
        <v>1.7978149633522336</v>
      </c>
      <c r="AB266" s="153">
        <f t="shared" si="396"/>
        <v>0.19838286859929052</v>
      </c>
      <c r="AC266" s="153"/>
      <c r="AD266" s="153">
        <f t="shared" si="373"/>
        <v>0.96344647519582249</v>
      </c>
      <c r="AE266" s="317">
        <f t="shared" si="397"/>
        <v>1265.7809504924319</v>
      </c>
      <c r="AF266" s="463">
        <f t="shared" si="398"/>
        <v>6.9127284595300251E-2</v>
      </c>
      <c r="AH266" s="153">
        <f t="shared" si="399"/>
        <v>1.699673171197595</v>
      </c>
      <c r="AI266" s="153">
        <f t="shared" si="400"/>
        <v>2.0977661734841888</v>
      </c>
      <c r="AJ266" s="153">
        <f t="shared" si="401"/>
        <v>2.1464934618401399</v>
      </c>
      <c r="AL266" s="317">
        <f t="shared" si="402"/>
        <v>250</v>
      </c>
      <c r="AM266" s="147">
        <f t="shared" si="403"/>
        <v>255.29494594305496</v>
      </c>
      <c r="AO266">
        <f t="shared" si="381"/>
        <v>250</v>
      </c>
      <c r="AP266">
        <f t="shared" si="382"/>
        <v>255.29494594305496</v>
      </c>
      <c r="AR266" s="5">
        <f t="shared" si="406"/>
        <v>3.9170379825030137</v>
      </c>
      <c r="AS266" s="5">
        <f t="shared" si="385"/>
        <v>1.4522996585659769</v>
      </c>
      <c r="AT266" s="5">
        <f t="shared" si="386"/>
        <v>2.4647383239370368</v>
      </c>
      <c r="AU266" s="153">
        <f t="shared" si="387"/>
        <v>0.37076476282671827</v>
      </c>
      <c r="CI266" s="59">
        <f t="shared" si="404"/>
        <v>-50</v>
      </c>
    </row>
    <row r="267" spans="5:87" x14ac:dyDescent="0.25">
      <c r="E267" s="150">
        <v>51</v>
      </c>
      <c r="F267" s="191">
        <f t="shared" si="405"/>
        <v>0.255</v>
      </c>
      <c r="G267" s="191">
        <f t="shared" si="388"/>
        <v>5.1000000000000004E-2</v>
      </c>
      <c r="H267" s="191">
        <f t="shared" si="389"/>
        <v>3.8250000000000002</v>
      </c>
      <c r="I267" s="191">
        <f t="shared" si="390"/>
        <v>0.81600000000000006</v>
      </c>
      <c r="J267" s="472">
        <f t="shared" si="356"/>
        <v>13</v>
      </c>
      <c r="K267" s="386">
        <f t="shared" si="357"/>
        <v>7.66</v>
      </c>
      <c r="L267" s="386">
        <f t="shared" si="358"/>
        <v>20.66</v>
      </c>
      <c r="M267" s="386"/>
      <c r="N267" s="191">
        <f t="shared" si="359"/>
        <v>0.37076476282671827</v>
      </c>
      <c r="O267" s="152">
        <f t="shared" si="391"/>
        <v>7.3292248651638783</v>
      </c>
      <c r="P267" s="152">
        <f t="shared" si="392"/>
        <v>1.8971291384317523</v>
      </c>
      <c r="Q267" s="191">
        <f t="shared" si="362"/>
        <v>0.4886149910109252</v>
      </c>
      <c r="R267" s="191">
        <f t="shared" si="393"/>
        <v>0.45807655407274239</v>
      </c>
      <c r="S267" s="191">
        <f t="shared" si="394"/>
        <v>15</v>
      </c>
      <c r="T267" s="191">
        <f t="shared" si="395"/>
        <v>2.1397214969538729</v>
      </c>
      <c r="U267" s="191">
        <f t="shared" si="366"/>
        <v>1.4813456517372967</v>
      </c>
      <c r="V267" s="191">
        <f t="shared" si="367"/>
        <v>2.5140330904157775</v>
      </c>
      <c r="W267" s="175">
        <f t="shared" si="368"/>
        <v>350</v>
      </c>
      <c r="X267" s="386">
        <f t="shared" si="369"/>
        <v>250.2891626892696</v>
      </c>
      <c r="Z267" s="191">
        <f t="shared" si="370"/>
        <v>1.530140291030901</v>
      </c>
      <c r="AA267" s="153">
        <f t="shared" si="371"/>
        <v>1.7978149633522336</v>
      </c>
      <c r="AB267" s="153">
        <f t="shared" si="396"/>
        <v>0.19838286859929052</v>
      </c>
      <c r="AC267" s="153"/>
      <c r="AD267" s="153">
        <f t="shared" si="373"/>
        <v>0.96344647519582249</v>
      </c>
      <c r="AE267" s="317">
        <f t="shared" si="397"/>
        <v>1291.0965695022803</v>
      </c>
      <c r="AF267" s="463">
        <f t="shared" si="398"/>
        <v>6.9127284595300251E-2</v>
      </c>
      <c r="AH267" s="153">
        <f t="shared" si="399"/>
        <v>1.7165857586111644</v>
      </c>
      <c r="AI267" s="153">
        <f t="shared" si="400"/>
        <v>2.1397214969538729</v>
      </c>
      <c r="AJ267" s="153">
        <f t="shared" si="401"/>
        <v>2.1775714792250911</v>
      </c>
      <c r="AL267" s="317">
        <f t="shared" si="402"/>
        <v>255</v>
      </c>
      <c r="AM267" s="147">
        <f t="shared" si="403"/>
        <v>250.2891626892696</v>
      </c>
      <c r="AO267">
        <f t="shared" si="381"/>
        <v>255</v>
      </c>
      <c r="AP267">
        <f t="shared" si="382"/>
        <v>250.2891626892696</v>
      </c>
      <c r="AR267" s="5">
        <f t="shared" si="406"/>
        <v>3.9953787421530733</v>
      </c>
      <c r="AS267" s="5">
        <f t="shared" si="385"/>
        <v>1.4813456517372967</v>
      </c>
      <c r="AT267" s="5">
        <f t="shared" si="386"/>
        <v>2.5140330904157766</v>
      </c>
      <c r="AU267" s="153">
        <f t="shared" si="387"/>
        <v>0.37076476282671839</v>
      </c>
      <c r="CI267" s="59">
        <f t="shared" si="404"/>
        <v>-50</v>
      </c>
    </row>
    <row r="268" spans="5:87" x14ac:dyDescent="0.25">
      <c r="E268" s="150">
        <v>52</v>
      </c>
      <c r="F268" s="191">
        <f t="shared" si="405"/>
        <v>0.26</v>
      </c>
      <c r="G268" s="191">
        <f t="shared" si="388"/>
        <v>5.2000000000000005E-2</v>
      </c>
      <c r="H268" s="191">
        <f t="shared" si="389"/>
        <v>3.9000000000000004</v>
      </c>
      <c r="I268" s="191">
        <f t="shared" si="390"/>
        <v>0.83200000000000007</v>
      </c>
      <c r="J268" s="472">
        <f t="shared" si="356"/>
        <v>13</v>
      </c>
      <c r="K268" s="386">
        <f t="shared" si="357"/>
        <v>7.66</v>
      </c>
      <c r="L268" s="386">
        <f t="shared" si="358"/>
        <v>20.66</v>
      </c>
      <c r="M268" s="386"/>
      <c r="N268" s="191">
        <f t="shared" si="359"/>
        <v>0.37076476282671827</v>
      </c>
      <c r="O268" s="152">
        <f t="shared" si="391"/>
        <v>7.3292248651638783</v>
      </c>
      <c r="P268" s="152">
        <f t="shared" si="392"/>
        <v>1.8971291384317523</v>
      </c>
      <c r="Q268" s="191">
        <f t="shared" si="362"/>
        <v>0.4886149910109252</v>
      </c>
      <c r="R268" s="191">
        <f t="shared" si="393"/>
        <v>0.45807655407274239</v>
      </c>
      <c r="S268" s="191">
        <f t="shared" si="394"/>
        <v>15</v>
      </c>
      <c r="T268" s="191">
        <f t="shared" si="395"/>
        <v>2.1816768204235566</v>
      </c>
      <c r="U268" s="191">
        <f t="shared" si="366"/>
        <v>1.5103916449086161</v>
      </c>
      <c r="V268" s="191">
        <f t="shared" si="367"/>
        <v>2.5633278568945186</v>
      </c>
      <c r="W268" s="175">
        <f t="shared" si="368"/>
        <v>350</v>
      </c>
      <c r="X268" s="386">
        <f t="shared" si="369"/>
        <v>245.47590956062976</v>
      </c>
      <c r="Z268" s="191">
        <f t="shared" si="370"/>
        <v>1.530140291030901</v>
      </c>
      <c r="AA268" s="153">
        <f t="shared" si="371"/>
        <v>1.7978149633522336</v>
      </c>
      <c r="AB268" s="153">
        <f t="shared" si="396"/>
        <v>0.19838286859929052</v>
      </c>
      <c r="AC268" s="153"/>
      <c r="AD268" s="153">
        <f t="shared" si="373"/>
        <v>0.96344647519582249</v>
      </c>
      <c r="AE268" s="317">
        <f t="shared" si="397"/>
        <v>1316.4121885121292</v>
      </c>
      <c r="AF268" s="463">
        <f t="shared" si="398"/>
        <v>6.9127284595300251E-2</v>
      </c>
      <c r="AH268" s="153">
        <f t="shared" si="399"/>
        <v>1.7333333333333334</v>
      </c>
      <c r="AI268" s="153">
        <f t="shared" si="400"/>
        <v>2.1816768204235566</v>
      </c>
      <c r="AJ268" s="153">
        <f t="shared" si="401"/>
        <v>2.2086494966100418</v>
      </c>
      <c r="AL268" s="317">
        <f t="shared" si="402"/>
        <v>260</v>
      </c>
      <c r="AM268" s="147">
        <f t="shared" si="403"/>
        <v>245.47590956062976</v>
      </c>
      <c r="AO268">
        <f t="shared" si="381"/>
        <v>260</v>
      </c>
      <c r="AP268">
        <f t="shared" si="382"/>
        <v>245.47590956062976</v>
      </c>
      <c r="AR268" s="5">
        <f t="shared" si="406"/>
        <v>4.0737195018031347</v>
      </c>
      <c r="AS268" s="5">
        <f t="shared" si="385"/>
        <v>1.5103916449086161</v>
      </c>
      <c r="AT268" s="5">
        <f t="shared" si="386"/>
        <v>2.5633278568945186</v>
      </c>
      <c r="AU268" s="153">
        <f t="shared" si="387"/>
        <v>0.37076476282671827</v>
      </c>
      <c r="CI268" s="59">
        <f t="shared" si="404"/>
        <v>-50</v>
      </c>
    </row>
    <row r="269" spans="5:87" x14ac:dyDescent="0.25">
      <c r="E269" s="150">
        <v>53</v>
      </c>
      <c r="F269" s="191">
        <f t="shared" si="405"/>
        <v>0.26500000000000001</v>
      </c>
      <c r="G269" s="191">
        <f t="shared" si="388"/>
        <v>5.3000000000000005E-2</v>
      </c>
      <c r="H269" s="191">
        <f t="shared" si="389"/>
        <v>3.9750000000000001</v>
      </c>
      <c r="I269" s="191">
        <f t="shared" si="390"/>
        <v>0.84800000000000009</v>
      </c>
      <c r="J269" s="472">
        <f t="shared" si="356"/>
        <v>13</v>
      </c>
      <c r="K269" s="386">
        <f t="shared" si="357"/>
        <v>7.66</v>
      </c>
      <c r="L269" s="386">
        <f t="shared" si="358"/>
        <v>20.66</v>
      </c>
      <c r="M269" s="386"/>
      <c r="N269" s="191">
        <f t="shared" si="359"/>
        <v>0.37076476282671827</v>
      </c>
      <c r="O269" s="152">
        <f t="shared" si="391"/>
        <v>7.3292248651638783</v>
      </c>
      <c r="P269" s="152">
        <f t="shared" si="392"/>
        <v>1.8971291384317523</v>
      </c>
      <c r="Q269" s="191">
        <f t="shared" si="362"/>
        <v>0.4886149910109252</v>
      </c>
      <c r="R269" s="191">
        <f t="shared" si="393"/>
        <v>0.45807655407274239</v>
      </c>
      <c r="S269" s="191">
        <f t="shared" si="394"/>
        <v>15</v>
      </c>
      <c r="T269" s="191">
        <f t="shared" si="395"/>
        <v>2.2236321438932407</v>
      </c>
      <c r="U269" s="191">
        <f t="shared" si="366"/>
        <v>1.5394376380799357</v>
      </c>
      <c r="V269" s="191">
        <f t="shared" si="367"/>
        <v>2.6126226233732592</v>
      </c>
      <c r="W269" s="175">
        <f t="shared" si="368"/>
        <v>350</v>
      </c>
      <c r="X269" s="386">
        <f t="shared" si="369"/>
        <v>240.84428862552355</v>
      </c>
      <c r="Z269" s="191">
        <f t="shared" si="370"/>
        <v>1.530140291030901</v>
      </c>
      <c r="AA269" s="153">
        <f t="shared" si="371"/>
        <v>1.7978149633522336</v>
      </c>
      <c r="AB269" s="153">
        <f t="shared" si="396"/>
        <v>0.19838286859929052</v>
      </c>
      <c r="AC269" s="153"/>
      <c r="AD269" s="153">
        <f t="shared" si="373"/>
        <v>0.96344647519582249</v>
      </c>
      <c r="AE269" s="317">
        <f t="shared" si="397"/>
        <v>1341.7278075219779</v>
      </c>
      <c r="AF269" s="463">
        <f t="shared" si="398"/>
        <v>6.9127284595300251E-2</v>
      </c>
      <c r="AH269" s="153">
        <f t="shared" si="399"/>
        <v>1.7499206331208919</v>
      </c>
      <c r="AI269" s="153">
        <f t="shared" si="400"/>
        <v>2.2236321438932407</v>
      </c>
      <c r="AJ269" s="153">
        <f t="shared" si="401"/>
        <v>2.239727513994993</v>
      </c>
      <c r="AL269" s="317">
        <f t="shared" si="402"/>
        <v>265</v>
      </c>
      <c r="AM269" s="147">
        <f t="shared" si="403"/>
        <v>240.84428862552355</v>
      </c>
      <c r="AO269">
        <f t="shared" si="381"/>
        <v>265</v>
      </c>
      <c r="AP269">
        <f t="shared" si="382"/>
        <v>240.84428862552355</v>
      </c>
      <c r="AR269" s="5">
        <f t="shared" si="406"/>
        <v>4.1520602614531947</v>
      </c>
      <c r="AS269" s="5">
        <f t="shared" si="385"/>
        <v>1.5394376380799357</v>
      </c>
      <c r="AT269" s="5">
        <f t="shared" si="386"/>
        <v>2.6126226233732588</v>
      </c>
      <c r="AU269" s="153">
        <f t="shared" si="387"/>
        <v>0.37076476282671827</v>
      </c>
      <c r="CI269" s="59">
        <f t="shared" si="404"/>
        <v>-50</v>
      </c>
    </row>
    <row r="270" spans="5:87" x14ac:dyDescent="0.25">
      <c r="E270" s="150">
        <v>54</v>
      </c>
      <c r="F270" s="191">
        <f t="shared" si="405"/>
        <v>0.27</v>
      </c>
      <c r="G270" s="191">
        <f t="shared" si="388"/>
        <v>5.4000000000000006E-2</v>
      </c>
      <c r="H270" s="191">
        <f t="shared" si="389"/>
        <v>4.0500000000000007</v>
      </c>
      <c r="I270" s="191">
        <f t="shared" si="390"/>
        <v>0.8640000000000001</v>
      </c>
      <c r="J270" s="472">
        <f t="shared" si="356"/>
        <v>13</v>
      </c>
      <c r="K270" s="386">
        <f t="shared" si="357"/>
        <v>7.66</v>
      </c>
      <c r="L270" s="386">
        <f t="shared" si="358"/>
        <v>20.66</v>
      </c>
      <c r="M270" s="386"/>
      <c r="N270" s="191">
        <f t="shared" si="359"/>
        <v>0.37076476282671827</v>
      </c>
      <c r="O270" s="152">
        <f t="shared" si="391"/>
        <v>7.3292248651638783</v>
      </c>
      <c r="P270" s="152">
        <f t="shared" si="392"/>
        <v>1.8971291384317523</v>
      </c>
      <c r="Q270" s="191">
        <f t="shared" si="362"/>
        <v>0.4886149910109252</v>
      </c>
      <c r="R270" s="191">
        <f t="shared" si="393"/>
        <v>0.45807655407274239</v>
      </c>
      <c r="S270" s="191">
        <f t="shared" si="394"/>
        <v>15</v>
      </c>
      <c r="T270" s="191">
        <f t="shared" si="395"/>
        <v>2.2655874673629244</v>
      </c>
      <c r="U270" s="191">
        <f t="shared" si="366"/>
        <v>1.5684836312512556</v>
      </c>
      <c r="V270" s="191">
        <f t="shared" si="367"/>
        <v>2.6619173898520003</v>
      </c>
      <c r="W270" s="175">
        <f t="shared" si="368"/>
        <v>350</v>
      </c>
      <c r="X270" s="386">
        <f t="shared" si="369"/>
        <v>236.38420920653232</v>
      </c>
      <c r="Z270" s="191">
        <f t="shared" si="370"/>
        <v>1.530140291030901</v>
      </c>
      <c r="AA270" s="153">
        <f t="shared" si="371"/>
        <v>1.7978149633522336</v>
      </c>
      <c r="AB270" s="153">
        <f t="shared" si="396"/>
        <v>0.19838286859929052</v>
      </c>
      <c r="AC270" s="153"/>
      <c r="AD270" s="153">
        <f t="shared" si="373"/>
        <v>0.96344647519582249</v>
      </c>
      <c r="AE270" s="317">
        <f t="shared" si="397"/>
        <v>1367.0434265318265</v>
      </c>
      <c r="AF270" s="463">
        <f t="shared" si="398"/>
        <v>6.9127284595300251E-2</v>
      </c>
      <c r="AH270" s="153">
        <f t="shared" si="399"/>
        <v>1.7663521732655696</v>
      </c>
      <c r="AI270" s="153">
        <f t="shared" si="400"/>
        <v>2.2655874673629244</v>
      </c>
      <c r="AJ270" s="153">
        <f t="shared" si="401"/>
        <v>2.2708055313799438</v>
      </c>
      <c r="AL270" s="317">
        <f t="shared" si="402"/>
        <v>270</v>
      </c>
      <c r="AM270" s="147">
        <f t="shared" si="403"/>
        <v>236.38420920653232</v>
      </c>
      <c r="AO270">
        <f t="shared" si="381"/>
        <v>270</v>
      </c>
      <c r="AP270">
        <f t="shared" si="382"/>
        <v>236.38420920653232</v>
      </c>
      <c r="AR270" s="5">
        <f t="shared" si="406"/>
        <v>4.2304010211032566</v>
      </c>
      <c r="AS270" s="5">
        <f t="shared" si="385"/>
        <v>1.5684836312512556</v>
      </c>
      <c r="AT270" s="5">
        <f t="shared" si="386"/>
        <v>2.6619173898520012</v>
      </c>
      <c r="AU270" s="153">
        <f t="shared" si="387"/>
        <v>0.37076476282671822</v>
      </c>
      <c r="CI270" s="59">
        <f t="shared" si="404"/>
        <v>-50</v>
      </c>
    </row>
    <row r="271" spans="5:87" x14ac:dyDescent="0.25">
      <c r="E271" s="150">
        <v>55</v>
      </c>
      <c r="F271" s="191">
        <f t="shared" si="405"/>
        <v>0.27500000000000002</v>
      </c>
      <c r="G271" s="191">
        <f t="shared" si="388"/>
        <v>5.5000000000000007E-2</v>
      </c>
      <c r="H271" s="191">
        <f t="shared" si="389"/>
        <v>4.125</v>
      </c>
      <c r="I271" s="191">
        <f t="shared" si="390"/>
        <v>0.88000000000000012</v>
      </c>
      <c r="J271" s="472">
        <f t="shared" si="356"/>
        <v>13</v>
      </c>
      <c r="K271" s="386">
        <f t="shared" si="357"/>
        <v>7.66</v>
      </c>
      <c r="L271" s="386">
        <f t="shared" si="358"/>
        <v>20.66</v>
      </c>
      <c r="M271" s="386"/>
      <c r="N271" s="191">
        <f t="shared" si="359"/>
        <v>0.37076476282671827</v>
      </c>
      <c r="O271" s="152">
        <f t="shared" si="391"/>
        <v>7.3292248651638783</v>
      </c>
      <c r="P271" s="152">
        <f t="shared" si="392"/>
        <v>1.8971291384317523</v>
      </c>
      <c r="Q271" s="191">
        <f t="shared" si="362"/>
        <v>0.4886149910109252</v>
      </c>
      <c r="R271" s="191">
        <f t="shared" si="393"/>
        <v>0.45807655407274239</v>
      </c>
      <c r="S271" s="191">
        <f t="shared" si="394"/>
        <v>15</v>
      </c>
      <c r="T271" s="191">
        <f t="shared" si="395"/>
        <v>2.307542790832608</v>
      </c>
      <c r="U271" s="191">
        <f t="shared" si="366"/>
        <v>1.5975296244225747</v>
      </c>
      <c r="V271" s="191">
        <f t="shared" si="367"/>
        <v>2.7112121563307405</v>
      </c>
      <c r="W271" s="175">
        <f t="shared" si="368"/>
        <v>350</v>
      </c>
      <c r="X271" s="386">
        <f t="shared" si="369"/>
        <v>232.0863144936863</v>
      </c>
      <c r="Z271" s="191">
        <f t="shared" si="370"/>
        <v>1.530140291030901</v>
      </c>
      <c r="AA271" s="153">
        <f t="shared" si="371"/>
        <v>1.7978149633522336</v>
      </c>
      <c r="AB271" s="153">
        <f t="shared" si="396"/>
        <v>0.19838286859929052</v>
      </c>
      <c r="AC271" s="153"/>
      <c r="AD271" s="153">
        <f t="shared" si="373"/>
        <v>0.96344647519582249</v>
      </c>
      <c r="AE271" s="317">
        <f t="shared" si="397"/>
        <v>1392.3590455416752</v>
      </c>
      <c r="AF271" s="463">
        <f t="shared" si="398"/>
        <v>6.9127284595300251E-2</v>
      </c>
      <c r="AH271" s="153">
        <f t="shared" si="399"/>
        <v>1.7826322609494583</v>
      </c>
      <c r="AI271" s="153">
        <f t="shared" si="400"/>
        <v>2.307542790832608</v>
      </c>
      <c r="AJ271" s="153">
        <f t="shared" si="401"/>
        <v>2.301883548764895</v>
      </c>
      <c r="AL271" s="317">
        <f t="shared" si="402"/>
        <v>275</v>
      </c>
      <c r="AM271" s="147">
        <f t="shared" si="403"/>
        <v>232.0863144936863</v>
      </c>
      <c r="AO271">
        <f t="shared" si="381"/>
        <v>275</v>
      </c>
      <c r="AP271">
        <f t="shared" si="382"/>
        <v>232.0863144936863</v>
      </c>
      <c r="AR271" s="5">
        <f t="shared" si="406"/>
        <v>4.3087417807533157</v>
      </c>
      <c r="AS271" s="5">
        <f t="shared" si="385"/>
        <v>1.5975296244225747</v>
      </c>
      <c r="AT271" s="5">
        <f t="shared" si="386"/>
        <v>2.711212156330741</v>
      </c>
      <c r="AU271" s="153">
        <f t="shared" si="387"/>
        <v>0.37076476282671827</v>
      </c>
      <c r="CI271" s="59">
        <f t="shared" si="404"/>
        <v>-50</v>
      </c>
    </row>
    <row r="272" spans="5:87" x14ac:dyDescent="0.25">
      <c r="E272" s="150">
        <v>56</v>
      </c>
      <c r="F272" s="191">
        <f t="shared" si="405"/>
        <v>0.28000000000000003</v>
      </c>
      <c r="G272" s="191">
        <f t="shared" si="388"/>
        <v>5.6000000000000008E-2</v>
      </c>
      <c r="H272" s="191">
        <f t="shared" si="389"/>
        <v>4.2</v>
      </c>
      <c r="I272" s="191">
        <f t="shared" si="390"/>
        <v>0.89600000000000013</v>
      </c>
      <c r="J272" s="472">
        <f t="shared" si="356"/>
        <v>13</v>
      </c>
      <c r="K272" s="386">
        <f t="shared" si="357"/>
        <v>7.66</v>
      </c>
      <c r="L272" s="386">
        <f t="shared" si="358"/>
        <v>20.66</v>
      </c>
      <c r="M272" s="386"/>
      <c r="N272" s="191">
        <f t="shared" si="359"/>
        <v>0.37076476282671827</v>
      </c>
      <c r="O272" s="152">
        <f t="shared" si="391"/>
        <v>7.3292248651638783</v>
      </c>
      <c r="P272" s="152">
        <f t="shared" si="392"/>
        <v>1.8971291384317523</v>
      </c>
      <c r="Q272" s="191">
        <f t="shared" si="362"/>
        <v>0.4886149910109252</v>
      </c>
      <c r="R272" s="191">
        <f t="shared" si="393"/>
        <v>0.45807655407274239</v>
      </c>
      <c r="S272" s="191">
        <f t="shared" si="394"/>
        <v>15</v>
      </c>
      <c r="T272" s="191">
        <f t="shared" si="395"/>
        <v>2.3494981143022917</v>
      </c>
      <c r="U272" s="191">
        <f t="shared" si="366"/>
        <v>1.6265756175938944</v>
      </c>
      <c r="V272" s="191">
        <f t="shared" si="367"/>
        <v>2.7605069228094816</v>
      </c>
      <c r="W272" s="175">
        <f t="shared" si="368"/>
        <v>350</v>
      </c>
      <c r="X272" s="386">
        <f t="shared" si="369"/>
        <v>227.94191602058478</v>
      </c>
      <c r="Z272" s="191">
        <f t="shared" si="370"/>
        <v>1.530140291030901</v>
      </c>
      <c r="AA272" s="153">
        <f t="shared" si="371"/>
        <v>1.7978149633522336</v>
      </c>
      <c r="AB272" s="153">
        <f t="shared" si="396"/>
        <v>0.19838286859929052</v>
      </c>
      <c r="AC272" s="153"/>
      <c r="AD272" s="153">
        <f t="shared" si="373"/>
        <v>0.96344647519582249</v>
      </c>
      <c r="AE272" s="317">
        <f t="shared" si="397"/>
        <v>1417.6746645515238</v>
      </c>
      <c r="AF272" s="463">
        <f t="shared" si="398"/>
        <v>6.9127284595300251E-2</v>
      </c>
      <c r="AH272" s="153">
        <f t="shared" si="399"/>
        <v>1.7987650084309388</v>
      </c>
      <c r="AI272" s="153">
        <f t="shared" si="400"/>
        <v>2.3494981143022917</v>
      </c>
      <c r="AJ272" s="153">
        <f t="shared" si="401"/>
        <v>2.3329615661498457</v>
      </c>
      <c r="AL272" s="317">
        <f t="shared" si="402"/>
        <v>280</v>
      </c>
      <c r="AM272" s="147">
        <f t="shared" si="403"/>
        <v>227.94191602058478</v>
      </c>
      <c r="AO272">
        <f t="shared" si="381"/>
        <v>280</v>
      </c>
      <c r="AP272">
        <f t="shared" si="382"/>
        <v>227.94191602058478</v>
      </c>
      <c r="AR272" s="5">
        <f t="shared" si="406"/>
        <v>4.3870825404033749</v>
      </c>
      <c r="AS272" s="5">
        <f t="shared" si="385"/>
        <v>1.6265756175938944</v>
      </c>
      <c r="AT272" s="5">
        <f t="shared" si="386"/>
        <v>2.7605069228094807</v>
      </c>
      <c r="AU272" s="153">
        <f t="shared" si="387"/>
        <v>0.37076476282671839</v>
      </c>
      <c r="CI272" s="59">
        <f t="shared" si="404"/>
        <v>-50</v>
      </c>
    </row>
    <row r="273" spans="5:87" x14ac:dyDescent="0.25">
      <c r="E273" s="150">
        <v>57</v>
      </c>
      <c r="F273" s="191">
        <f t="shared" si="405"/>
        <v>0.28499999999999998</v>
      </c>
      <c r="G273" s="191">
        <f t="shared" si="388"/>
        <v>5.6999999999999995E-2</v>
      </c>
      <c r="H273" s="191">
        <f t="shared" si="389"/>
        <v>4.2749999999999995</v>
      </c>
      <c r="I273" s="191">
        <f t="shared" si="390"/>
        <v>0.91199999999999992</v>
      </c>
      <c r="J273" s="472">
        <f t="shared" si="356"/>
        <v>13</v>
      </c>
      <c r="K273" s="386">
        <f t="shared" si="357"/>
        <v>7.66</v>
      </c>
      <c r="L273" s="386">
        <f t="shared" si="358"/>
        <v>20.66</v>
      </c>
      <c r="M273" s="386"/>
      <c r="N273" s="191">
        <f t="shared" si="359"/>
        <v>0.37076476282671827</v>
      </c>
      <c r="O273" s="152">
        <f t="shared" si="391"/>
        <v>7.3292248651638783</v>
      </c>
      <c r="P273" s="152">
        <f t="shared" si="392"/>
        <v>1.8971291384317523</v>
      </c>
      <c r="Q273" s="191">
        <f t="shared" si="362"/>
        <v>0.4886149910109252</v>
      </c>
      <c r="R273" s="191">
        <f t="shared" si="393"/>
        <v>0.45807655407274239</v>
      </c>
      <c r="S273" s="191">
        <f t="shared" si="394"/>
        <v>15</v>
      </c>
      <c r="T273" s="191">
        <f t="shared" si="395"/>
        <v>2.3914534377719749</v>
      </c>
      <c r="U273" s="191">
        <f t="shared" si="366"/>
        <v>1.6556216107652135</v>
      </c>
      <c r="V273" s="191">
        <f t="shared" si="367"/>
        <v>2.8098016892882209</v>
      </c>
      <c r="W273" s="175">
        <f t="shared" si="368"/>
        <v>350</v>
      </c>
      <c r="X273" s="386">
        <f t="shared" si="369"/>
        <v>223.9429350377676</v>
      </c>
      <c r="Z273" s="191">
        <f t="shared" si="370"/>
        <v>1.530140291030901</v>
      </c>
      <c r="AA273" s="153">
        <f t="shared" si="371"/>
        <v>1.7978149633522336</v>
      </c>
      <c r="AB273" s="153">
        <f t="shared" si="396"/>
        <v>0.19838286859929052</v>
      </c>
      <c r="AC273" s="153"/>
      <c r="AD273" s="153">
        <f t="shared" si="373"/>
        <v>0.96344647519582249</v>
      </c>
      <c r="AE273" s="317">
        <f t="shared" si="397"/>
        <v>1442.9902835613723</v>
      </c>
      <c r="AF273" s="463">
        <f t="shared" si="398"/>
        <v>6.9127284595300251E-2</v>
      </c>
      <c r="AH273" s="153">
        <f t="shared" si="399"/>
        <v>1.8147543451754933</v>
      </c>
      <c r="AI273" s="153">
        <f t="shared" si="400"/>
        <v>2.3914534377719749</v>
      </c>
      <c r="AJ273" s="153">
        <f t="shared" si="401"/>
        <v>2.3640395835347965</v>
      </c>
      <c r="AL273" s="317">
        <f t="shared" si="402"/>
        <v>285</v>
      </c>
      <c r="AM273" s="147">
        <f t="shared" si="403"/>
        <v>223.9429350377676</v>
      </c>
      <c r="AO273">
        <f t="shared" si="381"/>
        <v>285</v>
      </c>
      <c r="AP273">
        <f t="shared" si="382"/>
        <v>223.9429350377676</v>
      </c>
      <c r="AR273" s="5">
        <f t="shared" si="406"/>
        <v>4.465423300053434</v>
      </c>
      <c r="AS273" s="5">
        <f t="shared" si="385"/>
        <v>1.6556216107652135</v>
      </c>
      <c r="AT273" s="5">
        <f t="shared" si="386"/>
        <v>2.8098016892882205</v>
      </c>
      <c r="AU273" s="153">
        <f t="shared" si="387"/>
        <v>0.37076476282671839</v>
      </c>
      <c r="CI273" s="59">
        <f t="shared" si="404"/>
        <v>-50</v>
      </c>
    </row>
    <row r="274" spans="5:87" x14ac:dyDescent="0.25">
      <c r="E274" s="150">
        <v>58</v>
      </c>
      <c r="F274" s="191">
        <f t="shared" si="405"/>
        <v>0.28999999999999998</v>
      </c>
      <c r="G274" s="191">
        <f t="shared" si="388"/>
        <v>5.7999999999999996E-2</v>
      </c>
      <c r="H274" s="191">
        <f t="shared" si="389"/>
        <v>4.3499999999999996</v>
      </c>
      <c r="I274" s="191">
        <f t="shared" si="390"/>
        <v>0.92799999999999994</v>
      </c>
      <c r="J274" s="472">
        <f t="shared" si="356"/>
        <v>13</v>
      </c>
      <c r="K274" s="386">
        <f t="shared" si="357"/>
        <v>7.66</v>
      </c>
      <c r="L274" s="386">
        <f t="shared" si="358"/>
        <v>20.66</v>
      </c>
      <c r="M274" s="386"/>
      <c r="N274" s="191">
        <f t="shared" si="359"/>
        <v>0.37076476282671827</v>
      </c>
      <c r="O274" s="152">
        <f t="shared" si="391"/>
        <v>7.3292248651638783</v>
      </c>
      <c r="P274" s="152">
        <f t="shared" si="392"/>
        <v>1.8971291384317523</v>
      </c>
      <c r="Q274" s="191">
        <f t="shared" si="362"/>
        <v>0.4886149910109252</v>
      </c>
      <c r="R274" s="191">
        <f t="shared" si="393"/>
        <v>0.45807655407274239</v>
      </c>
      <c r="S274" s="191">
        <f t="shared" si="394"/>
        <v>15</v>
      </c>
      <c r="T274" s="191">
        <f t="shared" si="395"/>
        <v>2.4334087612416591</v>
      </c>
      <c r="U274" s="191">
        <f t="shared" si="366"/>
        <v>1.6846676039365331</v>
      </c>
      <c r="V274" s="191">
        <f t="shared" si="367"/>
        <v>2.8590964557669625</v>
      </c>
      <c r="W274" s="175">
        <f t="shared" si="368"/>
        <v>350</v>
      </c>
      <c r="X274" s="386">
        <f t="shared" si="369"/>
        <v>220.08184995090946</v>
      </c>
      <c r="Z274" s="191">
        <f t="shared" si="370"/>
        <v>1.530140291030901</v>
      </c>
      <c r="AA274" s="153">
        <f t="shared" si="371"/>
        <v>1.7978149633522336</v>
      </c>
      <c r="AB274" s="153">
        <f t="shared" si="396"/>
        <v>0.19838286859929052</v>
      </c>
      <c r="AC274" s="153"/>
      <c r="AD274" s="153">
        <f t="shared" si="373"/>
        <v>0.96344647519582249</v>
      </c>
      <c r="AE274" s="317">
        <f t="shared" si="397"/>
        <v>1468.3059025712209</v>
      </c>
      <c r="AF274" s="463">
        <f t="shared" si="398"/>
        <v>6.9127284595300251E-2</v>
      </c>
      <c r="AH274" s="153">
        <f t="shared" si="399"/>
        <v>1.8306040290327974</v>
      </c>
      <c r="AI274" s="153">
        <f t="shared" si="400"/>
        <v>2.4334087612416591</v>
      </c>
      <c r="AJ274" s="153">
        <f t="shared" si="401"/>
        <v>2.3951176009197477</v>
      </c>
      <c r="AL274" s="317">
        <f t="shared" si="402"/>
        <v>290</v>
      </c>
      <c r="AM274" s="147">
        <f t="shared" si="403"/>
        <v>220.08184995090946</v>
      </c>
      <c r="AO274">
        <f t="shared" si="381"/>
        <v>290</v>
      </c>
      <c r="AP274">
        <f t="shared" si="382"/>
        <v>220.08184995090946</v>
      </c>
      <c r="AR274" s="5">
        <f t="shared" si="406"/>
        <v>4.5437640597034958</v>
      </c>
      <c r="AS274" s="5">
        <f t="shared" si="385"/>
        <v>1.6846676039365331</v>
      </c>
      <c r="AT274" s="5">
        <f t="shared" si="386"/>
        <v>2.8590964557669629</v>
      </c>
      <c r="AU274" s="153">
        <f t="shared" si="387"/>
        <v>0.37076476282671827</v>
      </c>
      <c r="CI274" s="59">
        <f t="shared" si="404"/>
        <v>-50</v>
      </c>
    </row>
    <row r="275" spans="5:87" x14ac:dyDescent="0.25">
      <c r="E275" s="150">
        <v>59</v>
      </c>
      <c r="F275" s="191">
        <f t="shared" si="405"/>
        <v>0.29499999999999998</v>
      </c>
      <c r="G275" s="191">
        <f t="shared" si="388"/>
        <v>5.8999999999999997E-2</v>
      </c>
      <c r="H275" s="191">
        <f t="shared" si="389"/>
        <v>4.4249999999999998</v>
      </c>
      <c r="I275" s="191">
        <f t="shared" si="390"/>
        <v>0.94399999999999995</v>
      </c>
      <c r="J275" s="472">
        <f t="shared" si="356"/>
        <v>13</v>
      </c>
      <c r="K275" s="386">
        <f t="shared" si="357"/>
        <v>7.66</v>
      </c>
      <c r="L275" s="386">
        <f t="shared" si="358"/>
        <v>20.66</v>
      </c>
      <c r="M275" s="386"/>
      <c r="N275" s="191">
        <f t="shared" si="359"/>
        <v>0.37076476282671827</v>
      </c>
      <c r="O275" s="152">
        <f t="shared" si="391"/>
        <v>7.3292248651638783</v>
      </c>
      <c r="P275" s="152">
        <f t="shared" si="392"/>
        <v>1.8971291384317523</v>
      </c>
      <c r="Q275" s="191">
        <f t="shared" si="362"/>
        <v>0.4886149910109252</v>
      </c>
      <c r="R275" s="191">
        <f t="shared" si="393"/>
        <v>0.45807655407274239</v>
      </c>
      <c r="S275" s="191">
        <f t="shared" si="394"/>
        <v>15</v>
      </c>
      <c r="T275" s="191">
        <f t="shared" si="395"/>
        <v>2.4753640847113427</v>
      </c>
      <c r="U275" s="191">
        <f t="shared" si="366"/>
        <v>1.7137135971078525</v>
      </c>
      <c r="V275" s="191">
        <f t="shared" si="367"/>
        <v>2.9083912222457027</v>
      </c>
      <c r="W275" s="175">
        <f t="shared" si="368"/>
        <v>350</v>
      </c>
      <c r="X275" s="386">
        <f t="shared" si="369"/>
        <v>216.35164910428392</v>
      </c>
      <c r="Z275" s="191">
        <f t="shared" si="370"/>
        <v>1.530140291030901</v>
      </c>
      <c r="AA275" s="153">
        <f t="shared" si="371"/>
        <v>1.7978149633522336</v>
      </c>
      <c r="AB275" s="153">
        <f t="shared" si="396"/>
        <v>0.19838286859929052</v>
      </c>
      <c r="AC275" s="153"/>
      <c r="AD275" s="153">
        <f t="shared" si="373"/>
        <v>0.96344647519582249</v>
      </c>
      <c r="AE275" s="317">
        <f t="shared" si="397"/>
        <v>1493.6215215810696</v>
      </c>
      <c r="AF275" s="463">
        <f t="shared" si="398"/>
        <v>6.9127284595300251E-2</v>
      </c>
      <c r="AH275" s="153">
        <f t="shared" si="399"/>
        <v>1.8463176565501638</v>
      </c>
      <c r="AI275" s="153">
        <f t="shared" si="400"/>
        <v>2.4753640847113427</v>
      </c>
      <c r="AJ275" s="153">
        <f t="shared" si="401"/>
        <v>2.4261956183046984</v>
      </c>
      <c r="AL275" s="317">
        <f t="shared" si="402"/>
        <v>295</v>
      </c>
      <c r="AM275" s="147">
        <f t="shared" si="403"/>
        <v>216.35164910428392</v>
      </c>
      <c r="AO275">
        <f t="shared" si="381"/>
        <v>295</v>
      </c>
      <c r="AP275">
        <f t="shared" si="382"/>
        <v>216.35164910428392</v>
      </c>
      <c r="AR275" s="5">
        <f t="shared" si="406"/>
        <v>4.6221048193535559</v>
      </c>
      <c r="AS275" s="5">
        <f t="shared" si="385"/>
        <v>1.7137135971078525</v>
      </c>
      <c r="AT275" s="5">
        <f t="shared" si="386"/>
        <v>2.9083912222457036</v>
      </c>
      <c r="AU275" s="153">
        <f t="shared" si="387"/>
        <v>0.37076476282671827</v>
      </c>
      <c r="CI275" s="59">
        <f t="shared" si="404"/>
        <v>-50</v>
      </c>
    </row>
    <row r="276" spans="5:87" x14ac:dyDescent="0.25">
      <c r="E276" s="150">
        <v>60</v>
      </c>
      <c r="F276" s="191">
        <f t="shared" si="405"/>
        <v>0.3</v>
      </c>
      <c r="G276" s="191">
        <f t="shared" si="388"/>
        <v>0.06</v>
      </c>
      <c r="H276" s="191">
        <f t="shared" si="389"/>
        <v>4.5</v>
      </c>
      <c r="I276" s="191">
        <f t="shared" si="390"/>
        <v>0.96</v>
      </c>
      <c r="J276" s="472">
        <f t="shared" si="356"/>
        <v>13</v>
      </c>
      <c r="K276" s="386">
        <f t="shared" si="357"/>
        <v>7.66</v>
      </c>
      <c r="L276" s="386">
        <f t="shared" si="358"/>
        <v>20.66</v>
      </c>
      <c r="M276" s="386"/>
      <c r="N276" s="191">
        <f t="shared" si="359"/>
        <v>0.37076476282671827</v>
      </c>
      <c r="O276" s="152">
        <f t="shared" si="391"/>
        <v>7.3292248651638783</v>
      </c>
      <c r="P276" s="152">
        <f t="shared" si="392"/>
        <v>1.8971291384317523</v>
      </c>
      <c r="Q276" s="191">
        <f t="shared" si="362"/>
        <v>0.4886149910109252</v>
      </c>
      <c r="R276" s="191">
        <f t="shared" si="393"/>
        <v>0.45807655407274239</v>
      </c>
      <c r="S276" s="191">
        <f t="shared" si="394"/>
        <v>15</v>
      </c>
      <c r="T276" s="191">
        <f t="shared" si="395"/>
        <v>2.5173194081810268</v>
      </c>
      <c r="U276" s="191">
        <f t="shared" si="366"/>
        <v>1.7427595902791726</v>
      </c>
      <c r="V276" s="191">
        <f t="shared" si="367"/>
        <v>2.9576859887244442</v>
      </c>
      <c r="W276" s="175">
        <f t="shared" si="368"/>
        <v>350</v>
      </c>
      <c r="X276" s="386">
        <f t="shared" si="369"/>
        <v>212.74578828587912</v>
      </c>
      <c r="Z276" s="191">
        <f t="shared" si="370"/>
        <v>1.530140291030901</v>
      </c>
      <c r="AA276" s="153">
        <f t="shared" si="371"/>
        <v>1.7978149633522336</v>
      </c>
      <c r="AB276" s="153">
        <f t="shared" si="396"/>
        <v>0.19838286859929052</v>
      </c>
      <c r="AC276" s="153"/>
      <c r="AD276" s="153">
        <f t="shared" si="373"/>
        <v>0.96344647519582249</v>
      </c>
      <c r="AE276" s="317">
        <f t="shared" si="397"/>
        <v>1518.9371405909183</v>
      </c>
      <c r="AF276" s="463">
        <f t="shared" si="398"/>
        <v>6.9127284595300251E-2</v>
      </c>
      <c r="AH276" s="153">
        <f t="shared" si="399"/>
        <v>1.8618986725025255</v>
      </c>
      <c r="AI276" s="153">
        <f t="shared" si="400"/>
        <v>2.5173194081810268</v>
      </c>
      <c r="AJ276" s="153">
        <f t="shared" si="401"/>
        <v>2.4572736356896496</v>
      </c>
      <c r="AL276" s="317">
        <f t="shared" si="402"/>
        <v>300</v>
      </c>
      <c r="AM276" s="147">
        <f t="shared" si="403"/>
        <v>212.74578828587912</v>
      </c>
      <c r="AO276">
        <f t="shared" si="381"/>
        <v>300</v>
      </c>
      <c r="AP276">
        <f t="shared" si="382"/>
        <v>212.74578828587912</v>
      </c>
      <c r="AR276" s="5">
        <f t="shared" si="406"/>
        <v>4.7004455790036168</v>
      </c>
      <c r="AS276" s="5">
        <f t="shared" si="385"/>
        <v>1.7427595902791726</v>
      </c>
      <c r="AT276" s="5">
        <f t="shared" si="386"/>
        <v>2.9576859887244442</v>
      </c>
      <c r="AU276" s="153">
        <f t="shared" si="387"/>
        <v>0.37076476282671833</v>
      </c>
      <c r="CI276" s="59">
        <f t="shared" si="404"/>
        <v>-50</v>
      </c>
    </row>
    <row r="277" spans="5:87" x14ac:dyDescent="0.25">
      <c r="E277" s="150">
        <v>61</v>
      </c>
      <c r="F277" s="191">
        <f t="shared" si="405"/>
        <v>0.30499999999999999</v>
      </c>
      <c r="G277" s="191">
        <f t="shared" si="388"/>
        <v>6.0999999999999999E-2</v>
      </c>
      <c r="H277" s="191">
        <f t="shared" si="389"/>
        <v>4.5750000000000002</v>
      </c>
      <c r="I277" s="191">
        <f t="shared" si="390"/>
        <v>0.97599999999999998</v>
      </c>
      <c r="J277" s="472">
        <f t="shared" si="356"/>
        <v>13</v>
      </c>
      <c r="K277" s="386">
        <f t="shared" si="357"/>
        <v>7.66</v>
      </c>
      <c r="L277" s="386">
        <f t="shared" si="358"/>
        <v>20.66</v>
      </c>
      <c r="M277" s="386"/>
      <c r="N277" s="191">
        <f t="shared" si="359"/>
        <v>0.37076476282671827</v>
      </c>
      <c r="O277" s="152">
        <f t="shared" si="391"/>
        <v>7.3292248651638783</v>
      </c>
      <c r="P277" s="152">
        <f t="shared" si="392"/>
        <v>1.8971291384317523</v>
      </c>
      <c r="Q277" s="191">
        <f t="shared" si="362"/>
        <v>0.4886149910109252</v>
      </c>
      <c r="R277" s="191">
        <f t="shared" si="393"/>
        <v>0.45807655407274239</v>
      </c>
      <c r="S277" s="191">
        <f t="shared" si="394"/>
        <v>15</v>
      </c>
      <c r="T277" s="191">
        <f t="shared" si="395"/>
        <v>2.5592747316507105</v>
      </c>
      <c r="U277" s="191">
        <f t="shared" si="366"/>
        <v>1.7718055834504918</v>
      </c>
      <c r="V277" s="191">
        <f t="shared" si="367"/>
        <v>3.0069807552031844</v>
      </c>
      <c r="W277" s="175">
        <f t="shared" si="368"/>
        <v>350</v>
      </c>
      <c r="X277" s="386">
        <f t="shared" si="369"/>
        <v>209.25815241234017</v>
      </c>
      <c r="Z277" s="191">
        <f t="shared" si="370"/>
        <v>1.530140291030901</v>
      </c>
      <c r="AA277" s="153">
        <f t="shared" si="371"/>
        <v>1.7978149633522336</v>
      </c>
      <c r="AB277" s="153">
        <f t="shared" si="396"/>
        <v>0.19838286859929052</v>
      </c>
      <c r="AC277" s="153"/>
      <c r="AD277" s="153">
        <f t="shared" si="373"/>
        <v>0.96344647519582249</v>
      </c>
      <c r="AE277" s="317">
        <f t="shared" si="397"/>
        <v>1544.2527596007669</v>
      </c>
      <c r="AF277" s="463">
        <f t="shared" si="398"/>
        <v>6.9127284595300251E-2</v>
      </c>
      <c r="AH277" s="153">
        <f t="shared" si="399"/>
        <v>1.8773503787104966</v>
      </c>
      <c r="AI277" s="153">
        <f t="shared" si="400"/>
        <v>2.5592747316507105</v>
      </c>
      <c r="AJ277" s="153">
        <f t="shared" si="401"/>
        <v>2.4883516530746004</v>
      </c>
      <c r="AL277" s="317">
        <f t="shared" si="402"/>
        <v>305</v>
      </c>
      <c r="AM277" s="147">
        <f t="shared" si="403"/>
        <v>209.25815241234017</v>
      </c>
      <c r="AO277">
        <f t="shared" si="381"/>
        <v>305</v>
      </c>
      <c r="AP277">
        <f t="shared" si="382"/>
        <v>209.25815241234017</v>
      </c>
      <c r="AR277" s="5">
        <f t="shared" si="406"/>
        <v>4.7787863386536769</v>
      </c>
      <c r="AS277" s="5">
        <f t="shared" si="385"/>
        <v>1.7718055834504918</v>
      </c>
      <c r="AT277" s="5">
        <f t="shared" si="386"/>
        <v>3.0069807552031849</v>
      </c>
      <c r="AU277" s="153">
        <f t="shared" si="387"/>
        <v>0.37076476282671827</v>
      </c>
      <c r="CI277" s="59">
        <f t="shared" si="404"/>
        <v>-50</v>
      </c>
    </row>
    <row r="278" spans="5:87" x14ac:dyDescent="0.25">
      <c r="E278" s="150">
        <v>62</v>
      </c>
      <c r="F278" s="191">
        <f t="shared" si="405"/>
        <v>0.31</v>
      </c>
      <c r="G278" s="191">
        <f t="shared" si="388"/>
        <v>6.2E-2</v>
      </c>
      <c r="H278" s="191">
        <f t="shared" si="389"/>
        <v>4.6500000000000004</v>
      </c>
      <c r="I278" s="191">
        <f t="shared" si="390"/>
        <v>0.99199999999999999</v>
      </c>
      <c r="J278" s="472">
        <f t="shared" si="356"/>
        <v>13</v>
      </c>
      <c r="K278" s="386">
        <f t="shared" si="357"/>
        <v>7.66</v>
      </c>
      <c r="L278" s="386">
        <f t="shared" si="358"/>
        <v>20.66</v>
      </c>
      <c r="M278" s="386"/>
      <c r="N278" s="191">
        <f t="shared" si="359"/>
        <v>0.37076476282671827</v>
      </c>
      <c r="O278" s="152">
        <f t="shared" si="391"/>
        <v>7.3292248651638783</v>
      </c>
      <c r="P278" s="152">
        <f t="shared" si="392"/>
        <v>1.8971291384317523</v>
      </c>
      <c r="Q278" s="191">
        <f t="shared" si="362"/>
        <v>0.4886149910109252</v>
      </c>
      <c r="R278" s="191">
        <f t="shared" si="393"/>
        <v>0.45807655407274239</v>
      </c>
      <c r="S278" s="191">
        <f t="shared" si="394"/>
        <v>15</v>
      </c>
      <c r="T278" s="191">
        <f t="shared" si="395"/>
        <v>2.6012300551203946</v>
      </c>
      <c r="U278" s="191">
        <f t="shared" si="366"/>
        <v>1.8008515766218118</v>
      </c>
      <c r="V278" s="191">
        <f t="shared" si="367"/>
        <v>3.056275521681926</v>
      </c>
      <c r="W278" s="175">
        <f t="shared" si="368"/>
        <v>350</v>
      </c>
      <c r="X278" s="386">
        <f t="shared" si="369"/>
        <v>205.88302092181848</v>
      </c>
      <c r="Z278" s="191">
        <f t="shared" si="370"/>
        <v>1.530140291030901</v>
      </c>
      <c r="AA278" s="153">
        <f t="shared" si="371"/>
        <v>1.7978149633522336</v>
      </c>
      <c r="AB278" s="153">
        <f t="shared" si="396"/>
        <v>0.19838286859929052</v>
      </c>
      <c r="AC278" s="153"/>
      <c r="AD278" s="153">
        <f t="shared" si="373"/>
        <v>0.96344647519582249</v>
      </c>
      <c r="AE278" s="317">
        <f t="shared" si="397"/>
        <v>1569.5683786106156</v>
      </c>
      <c r="AF278" s="463">
        <f t="shared" si="398"/>
        <v>6.9127284595300251E-2</v>
      </c>
      <c r="AH278" s="153">
        <f t="shared" si="399"/>
        <v>1.8926759422104522</v>
      </c>
      <c r="AI278" s="153">
        <f t="shared" si="400"/>
        <v>2.6012300551203946</v>
      </c>
      <c r="AJ278" s="153">
        <f t="shared" si="401"/>
        <v>2.5194296704595516</v>
      </c>
      <c r="AL278" s="317">
        <f t="shared" si="402"/>
        <v>310</v>
      </c>
      <c r="AM278" s="147">
        <f t="shared" si="403"/>
        <v>205.88302092181848</v>
      </c>
      <c r="AO278">
        <f t="shared" si="381"/>
        <v>310</v>
      </c>
      <c r="AP278">
        <f t="shared" si="382"/>
        <v>205.88302092181848</v>
      </c>
      <c r="AR278" s="5">
        <f t="shared" si="406"/>
        <v>4.8571270983037378</v>
      </c>
      <c r="AS278" s="5">
        <f t="shared" si="385"/>
        <v>1.8008515766218118</v>
      </c>
      <c r="AT278" s="5">
        <f t="shared" si="386"/>
        <v>3.056275521681926</v>
      </c>
      <c r="AU278" s="153">
        <f t="shared" si="387"/>
        <v>0.37076476282671833</v>
      </c>
      <c r="CI278" s="59">
        <f t="shared" si="404"/>
        <v>-50</v>
      </c>
    </row>
    <row r="279" spans="5:87" x14ac:dyDescent="0.25">
      <c r="E279" s="150">
        <v>63</v>
      </c>
      <c r="F279" s="191">
        <f t="shared" si="405"/>
        <v>0.315</v>
      </c>
      <c r="G279" s="191">
        <f t="shared" si="388"/>
        <v>6.3E-2</v>
      </c>
      <c r="H279" s="191">
        <f t="shared" si="389"/>
        <v>4.7249999999999996</v>
      </c>
      <c r="I279" s="191">
        <f t="shared" si="390"/>
        <v>1.008</v>
      </c>
      <c r="J279" s="472">
        <f t="shared" si="356"/>
        <v>13</v>
      </c>
      <c r="K279" s="386">
        <f t="shared" si="357"/>
        <v>7.66</v>
      </c>
      <c r="L279" s="386">
        <f t="shared" si="358"/>
        <v>20.66</v>
      </c>
      <c r="M279" s="386"/>
      <c r="N279" s="191">
        <f t="shared" si="359"/>
        <v>0.37076476282671827</v>
      </c>
      <c r="O279" s="152">
        <f t="shared" si="391"/>
        <v>7.3292248651638783</v>
      </c>
      <c r="P279" s="152">
        <f t="shared" si="392"/>
        <v>1.8971291384317523</v>
      </c>
      <c r="Q279" s="191">
        <f t="shared" si="362"/>
        <v>0.4886149910109252</v>
      </c>
      <c r="R279" s="191">
        <f t="shared" si="393"/>
        <v>0.45807655407274239</v>
      </c>
      <c r="S279" s="191">
        <f t="shared" si="394"/>
        <v>15</v>
      </c>
      <c r="T279" s="191">
        <f t="shared" si="395"/>
        <v>2.6431853785900778</v>
      </c>
      <c r="U279" s="191">
        <f t="shared" si="366"/>
        <v>1.8298975697931308</v>
      </c>
      <c r="V279" s="191">
        <f t="shared" si="367"/>
        <v>3.1055702881606657</v>
      </c>
      <c r="W279" s="175">
        <f t="shared" si="368"/>
        <v>350</v>
      </c>
      <c r="X279" s="386">
        <f t="shared" si="369"/>
        <v>202.6150364627421</v>
      </c>
      <c r="Z279" s="191">
        <f t="shared" si="370"/>
        <v>1.530140291030901</v>
      </c>
      <c r="AA279" s="153">
        <f t="shared" si="371"/>
        <v>1.7978149633522336</v>
      </c>
      <c r="AB279" s="153">
        <f t="shared" si="396"/>
        <v>0.19838286859929052</v>
      </c>
      <c r="AC279" s="153"/>
      <c r="AD279" s="153">
        <f t="shared" si="373"/>
        <v>0.96344647519582249</v>
      </c>
      <c r="AE279" s="317">
        <f t="shared" si="397"/>
        <v>1594.8839976204642</v>
      </c>
      <c r="AF279" s="463">
        <f t="shared" si="398"/>
        <v>6.9127284595300251E-2</v>
      </c>
      <c r="AH279" s="153">
        <f t="shared" si="399"/>
        <v>1.9078784028338913</v>
      </c>
      <c r="AI279" s="153">
        <f t="shared" si="400"/>
        <v>2.6431853785900778</v>
      </c>
      <c r="AJ279" s="153">
        <f t="shared" si="401"/>
        <v>2.5505076878445019</v>
      </c>
      <c r="AL279" s="317">
        <f t="shared" si="402"/>
        <v>315</v>
      </c>
      <c r="AM279" s="147">
        <f t="shared" si="403"/>
        <v>202.6150364627421</v>
      </c>
      <c r="AO279">
        <f t="shared" si="381"/>
        <v>315</v>
      </c>
      <c r="AP279">
        <f t="shared" si="382"/>
        <v>202.6150364627421</v>
      </c>
      <c r="AR279" s="5">
        <f t="shared" si="406"/>
        <v>4.9354678579537961</v>
      </c>
      <c r="AS279" s="5">
        <f t="shared" si="385"/>
        <v>1.8298975697931308</v>
      </c>
      <c r="AT279" s="5">
        <f t="shared" si="386"/>
        <v>3.1055702881606653</v>
      </c>
      <c r="AU279" s="153">
        <f t="shared" si="387"/>
        <v>0.37076476282671833</v>
      </c>
      <c r="CI279" s="59">
        <f t="shared" si="404"/>
        <v>-50</v>
      </c>
    </row>
    <row r="280" spans="5:87" x14ac:dyDescent="0.25">
      <c r="E280" s="150">
        <v>64</v>
      </c>
      <c r="F280" s="191">
        <f t="shared" si="405"/>
        <v>0.32</v>
      </c>
      <c r="G280" s="191">
        <f t="shared" ref="G280:G316" si="407">IF(PLOT_TYPE=1, E280/100*Iout2, min_I*EXP(Q280*rr/100))</f>
        <v>6.4000000000000001E-2</v>
      </c>
      <c r="H280" s="191">
        <f t="shared" ref="H280:H316" si="408">F280*Vout</f>
        <v>4.8</v>
      </c>
      <c r="I280" s="191">
        <f t="shared" ref="I280:I316" si="409">Vout2*G280</f>
        <v>1.024</v>
      </c>
      <c r="J280" s="472">
        <f t="shared" ref="J280:J316" si="410">VIN_max</f>
        <v>13</v>
      </c>
      <c r="K280" s="386">
        <f t="shared" ref="K280:K316" si="411">(S280+Vfwd1)*Nps</f>
        <v>7.66</v>
      </c>
      <c r="L280" s="386">
        <f t="shared" ref="L280:L316" si="412">(Vout+Vfwd1)*Nps+J280</f>
        <v>20.66</v>
      </c>
      <c r="M280" s="386"/>
      <c r="N280" s="191">
        <f t="shared" ref="N280:N316" si="413">(Vout+Vfwd1)*Nps/((Vout+Vfwd1)*Nps+J280)</f>
        <v>0.37076476282671827</v>
      </c>
      <c r="O280" s="152">
        <f t="shared" ref="O280:O311" si="414">N280*J280*Isw_max*0.5*Efficiency*Pout/(Pout+Pout2)</f>
        <v>7.3292248651638783</v>
      </c>
      <c r="P280" s="152">
        <f t="shared" ref="P280:P316" si="415">N280*J280*Isw_max*0.5*Efficiency*(Pout2/Pout_total)</f>
        <v>1.8971291384317523</v>
      </c>
      <c r="Q280" s="191">
        <f t="shared" ref="Q280:Q316" si="416">O280/Vout</f>
        <v>0.4886149910109252</v>
      </c>
      <c r="R280" s="191">
        <f t="shared" ref="R280:R316" si="417">O280/Vout2</f>
        <v>0.45807655407274239</v>
      </c>
      <c r="S280" s="191">
        <f t="shared" ref="S280:S316" si="418">MIN(Vout,O280/F280)</f>
        <v>15</v>
      </c>
      <c r="T280" s="191">
        <f t="shared" ref="T280:T316" si="419">MIN(2*(Vout*F280+Vout2*G280)/(Efficiency*J280*N280), Isw_max)</f>
        <v>2.685140702059762</v>
      </c>
      <c r="U280" s="191">
        <f t="shared" ref="U280:U316" si="420">L*T280/J280*1000000</f>
        <v>1.8589435629644506</v>
      </c>
      <c r="V280" s="191">
        <f t="shared" ref="V280:V316" si="421">L*T280/K280*1000000</f>
        <v>3.1548650546394073</v>
      </c>
      <c r="W280" s="175">
        <f t="shared" ref="W280:W316" si="422">IF(1/((350000*L)*(1/J280+1/K280))&gt;Isw_min, 350, 0.001/((Isw_min*L)*(1/J280+1/K280)))</f>
        <v>350</v>
      </c>
      <c r="X280" s="386">
        <f t="shared" ref="X280:X316" si="423">MIN(1/(U280+V280)*1000, 350)</f>
        <v>199.44917651801168</v>
      </c>
      <c r="Z280" s="191">
        <f t="shared" ref="Z280:Z316" si="424">1/((W280*1000*L)*(1/J280+1/K280))</f>
        <v>1.530140291030901</v>
      </c>
      <c r="AA280" s="153">
        <f t="shared" ref="AA280:AA316" si="425">L*Z280/K280*1000000</f>
        <v>1.7978149633522336</v>
      </c>
      <c r="AB280" s="153">
        <f t="shared" ref="AB280:AB311" si="426">0.5*AA280*Z280*Nps*W280/1000*(Pout/(Pout+Pout2))</f>
        <v>0.19838286859929052</v>
      </c>
      <c r="AC280" s="153"/>
      <c r="AD280" s="153">
        <f t="shared" ref="AD280:AD316" si="427">L*Isw_min/K280*1000000</f>
        <v>0.96344647519582249</v>
      </c>
      <c r="AE280" s="317">
        <f t="shared" ref="AE280:AE311" si="428">MAX(10, F280/(0.5*AD280/1000000*Isw_min*Nps)/1000*Pout_total/Pout)</f>
        <v>1620.1996166303127</v>
      </c>
      <c r="AF280" s="463">
        <f t="shared" ref="AF280:AF316" si="429">0.5*AD280/1000000*Isw_min*Nps*W280*1000*(Pout/Pout_total)</f>
        <v>6.9127284595300251E-2</v>
      </c>
      <c r="AH280" s="153">
        <f t="shared" ref="AH280:AH316" si="430">SQRT((H280+I280)/(0.5*L*Fsw_DCM))</f>
        <v>1.9229606802474608</v>
      </c>
      <c r="AI280" s="153">
        <f t="shared" ref="AI280:AI311" si="431">MAX(IF(F280&gt;AB280,T280,AH280),Isw_min)</f>
        <v>2.685140702059762</v>
      </c>
      <c r="AJ280" s="153">
        <f t="shared" ref="AJ280:AJ311" si="432">IF(F280&gt;AF280, (AI280-Isw_min)/1.08*0.8+1.2, AE280*0.2/350+1)</f>
        <v>2.5815857052294531</v>
      </c>
      <c r="AL280" s="317">
        <f t="shared" ref="AL280:AL316" si="433">F280*1000</f>
        <v>320</v>
      </c>
      <c r="AM280" s="147">
        <f t="shared" ref="AM280:AM316" si="434">IF(F280&gt;AF280, X280, AE280)</f>
        <v>199.44917651801168</v>
      </c>
      <c r="AO280">
        <f t="shared" ref="AO280:AO316" si="435">IF(H280&gt;O280, "",AL280)</f>
        <v>320</v>
      </c>
      <c r="AP280">
        <f t="shared" ref="AP280:AP316" si="436">IF(H280&gt;O280, "",AM280)</f>
        <v>199.44917651801168</v>
      </c>
      <c r="AR280" s="5">
        <f t="shared" si="406"/>
        <v>5.0138086176038579</v>
      </c>
      <c r="AS280" s="5">
        <f t="shared" si="385"/>
        <v>1.8589435629644506</v>
      </c>
      <c r="AT280" s="5">
        <f t="shared" si="386"/>
        <v>3.1548650546394073</v>
      </c>
      <c r="AU280" s="153">
        <f t="shared" si="387"/>
        <v>0.37076476282671827</v>
      </c>
      <c r="CI280" s="59">
        <f t="shared" ref="CI280:CI316" si="437">IF(ABS(F280-Ioutmax_Vinmax)&lt;Iout/200, AM280, -50)</f>
        <v>-50</v>
      </c>
    </row>
    <row r="281" spans="5:87" x14ac:dyDescent="0.25">
      <c r="E281" s="150">
        <v>65</v>
      </c>
      <c r="F281" s="191">
        <f t="shared" ref="F281:F312" si="438">IF(PLOT_TYPE=1, E281/100*Iout_max, min_I*EXP(O281*rr/100))</f>
        <v>0.32500000000000001</v>
      </c>
      <c r="G281" s="191">
        <f t="shared" si="407"/>
        <v>6.5000000000000002E-2</v>
      </c>
      <c r="H281" s="191">
        <f t="shared" si="408"/>
        <v>4.875</v>
      </c>
      <c r="I281" s="191">
        <f t="shared" si="409"/>
        <v>1.04</v>
      </c>
      <c r="J281" s="472">
        <f t="shared" si="410"/>
        <v>13</v>
      </c>
      <c r="K281" s="386">
        <f t="shared" si="411"/>
        <v>7.66</v>
      </c>
      <c r="L281" s="386">
        <f t="shared" si="412"/>
        <v>20.66</v>
      </c>
      <c r="M281" s="386"/>
      <c r="N281" s="191">
        <f t="shared" si="413"/>
        <v>0.37076476282671827</v>
      </c>
      <c r="O281" s="152">
        <f t="shared" si="414"/>
        <v>7.3292248651638783</v>
      </c>
      <c r="P281" s="152">
        <f t="shared" si="415"/>
        <v>1.8971291384317523</v>
      </c>
      <c r="Q281" s="191">
        <f t="shared" si="416"/>
        <v>0.4886149910109252</v>
      </c>
      <c r="R281" s="191">
        <f t="shared" si="417"/>
        <v>0.45807655407274239</v>
      </c>
      <c r="S281" s="191">
        <f t="shared" si="418"/>
        <v>15</v>
      </c>
      <c r="T281" s="191">
        <f t="shared" si="419"/>
        <v>2.7270960255294456</v>
      </c>
      <c r="U281" s="191">
        <f t="shared" si="420"/>
        <v>1.88798955613577</v>
      </c>
      <c r="V281" s="191">
        <f t="shared" si="421"/>
        <v>3.2041598211181475</v>
      </c>
      <c r="W281" s="175">
        <f t="shared" si="422"/>
        <v>350</v>
      </c>
      <c r="X281" s="386">
        <f t="shared" si="423"/>
        <v>196.38072764850381</v>
      </c>
      <c r="Z281" s="191">
        <f t="shared" si="424"/>
        <v>1.530140291030901</v>
      </c>
      <c r="AA281" s="153">
        <f t="shared" si="425"/>
        <v>1.7978149633522336</v>
      </c>
      <c r="AB281" s="153">
        <f t="shared" si="426"/>
        <v>0.19838286859929052</v>
      </c>
      <c r="AC281" s="153"/>
      <c r="AD281" s="153">
        <f t="shared" si="427"/>
        <v>0.96344647519582249</v>
      </c>
      <c r="AE281" s="317">
        <f t="shared" si="428"/>
        <v>1645.5152356401616</v>
      </c>
      <c r="AF281" s="463">
        <f t="shared" si="429"/>
        <v>6.9127284595300251E-2</v>
      </c>
      <c r="AH281" s="153">
        <f t="shared" si="430"/>
        <v>1.9379255804998177</v>
      </c>
      <c r="AI281" s="153">
        <f t="shared" si="431"/>
        <v>2.7270960255294456</v>
      </c>
      <c r="AJ281" s="153">
        <f t="shared" si="432"/>
        <v>2.6126637226144043</v>
      </c>
      <c r="AL281" s="317">
        <f t="shared" si="433"/>
        <v>325</v>
      </c>
      <c r="AM281" s="147">
        <f t="shared" si="434"/>
        <v>196.38072764850381</v>
      </c>
      <c r="AO281">
        <f t="shared" si="435"/>
        <v>325</v>
      </c>
      <c r="AP281">
        <f t="shared" si="436"/>
        <v>196.38072764850381</v>
      </c>
      <c r="AR281" s="5">
        <f t="shared" si="406"/>
        <v>5.0921493772539179</v>
      </c>
      <c r="AS281" s="5">
        <f t="shared" si="385"/>
        <v>1.88798955613577</v>
      </c>
      <c r="AT281" s="5">
        <f t="shared" si="386"/>
        <v>3.2041598211181479</v>
      </c>
      <c r="AU281" s="153">
        <f t="shared" si="387"/>
        <v>0.37076476282671827</v>
      </c>
      <c r="CI281" s="59">
        <f t="shared" si="437"/>
        <v>-50</v>
      </c>
    </row>
    <row r="282" spans="5:87" x14ac:dyDescent="0.25">
      <c r="E282" s="150">
        <v>66</v>
      </c>
      <c r="F282" s="191">
        <f t="shared" si="438"/>
        <v>0.33</v>
      </c>
      <c r="G282" s="191">
        <f t="shared" si="407"/>
        <v>6.6000000000000003E-2</v>
      </c>
      <c r="H282" s="191">
        <f t="shared" si="408"/>
        <v>4.95</v>
      </c>
      <c r="I282" s="191">
        <f t="shared" si="409"/>
        <v>1.056</v>
      </c>
      <c r="J282" s="472">
        <f t="shared" si="410"/>
        <v>13</v>
      </c>
      <c r="K282" s="386">
        <f t="shared" si="411"/>
        <v>7.66</v>
      </c>
      <c r="L282" s="386">
        <f t="shared" si="412"/>
        <v>20.66</v>
      </c>
      <c r="M282" s="386"/>
      <c r="N282" s="191">
        <f t="shared" si="413"/>
        <v>0.37076476282671827</v>
      </c>
      <c r="O282" s="152">
        <f t="shared" si="414"/>
        <v>7.3292248651638783</v>
      </c>
      <c r="P282" s="152">
        <f t="shared" si="415"/>
        <v>1.8971291384317523</v>
      </c>
      <c r="Q282" s="191">
        <f t="shared" si="416"/>
        <v>0.4886149910109252</v>
      </c>
      <c r="R282" s="191">
        <f t="shared" si="417"/>
        <v>0.45807655407274239</v>
      </c>
      <c r="S282" s="191">
        <f t="shared" si="418"/>
        <v>15</v>
      </c>
      <c r="T282" s="191">
        <f t="shared" si="419"/>
        <v>2.7690513489991297</v>
      </c>
      <c r="U282" s="191">
        <f t="shared" si="420"/>
        <v>1.9170355493070899</v>
      </c>
      <c r="V282" s="191">
        <f t="shared" si="421"/>
        <v>3.253454587596889</v>
      </c>
      <c r="W282" s="175">
        <f t="shared" si="422"/>
        <v>350</v>
      </c>
      <c r="X282" s="386">
        <f t="shared" si="423"/>
        <v>193.40526207807193</v>
      </c>
      <c r="Z282" s="191">
        <f t="shared" si="424"/>
        <v>1.530140291030901</v>
      </c>
      <c r="AA282" s="153">
        <f t="shared" si="425"/>
        <v>1.7978149633522336</v>
      </c>
      <c r="AB282" s="153">
        <f t="shared" si="426"/>
        <v>0.19838286859929052</v>
      </c>
      <c r="AC282" s="153"/>
      <c r="AD282" s="153">
        <f t="shared" si="427"/>
        <v>0.96344647519582249</v>
      </c>
      <c r="AE282" s="317">
        <f t="shared" si="428"/>
        <v>1670.83085465001</v>
      </c>
      <c r="AF282" s="463">
        <f t="shared" si="429"/>
        <v>6.9127284595300251E-2</v>
      </c>
      <c r="AH282" s="153">
        <f t="shared" si="430"/>
        <v>1.9527758021169079</v>
      </c>
      <c r="AI282" s="153">
        <f t="shared" si="431"/>
        <v>2.7690513489991297</v>
      </c>
      <c r="AJ282" s="153">
        <f t="shared" si="432"/>
        <v>2.6437417399993555</v>
      </c>
      <c r="AL282" s="317">
        <f t="shared" si="433"/>
        <v>330</v>
      </c>
      <c r="AM282" s="147">
        <f t="shared" si="434"/>
        <v>193.40526207807193</v>
      </c>
      <c r="AO282">
        <f t="shared" si="435"/>
        <v>330</v>
      </c>
      <c r="AP282">
        <f t="shared" si="436"/>
        <v>193.40526207807193</v>
      </c>
      <c r="AR282" s="5">
        <f t="shared" si="406"/>
        <v>5.1704901369039789</v>
      </c>
      <c r="AS282" s="5">
        <f t="shared" si="385"/>
        <v>1.9170355493070899</v>
      </c>
      <c r="AT282" s="5">
        <f t="shared" si="386"/>
        <v>3.253454587596889</v>
      </c>
      <c r="AU282" s="153">
        <f t="shared" si="387"/>
        <v>0.37076476282671827</v>
      </c>
      <c r="CI282" s="59">
        <f t="shared" si="437"/>
        <v>-50</v>
      </c>
    </row>
    <row r="283" spans="5:87" x14ac:dyDescent="0.25">
      <c r="E283" s="150">
        <v>67</v>
      </c>
      <c r="F283" s="191">
        <f t="shared" si="438"/>
        <v>0.33500000000000002</v>
      </c>
      <c r="G283" s="191">
        <f t="shared" si="407"/>
        <v>6.7000000000000004E-2</v>
      </c>
      <c r="H283" s="191">
        <f t="shared" si="408"/>
        <v>5.0250000000000004</v>
      </c>
      <c r="I283" s="191">
        <f t="shared" si="409"/>
        <v>1.0720000000000001</v>
      </c>
      <c r="J283" s="472">
        <f t="shared" si="410"/>
        <v>13</v>
      </c>
      <c r="K283" s="386">
        <f t="shared" si="411"/>
        <v>7.66</v>
      </c>
      <c r="L283" s="386">
        <f t="shared" si="412"/>
        <v>20.66</v>
      </c>
      <c r="M283" s="386"/>
      <c r="N283" s="191">
        <f t="shared" si="413"/>
        <v>0.37076476282671827</v>
      </c>
      <c r="O283" s="152">
        <f t="shared" si="414"/>
        <v>7.3292248651638783</v>
      </c>
      <c r="P283" s="152">
        <f t="shared" si="415"/>
        <v>1.8971291384317523</v>
      </c>
      <c r="Q283" s="191">
        <f t="shared" si="416"/>
        <v>0.4886149910109252</v>
      </c>
      <c r="R283" s="191">
        <f t="shared" si="417"/>
        <v>0.45807655407274239</v>
      </c>
      <c r="S283" s="191">
        <f t="shared" si="418"/>
        <v>15</v>
      </c>
      <c r="T283" s="191">
        <f t="shared" si="419"/>
        <v>2.8110066724688134</v>
      </c>
      <c r="U283" s="191">
        <f t="shared" si="420"/>
        <v>1.9460815424784093</v>
      </c>
      <c r="V283" s="191">
        <f t="shared" si="421"/>
        <v>3.3027493540756292</v>
      </c>
      <c r="W283" s="175">
        <f t="shared" si="422"/>
        <v>350</v>
      </c>
      <c r="X283" s="386">
        <f t="shared" si="423"/>
        <v>190.51861637541418</v>
      </c>
      <c r="Z283" s="191">
        <f t="shared" si="424"/>
        <v>1.530140291030901</v>
      </c>
      <c r="AA283" s="153">
        <f t="shared" si="425"/>
        <v>1.7978149633522336</v>
      </c>
      <c r="AB283" s="153">
        <f t="shared" si="426"/>
        <v>0.19838286859929052</v>
      </c>
      <c r="AC283" s="153"/>
      <c r="AD283" s="153">
        <f t="shared" si="427"/>
        <v>0.96344647519582249</v>
      </c>
      <c r="AE283" s="317">
        <f t="shared" si="428"/>
        <v>1696.1464736598589</v>
      </c>
      <c r="AF283" s="463">
        <f t="shared" si="429"/>
        <v>6.9127284595300251E-2</v>
      </c>
      <c r="AH283" s="153">
        <f t="shared" si="430"/>
        <v>1.9675139417831609</v>
      </c>
      <c r="AI283" s="153">
        <f t="shared" si="431"/>
        <v>2.8110066724688134</v>
      </c>
      <c r="AJ283" s="153">
        <f t="shared" si="432"/>
        <v>2.6748197573843067</v>
      </c>
      <c r="AL283" s="317">
        <f t="shared" si="433"/>
        <v>335</v>
      </c>
      <c r="AM283" s="147">
        <f t="shared" si="434"/>
        <v>190.51861637541418</v>
      </c>
      <c r="AO283">
        <f t="shared" si="435"/>
        <v>335</v>
      </c>
      <c r="AP283">
        <f t="shared" si="436"/>
        <v>190.51861637541418</v>
      </c>
      <c r="AR283" s="5">
        <f t="shared" si="406"/>
        <v>5.248830896554038</v>
      </c>
      <c r="AS283" s="5">
        <f t="shared" si="385"/>
        <v>1.9460815424784093</v>
      </c>
      <c r="AT283" s="5">
        <f t="shared" si="386"/>
        <v>3.3027493540756288</v>
      </c>
      <c r="AU283" s="153">
        <f t="shared" si="387"/>
        <v>0.37076476282671833</v>
      </c>
      <c r="CI283" s="59">
        <f t="shared" si="437"/>
        <v>-50</v>
      </c>
    </row>
    <row r="284" spans="5:87" x14ac:dyDescent="0.25">
      <c r="E284" s="150">
        <v>68</v>
      </c>
      <c r="F284" s="191">
        <f t="shared" si="438"/>
        <v>0.34</v>
      </c>
      <c r="G284" s="191">
        <f t="shared" si="407"/>
        <v>6.8000000000000005E-2</v>
      </c>
      <c r="H284" s="191">
        <f t="shared" si="408"/>
        <v>5.1000000000000005</v>
      </c>
      <c r="I284" s="191">
        <f t="shared" si="409"/>
        <v>1.0880000000000001</v>
      </c>
      <c r="J284" s="472">
        <f t="shared" si="410"/>
        <v>13</v>
      </c>
      <c r="K284" s="386">
        <f t="shared" si="411"/>
        <v>7.66</v>
      </c>
      <c r="L284" s="386">
        <f t="shared" si="412"/>
        <v>20.66</v>
      </c>
      <c r="M284" s="386"/>
      <c r="N284" s="191">
        <f t="shared" si="413"/>
        <v>0.37076476282671827</v>
      </c>
      <c r="O284" s="152">
        <f t="shared" si="414"/>
        <v>7.3292248651638783</v>
      </c>
      <c r="P284" s="152">
        <f t="shared" si="415"/>
        <v>1.8971291384317523</v>
      </c>
      <c r="Q284" s="191">
        <f t="shared" si="416"/>
        <v>0.4886149910109252</v>
      </c>
      <c r="R284" s="191">
        <f t="shared" si="417"/>
        <v>0.45807655407274239</v>
      </c>
      <c r="S284" s="191">
        <f t="shared" si="418"/>
        <v>15</v>
      </c>
      <c r="T284" s="191">
        <f t="shared" si="419"/>
        <v>2.8529619959384971</v>
      </c>
      <c r="U284" s="191">
        <f t="shared" si="420"/>
        <v>1.9751275356497289</v>
      </c>
      <c r="V284" s="191">
        <f t="shared" si="421"/>
        <v>3.3520441205543703</v>
      </c>
      <c r="W284" s="175">
        <f t="shared" si="422"/>
        <v>350</v>
      </c>
      <c r="X284" s="386">
        <f t="shared" si="423"/>
        <v>187.71687201695218</v>
      </c>
      <c r="Z284" s="191">
        <f t="shared" si="424"/>
        <v>1.530140291030901</v>
      </c>
      <c r="AA284" s="153">
        <f t="shared" si="425"/>
        <v>1.7978149633522336</v>
      </c>
      <c r="AB284" s="153">
        <f t="shared" si="426"/>
        <v>0.19838286859929052</v>
      </c>
      <c r="AC284" s="153"/>
      <c r="AD284" s="153">
        <f t="shared" si="427"/>
        <v>0.96344647519582249</v>
      </c>
      <c r="AE284" s="317">
        <f t="shared" si="428"/>
        <v>1721.4620926697075</v>
      </c>
      <c r="AF284" s="463">
        <f t="shared" si="429"/>
        <v>6.9127284595300251E-2</v>
      </c>
      <c r="AH284" s="153">
        <f t="shared" si="430"/>
        <v>1.9821424996424675</v>
      </c>
      <c r="AI284" s="153">
        <f t="shared" si="431"/>
        <v>2.8529619959384971</v>
      </c>
      <c r="AJ284" s="153">
        <f t="shared" si="432"/>
        <v>2.705897774769257</v>
      </c>
      <c r="AL284" s="317">
        <f t="shared" si="433"/>
        <v>340</v>
      </c>
      <c r="AM284" s="147">
        <f t="shared" si="434"/>
        <v>187.71687201695218</v>
      </c>
      <c r="AO284">
        <f t="shared" si="435"/>
        <v>340</v>
      </c>
      <c r="AP284">
        <f t="shared" si="436"/>
        <v>187.71687201695218</v>
      </c>
      <c r="AR284" s="5">
        <f t="shared" si="406"/>
        <v>5.3271716562040989</v>
      </c>
      <c r="AS284" s="5">
        <f t="shared" si="385"/>
        <v>1.9751275356497289</v>
      </c>
      <c r="AT284" s="5">
        <f t="shared" si="386"/>
        <v>3.3520441205543703</v>
      </c>
      <c r="AU284" s="153">
        <f t="shared" si="387"/>
        <v>0.37076476282671827</v>
      </c>
      <c r="CI284" s="59">
        <f t="shared" si="437"/>
        <v>-50</v>
      </c>
    </row>
    <row r="285" spans="5:87" x14ac:dyDescent="0.25">
      <c r="E285" s="150">
        <v>69</v>
      </c>
      <c r="F285" s="191">
        <f t="shared" si="438"/>
        <v>0.34499999999999997</v>
      </c>
      <c r="G285" s="191">
        <f t="shared" si="407"/>
        <v>6.8999999999999992E-2</v>
      </c>
      <c r="H285" s="191">
        <f t="shared" si="408"/>
        <v>5.1749999999999998</v>
      </c>
      <c r="I285" s="191">
        <f t="shared" si="409"/>
        <v>1.1039999999999999</v>
      </c>
      <c r="J285" s="472">
        <f t="shared" si="410"/>
        <v>13</v>
      </c>
      <c r="K285" s="386">
        <f t="shared" si="411"/>
        <v>7.66</v>
      </c>
      <c r="L285" s="386">
        <f t="shared" si="412"/>
        <v>20.66</v>
      </c>
      <c r="M285" s="386"/>
      <c r="N285" s="191">
        <f t="shared" si="413"/>
        <v>0.37076476282671827</v>
      </c>
      <c r="O285" s="152">
        <f t="shared" si="414"/>
        <v>7.3292248651638783</v>
      </c>
      <c r="P285" s="152">
        <f t="shared" si="415"/>
        <v>1.8971291384317523</v>
      </c>
      <c r="Q285" s="191">
        <f t="shared" si="416"/>
        <v>0.4886149910109252</v>
      </c>
      <c r="R285" s="191">
        <f t="shared" si="417"/>
        <v>0.45807655407274239</v>
      </c>
      <c r="S285" s="191">
        <f t="shared" si="418"/>
        <v>15</v>
      </c>
      <c r="T285" s="191">
        <f t="shared" si="419"/>
        <v>2.8949173194081808</v>
      </c>
      <c r="U285" s="191">
        <f t="shared" si="420"/>
        <v>2.0041735288210485</v>
      </c>
      <c r="V285" s="191">
        <f t="shared" si="421"/>
        <v>3.4013388870331105</v>
      </c>
      <c r="W285" s="175">
        <f t="shared" si="422"/>
        <v>350</v>
      </c>
      <c r="X285" s="386">
        <f t="shared" si="423"/>
        <v>184.9963376398949</v>
      </c>
      <c r="Z285" s="191">
        <f t="shared" si="424"/>
        <v>1.530140291030901</v>
      </c>
      <c r="AA285" s="153">
        <f t="shared" si="425"/>
        <v>1.7978149633522336</v>
      </c>
      <c r="AB285" s="153">
        <f t="shared" si="426"/>
        <v>0.19838286859929052</v>
      </c>
      <c r="AC285" s="153"/>
      <c r="AD285" s="153">
        <f t="shared" si="427"/>
        <v>0.96344647519582249</v>
      </c>
      <c r="AE285" s="317">
        <f t="shared" si="428"/>
        <v>1746.777711679556</v>
      </c>
      <c r="AF285" s="463">
        <f t="shared" si="429"/>
        <v>6.9127284595300251E-2</v>
      </c>
      <c r="AH285" s="153">
        <f t="shared" si="430"/>
        <v>1.9966638842495916</v>
      </c>
      <c r="AI285" s="153">
        <f t="shared" si="431"/>
        <v>2.8949173194081808</v>
      </c>
      <c r="AJ285" s="153">
        <f t="shared" si="432"/>
        <v>2.7369757921542082</v>
      </c>
      <c r="AL285" s="317">
        <f t="shared" si="433"/>
        <v>345</v>
      </c>
      <c r="AM285" s="147">
        <f t="shared" si="434"/>
        <v>184.9963376398949</v>
      </c>
      <c r="AO285">
        <f t="shared" si="435"/>
        <v>345</v>
      </c>
      <c r="AP285">
        <f t="shared" si="436"/>
        <v>184.9963376398949</v>
      </c>
      <c r="AR285" s="5">
        <f t="shared" si="406"/>
        <v>5.405512415854159</v>
      </c>
      <c r="AS285" s="5">
        <f t="shared" si="385"/>
        <v>2.0041735288210485</v>
      </c>
      <c r="AT285" s="5">
        <f t="shared" si="386"/>
        <v>3.4013388870331105</v>
      </c>
      <c r="AU285" s="153">
        <f t="shared" si="387"/>
        <v>0.37076476282671833</v>
      </c>
      <c r="CI285" s="59">
        <f t="shared" si="437"/>
        <v>-50</v>
      </c>
    </row>
    <row r="286" spans="5:87" x14ac:dyDescent="0.25">
      <c r="E286" s="150">
        <v>70</v>
      </c>
      <c r="F286" s="191">
        <f t="shared" si="438"/>
        <v>0.35</v>
      </c>
      <c r="G286" s="191">
        <f t="shared" si="407"/>
        <v>6.9999999999999993E-2</v>
      </c>
      <c r="H286" s="191">
        <f t="shared" si="408"/>
        <v>5.25</v>
      </c>
      <c r="I286" s="191">
        <f t="shared" si="409"/>
        <v>1.1199999999999999</v>
      </c>
      <c r="J286" s="472">
        <f t="shared" si="410"/>
        <v>13</v>
      </c>
      <c r="K286" s="386">
        <f t="shared" si="411"/>
        <v>7.66</v>
      </c>
      <c r="L286" s="386">
        <f t="shared" si="412"/>
        <v>20.66</v>
      </c>
      <c r="M286" s="386"/>
      <c r="N286" s="191">
        <f t="shared" si="413"/>
        <v>0.37076476282671827</v>
      </c>
      <c r="O286" s="152">
        <f t="shared" si="414"/>
        <v>7.3292248651638783</v>
      </c>
      <c r="P286" s="152">
        <f t="shared" si="415"/>
        <v>1.8971291384317523</v>
      </c>
      <c r="Q286" s="191">
        <f t="shared" si="416"/>
        <v>0.4886149910109252</v>
      </c>
      <c r="R286" s="191">
        <f t="shared" si="417"/>
        <v>0.45807655407274239</v>
      </c>
      <c r="S286" s="191">
        <f t="shared" si="418"/>
        <v>15</v>
      </c>
      <c r="T286" s="191">
        <f t="shared" si="419"/>
        <v>2.9368726428778644</v>
      </c>
      <c r="U286" s="191">
        <f t="shared" si="420"/>
        <v>2.0332195219923679</v>
      </c>
      <c r="V286" s="191">
        <f t="shared" si="421"/>
        <v>3.4506336535118516</v>
      </c>
      <c r="W286" s="175">
        <f t="shared" si="422"/>
        <v>350</v>
      </c>
      <c r="X286" s="386">
        <f t="shared" si="423"/>
        <v>182.35353281646786</v>
      </c>
      <c r="Z286" s="191">
        <f t="shared" si="424"/>
        <v>1.530140291030901</v>
      </c>
      <c r="AA286" s="153">
        <f t="shared" si="425"/>
        <v>1.7978149633522336</v>
      </c>
      <c r="AB286" s="153">
        <f t="shared" si="426"/>
        <v>0.19838286859929052</v>
      </c>
      <c r="AC286" s="153"/>
      <c r="AD286" s="153">
        <f t="shared" si="427"/>
        <v>0.96344647519582249</v>
      </c>
      <c r="AE286" s="317">
        <f t="shared" si="428"/>
        <v>1772.0933306894046</v>
      </c>
      <c r="AF286" s="463">
        <f t="shared" si="429"/>
        <v>6.9127284595300251E-2</v>
      </c>
      <c r="AH286" s="153">
        <f t="shared" si="430"/>
        <v>2.0110804171997807</v>
      </c>
      <c r="AI286" s="153">
        <f t="shared" si="431"/>
        <v>2.9368726428778644</v>
      </c>
      <c r="AJ286" s="153">
        <f t="shared" si="432"/>
        <v>2.7680538095391589</v>
      </c>
      <c r="AL286" s="317">
        <f t="shared" si="433"/>
        <v>350</v>
      </c>
      <c r="AM286" s="147">
        <f t="shared" si="434"/>
        <v>182.35353281646786</v>
      </c>
      <c r="AO286">
        <f t="shared" si="435"/>
        <v>350</v>
      </c>
      <c r="AP286">
        <f t="shared" si="436"/>
        <v>182.35353281646786</v>
      </c>
      <c r="AR286" s="5">
        <f t="shared" si="406"/>
        <v>5.4838531755042181</v>
      </c>
      <c r="AS286" s="5">
        <f t="shared" si="385"/>
        <v>2.0332195219923679</v>
      </c>
      <c r="AT286" s="5">
        <f t="shared" si="386"/>
        <v>3.4506336535118503</v>
      </c>
      <c r="AU286" s="153">
        <f t="shared" si="387"/>
        <v>0.37076476282671839</v>
      </c>
      <c r="CI286" s="59">
        <f t="shared" si="437"/>
        <v>-50</v>
      </c>
    </row>
    <row r="287" spans="5:87" x14ac:dyDescent="0.25">
      <c r="E287" s="150">
        <v>71</v>
      </c>
      <c r="F287" s="191">
        <f t="shared" si="438"/>
        <v>0.35499999999999998</v>
      </c>
      <c r="G287" s="191">
        <f t="shared" si="407"/>
        <v>7.0999999999999994E-2</v>
      </c>
      <c r="H287" s="191">
        <f t="shared" si="408"/>
        <v>5.3249999999999993</v>
      </c>
      <c r="I287" s="191">
        <f t="shared" si="409"/>
        <v>1.1359999999999999</v>
      </c>
      <c r="J287" s="472">
        <f t="shared" si="410"/>
        <v>13</v>
      </c>
      <c r="K287" s="386">
        <f t="shared" si="411"/>
        <v>7.66</v>
      </c>
      <c r="L287" s="386">
        <f t="shared" si="412"/>
        <v>20.66</v>
      </c>
      <c r="M287" s="386"/>
      <c r="N287" s="191">
        <f t="shared" si="413"/>
        <v>0.37076476282671827</v>
      </c>
      <c r="O287" s="152">
        <f t="shared" si="414"/>
        <v>7.3292248651638783</v>
      </c>
      <c r="P287" s="152">
        <f t="shared" si="415"/>
        <v>1.8971291384317523</v>
      </c>
      <c r="Q287" s="191">
        <f t="shared" si="416"/>
        <v>0.4886149910109252</v>
      </c>
      <c r="R287" s="191">
        <f t="shared" si="417"/>
        <v>0.45807655407274239</v>
      </c>
      <c r="S287" s="191">
        <f t="shared" si="418"/>
        <v>15</v>
      </c>
      <c r="T287" s="191">
        <f t="shared" si="419"/>
        <v>2.9788279663475481</v>
      </c>
      <c r="U287" s="191">
        <f t="shared" si="420"/>
        <v>2.0622655151636873</v>
      </c>
      <c r="V287" s="191">
        <f t="shared" si="421"/>
        <v>3.4999284199905918</v>
      </c>
      <c r="W287" s="175">
        <f t="shared" si="422"/>
        <v>350</v>
      </c>
      <c r="X287" s="386">
        <f t="shared" si="423"/>
        <v>179.78517319933451</v>
      </c>
      <c r="Z287" s="191">
        <f t="shared" si="424"/>
        <v>1.530140291030901</v>
      </c>
      <c r="AA287" s="153">
        <f t="shared" si="425"/>
        <v>1.7978149633522336</v>
      </c>
      <c r="AB287" s="153">
        <f t="shared" si="426"/>
        <v>0.19838286859929052</v>
      </c>
      <c r="AC287" s="153"/>
      <c r="AD287" s="153">
        <f t="shared" si="427"/>
        <v>0.96344647519582249</v>
      </c>
      <c r="AE287" s="317">
        <f t="shared" si="428"/>
        <v>1797.4089496992533</v>
      </c>
      <c r="AF287" s="463">
        <f t="shared" si="429"/>
        <v>6.9127284595300251E-2</v>
      </c>
      <c r="AH287" s="153">
        <f t="shared" si="430"/>
        <v>2.0253943374617749</v>
      </c>
      <c r="AI287" s="153">
        <f t="shared" si="431"/>
        <v>2.9788279663475481</v>
      </c>
      <c r="AJ287" s="153">
        <f t="shared" si="432"/>
        <v>2.7991318269241097</v>
      </c>
      <c r="AL287" s="317">
        <f t="shared" si="433"/>
        <v>355</v>
      </c>
      <c r="AM287" s="147">
        <f t="shared" si="434"/>
        <v>179.78517319933451</v>
      </c>
      <c r="AO287">
        <f t="shared" si="435"/>
        <v>355</v>
      </c>
      <c r="AP287">
        <f t="shared" si="436"/>
        <v>179.78517319933451</v>
      </c>
      <c r="AR287" s="5">
        <f t="shared" si="406"/>
        <v>5.5621939351542791</v>
      </c>
      <c r="AS287" s="5">
        <f t="shared" si="385"/>
        <v>2.0622655151636873</v>
      </c>
      <c r="AT287" s="5">
        <f t="shared" si="386"/>
        <v>3.4999284199905918</v>
      </c>
      <c r="AU287" s="153">
        <f t="shared" si="387"/>
        <v>0.37076476282671833</v>
      </c>
      <c r="CI287" s="59">
        <f t="shared" si="437"/>
        <v>-50</v>
      </c>
    </row>
    <row r="288" spans="5:87" x14ac:dyDescent="0.25">
      <c r="E288" s="150">
        <v>72</v>
      </c>
      <c r="F288" s="191">
        <f t="shared" si="438"/>
        <v>0.36</v>
      </c>
      <c r="G288" s="191">
        <f t="shared" si="407"/>
        <v>7.1999999999999995E-2</v>
      </c>
      <c r="H288" s="191">
        <f t="shared" si="408"/>
        <v>5.3999999999999995</v>
      </c>
      <c r="I288" s="191">
        <f t="shared" si="409"/>
        <v>1.1519999999999999</v>
      </c>
      <c r="J288" s="472">
        <f t="shared" si="410"/>
        <v>13</v>
      </c>
      <c r="K288" s="386">
        <f t="shared" si="411"/>
        <v>7.66</v>
      </c>
      <c r="L288" s="386">
        <f t="shared" si="412"/>
        <v>20.66</v>
      </c>
      <c r="M288" s="386"/>
      <c r="N288" s="191">
        <f t="shared" si="413"/>
        <v>0.37076476282671827</v>
      </c>
      <c r="O288" s="152">
        <f t="shared" si="414"/>
        <v>7.3292248651638783</v>
      </c>
      <c r="P288" s="152">
        <f t="shared" si="415"/>
        <v>1.8971291384317523</v>
      </c>
      <c r="Q288" s="191">
        <f t="shared" si="416"/>
        <v>0.4886149910109252</v>
      </c>
      <c r="R288" s="191">
        <f t="shared" si="417"/>
        <v>0.45807655407274239</v>
      </c>
      <c r="S288" s="191">
        <f t="shared" si="418"/>
        <v>15</v>
      </c>
      <c r="T288" s="191">
        <f t="shared" si="419"/>
        <v>3.0207832898172318</v>
      </c>
      <c r="U288" s="191">
        <f t="shared" si="420"/>
        <v>2.0913115083350067</v>
      </c>
      <c r="V288" s="191">
        <f t="shared" si="421"/>
        <v>3.5492231864693324</v>
      </c>
      <c r="W288" s="175">
        <f t="shared" si="422"/>
        <v>350</v>
      </c>
      <c r="X288" s="386">
        <f t="shared" si="423"/>
        <v>177.2881569048993</v>
      </c>
      <c r="Z288" s="191">
        <f t="shared" si="424"/>
        <v>1.530140291030901</v>
      </c>
      <c r="AA288" s="153">
        <f t="shared" si="425"/>
        <v>1.7978149633522336</v>
      </c>
      <c r="AB288" s="153">
        <f t="shared" si="426"/>
        <v>0.19838286859929052</v>
      </c>
      <c r="AC288" s="153"/>
      <c r="AD288" s="153">
        <f t="shared" si="427"/>
        <v>0.96344647519582249</v>
      </c>
      <c r="AE288" s="317">
        <f t="shared" si="428"/>
        <v>1822.7245687091017</v>
      </c>
      <c r="AF288" s="463">
        <f t="shared" si="429"/>
        <v>6.9127284595300251E-2</v>
      </c>
      <c r="AH288" s="153">
        <f t="shared" si="430"/>
        <v>2.0396078054371141</v>
      </c>
      <c r="AI288" s="153">
        <f t="shared" si="431"/>
        <v>3.0207832898172318</v>
      </c>
      <c r="AJ288" s="153">
        <f t="shared" si="432"/>
        <v>2.8302098443090609</v>
      </c>
      <c r="AL288" s="317">
        <f t="shared" si="433"/>
        <v>360</v>
      </c>
      <c r="AM288" s="147">
        <f t="shared" si="434"/>
        <v>177.2881569048993</v>
      </c>
      <c r="AO288">
        <f t="shared" si="435"/>
        <v>360</v>
      </c>
      <c r="AP288">
        <f t="shared" si="436"/>
        <v>177.2881569048993</v>
      </c>
      <c r="AR288" s="5">
        <f t="shared" si="406"/>
        <v>5.6405346948043391</v>
      </c>
      <c r="AS288" s="5">
        <f t="shared" si="385"/>
        <v>2.0913115083350067</v>
      </c>
      <c r="AT288" s="5">
        <f t="shared" si="386"/>
        <v>3.5492231864693324</v>
      </c>
      <c r="AU288" s="153">
        <f t="shared" si="387"/>
        <v>0.37076476282671827</v>
      </c>
      <c r="CI288" s="59">
        <f t="shared" si="437"/>
        <v>-50</v>
      </c>
    </row>
    <row r="289" spans="5:87" x14ac:dyDescent="0.25">
      <c r="E289" s="150">
        <v>73</v>
      </c>
      <c r="F289" s="191">
        <f t="shared" si="438"/>
        <v>0.36499999999999999</v>
      </c>
      <c r="G289" s="191">
        <f t="shared" si="407"/>
        <v>7.2999999999999995E-2</v>
      </c>
      <c r="H289" s="191">
        <f t="shared" si="408"/>
        <v>5.4749999999999996</v>
      </c>
      <c r="I289" s="191">
        <f t="shared" si="409"/>
        <v>1.1679999999999999</v>
      </c>
      <c r="J289" s="472">
        <f t="shared" si="410"/>
        <v>13</v>
      </c>
      <c r="K289" s="386">
        <f t="shared" si="411"/>
        <v>7.66</v>
      </c>
      <c r="L289" s="386">
        <f t="shared" si="412"/>
        <v>20.66</v>
      </c>
      <c r="M289" s="386"/>
      <c r="N289" s="191">
        <f t="shared" si="413"/>
        <v>0.37076476282671827</v>
      </c>
      <c r="O289" s="152">
        <f t="shared" si="414"/>
        <v>7.3292248651638783</v>
      </c>
      <c r="P289" s="152">
        <f t="shared" si="415"/>
        <v>1.8971291384317523</v>
      </c>
      <c r="Q289" s="191">
        <f t="shared" si="416"/>
        <v>0.4886149910109252</v>
      </c>
      <c r="R289" s="191">
        <f t="shared" si="417"/>
        <v>0.45807655407274239</v>
      </c>
      <c r="S289" s="191">
        <f t="shared" si="418"/>
        <v>15</v>
      </c>
      <c r="T289" s="191">
        <f t="shared" si="419"/>
        <v>3.0627386132869159</v>
      </c>
      <c r="U289" s="191">
        <f t="shared" si="420"/>
        <v>2.1203575015063265</v>
      </c>
      <c r="V289" s="191">
        <f t="shared" si="421"/>
        <v>3.5985179529480735</v>
      </c>
      <c r="W289" s="175">
        <f t="shared" si="422"/>
        <v>350</v>
      </c>
      <c r="X289" s="386">
        <f t="shared" si="423"/>
        <v>174.85955201579105</v>
      </c>
      <c r="Z289" s="191">
        <f t="shared" si="424"/>
        <v>1.530140291030901</v>
      </c>
      <c r="AA289" s="153">
        <f t="shared" si="425"/>
        <v>1.7978149633522336</v>
      </c>
      <c r="AB289" s="153">
        <f t="shared" si="426"/>
        <v>0.19838286859929052</v>
      </c>
      <c r="AC289" s="153"/>
      <c r="AD289" s="153">
        <f t="shared" si="427"/>
        <v>0.96344647519582249</v>
      </c>
      <c r="AE289" s="317">
        <f t="shared" si="428"/>
        <v>1848.0401877189504</v>
      </c>
      <c r="AF289" s="463">
        <f t="shared" si="429"/>
        <v>6.9127284595300251E-2</v>
      </c>
      <c r="AH289" s="153">
        <f t="shared" si="430"/>
        <v>2.0537229067665819</v>
      </c>
      <c r="AI289" s="153">
        <f t="shared" si="431"/>
        <v>3.0627386132869159</v>
      </c>
      <c r="AJ289" s="153">
        <f t="shared" si="432"/>
        <v>2.8612878616940121</v>
      </c>
      <c r="AL289" s="317">
        <f t="shared" si="433"/>
        <v>365</v>
      </c>
      <c r="AM289" s="147">
        <f t="shared" si="434"/>
        <v>174.85955201579105</v>
      </c>
      <c r="AO289">
        <f t="shared" si="435"/>
        <v>365</v>
      </c>
      <c r="AP289">
        <f t="shared" si="436"/>
        <v>174.85955201579105</v>
      </c>
      <c r="AR289" s="5">
        <f t="shared" si="406"/>
        <v>5.7188754544544009</v>
      </c>
      <c r="AS289" s="5">
        <f t="shared" si="385"/>
        <v>2.1203575015063265</v>
      </c>
      <c r="AT289" s="5">
        <f t="shared" si="386"/>
        <v>3.5985179529480744</v>
      </c>
      <c r="AU289" s="153">
        <f t="shared" si="387"/>
        <v>0.37076476282671827</v>
      </c>
      <c r="CI289" s="59">
        <f t="shared" si="437"/>
        <v>-50</v>
      </c>
    </row>
    <row r="290" spans="5:87" x14ac:dyDescent="0.25">
      <c r="E290" s="150">
        <v>74</v>
      </c>
      <c r="F290" s="191">
        <f t="shared" si="438"/>
        <v>0.37</v>
      </c>
      <c r="G290" s="191">
        <f t="shared" si="407"/>
        <v>7.3999999999999996E-2</v>
      </c>
      <c r="H290" s="191">
        <f t="shared" si="408"/>
        <v>5.55</v>
      </c>
      <c r="I290" s="191">
        <f t="shared" si="409"/>
        <v>1.1839999999999999</v>
      </c>
      <c r="J290" s="472">
        <f t="shared" si="410"/>
        <v>13</v>
      </c>
      <c r="K290" s="386">
        <f t="shared" si="411"/>
        <v>7.66</v>
      </c>
      <c r="L290" s="386">
        <f t="shared" si="412"/>
        <v>20.66</v>
      </c>
      <c r="M290" s="386"/>
      <c r="N290" s="191">
        <f t="shared" si="413"/>
        <v>0.37076476282671827</v>
      </c>
      <c r="O290" s="152">
        <f t="shared" si="414"/>
        <v>7.3292248651638783</v>
      </c>
      <c r="P290" s="152">
        <f t="shared" si="415"/>
        <v>1.8971291384317523</v>
      </c>
      <c r="Q290" s="191">
        <f t="shared" si="416"/>
        <v>0.4886149910109252</v>
      </c>
      <c r="R290" s="191">
        <f t="shared" si="417"/>
        <v>0.45807655407274239</v>
      </c>
      <c r="S290" s="191">
        <f t="shared" si="418"/>
        <v>15</v>
      </c>
      <c r="T290" s="191">
        <f t="shared" si="419"/>
        <v>3.1046939367565995</v>
      </c>
      <c r="U290" s="191">
        <f t="shared" si="420"/>
        <v>2.1494034946776464</v>
      </c>
      <c r="V290" s="191">
        <f t="shared" si="421"/>
        <v>3.6478127194268146</v>
      </c>
      <c r="W290" s="175">
        <f t="shared" si="422"/>
        <v>350</v>
      </c>
      <c r="X290" s="386">
        <f t="shared" si="423"/>
        <v>172.49658509665875</v>
      </c>
      <c r="Z290" s="191">
        <f t="shared" si="424"/>
        <v>1.530140291030901</v>
      </c>
      <c r="AA290" s="153">
        <f t="shared" si="425"/>
        <v>1.7978149633522336</v>
      </c>
      <c r="AB290" s="153">
        <f t="shared" si="426"/>
        <v>0.19838286859929052</v>
      </c>
      <c r="AC290" s="153"/>
      <c r="AD290" s="153">
        <f t="shared" si="427"/>
        <v>0.96344647519582249</v>
      </c>
      <c r="AE290" s="317">
        <f t="shared" si="428"/>
        <v>1873.3558067287991</v>
      </c>
      <c r="AF290" s="463">
        <f t="shared" si="429"/>
        <v>6.9127284595300251E-2</v>
      </c>
      <c r="AH290" s="153">
        <f t="shared" si="430"/>
        <v>2.0677416559027764</v>
      </c>
      <c r="AI290" s="153">
        <f t="shared" si="431"/>
        <v>3.1046939367565995</v>
      </c>
      <c r="AJ290" s="153">
        <f t="shared" si="432"/>
        <v>2.8923658790789628</v>
      </c>
      <c r="AL290" s="317">
        <f t="shared" si="433"/>
        <v>370</v>
      </c>
      <c r="AM290" s="147">
        <f t="shared" si="434"/>
        <v>172.49658509665875</v>
      </c>
      <c r="AO290">
        <f t="shared" si="435"/>
        <v>370</v>
      </c>
      <c r="AP290">
        <f t="shared" si="436"/>
        <v>172.49658509665875</v>
      </c>
      <c r="AR290" s="5">
        <f t="shared" si="406"/>
        <v>5.797216214104461</v>
      </c>
      <c r="AS290" s="5">
        <f t="shared" si="385"/>
        <v>2.1494034946776464</v>
      </c>
      <c r="AT290" s="5">
        <f t="shared" si="386"/>
        <v>3.6478127194268146</v>
      </c>
      <c r="AU290" s="153">
        <f t="shared" si="387"/>
        <v>0.37076476282671833</v>
      </c>
      <c r="CI290" s="59">
        <f t="shared" si="437"/>
        <v>-50</v>
      </c>
    </row>
    <row r="291" spans="5:87" x14ac:dyDescent="0.25">
      <c r="E291" s="150">
        <v>75</v>
      </c>
      <c r="F291" s="191">
        <f t="shared" si="438"/>
        <v>0.375</v>
      </c>
      <c r="G291" s="191">
        <f t="shared" si="407"/>
        <v>7.5000000000000011E-2</v>
      </c>
      <c r="H291" s="191">
        <f t="shared" si="408"/>
        <v>5.625</v>
      </c>
      <c r="I291" s="191">
        <f t="shared" si="409"/>
        <v>1.2000000000000002</v>
      </c>
      <c r="J291" s="472">
        <f t="shared" si="410"/>
        <v>13</v>
      </c>
      <c r="K291" s="386">
        <f t="shared" si="411"/>
        <v>7.66</v>
      </c>
      <c r="L291" s="386">
        <f t="shared" si="412"/>
        <v>20.66</v>
      </c>
      <c r="M291" s="386"/>
      <c r="N291" s="191">
        <f t="shared" si="413"/>
        <v>0.37076476282671827</v>
      </c>
      <c r="O291" s="152">
        <f t="shared" si="414"/>
        <v>7.3292248651638783</v>
      </c>
      <c r="P291" s="152">
        <f t="shared" si="415"/>
        <v>1.8971291384317523</v>
      </c>
      <c r="Q291" s="191">
        <f t="shared" si="416"/>
        <v>0.4886149910109252</v>
      </c>
      <c r="R291" s="191">
        <f t="shared" si="417"/>
        <v>0.45807655407274239</v>
      </c>
      <c r="S291" s="191">
        <f t="shared" si="418"/>
        <v>15</v>
      </c>
      <c r="T291" s="191">
        <f t="shared" si="419"/>
        <v>3.1466492602262837</v>
      </c>
      <c r="U291" s="191">
        <f t="shared" si="420"/>
        <v>2.1784494878489657</v>
      </c>
      <c r="V291" s="191">
        <f t="shared" si="421"/>
        <v>3.6971074859055548</v>
      </c>
      <c r="W291" s="175">
        <f t="shared" si="422"/>
        <v>350</v>
      </c>
      <c r="X291" s="386">
        <f t="shared" si="423"/>
        <v>170.19663062870333</v>
      </c>
      <c r="Z291" s="191">
        <f t="shared" si="424"/>
        <v>1.530140291030901</v>
      </c>
      <c r="AA291" s="153">
        <f t="shared" si="425"/>
        <v>1.7978149633522336</v>
      </c>
      <c r="AB291" s="153">
        <f t="shared" si="426"/>
        <v>0.19838286859929052</v>
      </c>
      <c r="AC291" s="153"/>
      <c r="AD291" s="153">
        <f t="shared" si="427"/>
        <v>0.96344647519582249</v>
      </c>
      <c r="AE291" s="317">
        <f t="shared" si="428"/>
        <v>1898.6714257386477</v>
      </c>
      <c r="AF291" s="463">
        <f t="shared" si="429"/>
        <v>6.9127284595300251E-2</v>
      </c>
      <c r="AH291" s="153">
        <f t="shared" si="430"/>
        <v>2.0816659994661331</v>
      </c>
      <c r="AI291" s="153">
        <f t="shared" si="431"/>
        <v>3.1466492602262837</v>
      </c>
      <c r="AJ291" s="153">
        <f t="shared" si="432"/>
        <v>2.923443896463914</v>
      </c>
      <c r="AL291" s="317">
        <f t="shared" si="433"/>
        <v>375</v>
      </c>
      <c r="AM291" s="147">
        <f t="shared" si="434"/>
        <v>170.19663062870333</v>
      </c>
      <c r="AO291">
        <f t="shared" si="435"/>
        <v>375</v>
      </c>
      <c r="AP291">
        <f t="shared" si="436"/>
        <v>170.19663062870333</v>
      </c>
      <c r="AR291" s="5">
        <f t="shared" si="406"/>
        <v>5.8755569737545201</v>
      </c>
      <c r="AS291" s="5">
        <f t="shared" si="385"/>
        <v>2.1784494878489657</v>
      </c>
      <c r="AT291" s="5">
        <f t="shared" si="386"/>
        <v>3.6971074859055544</v>
      </c>
      <c r="AU291" s="153">
        <f t="shared" si="387"/>
        <v>0.37076476282671839</v>
      </c>
      <c r="CI291" s="59">
        <f t="shared" si="437"/>
        <v>-50</v>
      </c>
    </row>
    <row r="292" spans="5:87" x14ac:dyDescent="0.25">
      <c r="E292" s="150">
        <v>76</v>
      </c>
      <c r="F292" s="191">
        <f t="shared" si="438"/>
        <v>0.38</v>
      </c>
      <c r="G292" s="191">
        <f t="shared" si="407"/>
        <v>7.6000000000000012E-2</v>
      </c>
      <c r="H292" s="191">
        <f t="shared" si="408"/>
        <v>5.7</v>
      </c>
      <c r="I292" s="191">
        <f t="shared" si="409"/>
        <v>1.2160000000000002</v>
      </c>
      <c r="J292" s="472">
        <f t="shared" si="410"/>
        <v>13</v>
      </c>
      <c r="K292" s="386">
        <f t="shared" si="411"/>
        <v>7.66</v>
      </c>
      <c r="L292" s="386">
        <f t="shared" si="412"/>
        <v>20.66</v>
      </c>
      <c r="M292" s="386"/>
      <c r="N292" s="191">
        <f t="shared" si="413"/>
        <v>0.37076476282671827</v>
      </c>
      <c r="O292" s="152">
        <f t="shared" si="414"/>
        <v>7.3292248651638783</v>
      </c>
      <c r="P292" s="152">
        <f t="shared" si="415"/>
        <v>1.8971291384317523</v>
      </c>
      <c r="Q292" s="191">
        <f t="shared" si="416"/>
        <v>0.4886149910109252</v>
      </c>
      <c r="R292" s="191">
        <f t="shared" si="417"/>
        <v>0.45807655407274239</v>
      </c>
      <c r="S292" s="191">
        <f t="shared" si="418"/>
        <v>15</v>
      </c>
      <c r="T292" s="191">
        <f t="shared" si="419"/>
        <v>3.1886045836959673</v>
      </c>
      <c r="U292" s="191">
        <f t="shared" si="420"/>
        <v>2.2074954810202851</v>
      </c>
      <c r="V292" s="191">
        <f t="shared" si="421"/>
        <v>3.7464022523842959</v>
      </c>
      <c r="W292" s="175">
        <f t="shared" si="422"/>
        <v>350</v>
      </c>
      <c r="X292" s="386">
        <f t="shared" si="423"/>
        <v>167.95720127832564</v>
      </c>
      <c r="Z292" s="191">
        <f t="shared" si="424"/>
        <v>1.530140291030901</v>
      </c>
      <c r="AA292" s="153">
        <f t="shared" si="425"/>
        <v>1.7978149633522336</v>
      </c>
      <c r="AB292" s="153">
        <f t="shared" si="426"/>
        <v>0.19838286859929052</v>
      </c>
      <c r="AC292" s="153"/>
      <c r="AD292" s="153">
        <f t="shared" si="427"/>
        <v>0.96344647519582249</v>
      </c>
      <c r="AE292" s="317">
        <f t="shared" si="428"/>
        <v>1923.9870447484966</v>
      </c>
      <c r="AF292" s="463">
        <f t="shared" si="429"/>
        <v>6.9127284595300251E-2</v>
      </c>
      <c r="AH292" s="153">
        <f t="shared" si="430"/>
        <v>2.0954978194002285</v>
      </c>
      <c r="AI292" s="153">
        <f t="shared" si="431"/>
        <v>3.1886045836959673</v>
      </c>
      <c r="AJ292" s="153">
        <f t="shared" si="432"/>
        <v>2.9545219138488648</v>
      </c>
      <c r="AL292" s="317">
        <f t="shared" si="433"/>
        <v>380</v>
      </c>
      <c r="AM292" s="147">
        <f t="shared" si="434"/>
        <v>167.95720127832564</v>
      </c>
      <c r="AO292">
        <f t="shared" si="435"/>
        <v>380</v>
      </c>
      <c r="AP292">
        <f t="shared" si="436"/>
        <v>167.95720127832564</v>
      </c>
      <c r="AR292" s="5">
        <f t="shared" si="406"/>
        <v>5.9538977334045811</v>
      </c>
      <c r="AS292" s="5">
        <f t="shared" si="385"/>
        <v>2.2074954810202851</v>
      </c>
      <c r="AT292" s="5">
        <f t="shared" si="386"/>
        <v>3.7464022523842959</v>
      </c>
      <c r="AU292" s="153">
        <f t="shared" si="387"/>
        <v>0.37076476282671827</v>
      </c>
      <c r="CI292" s="59">
        <f t="shared" si="437"/>
        <v>-50</v>
      </c>
    </row>
    <row r="293" spans="5:87" x14ac:dyDescent="0.25">
      <c r="E293" s="150">
        <v>77</v>
      </c>
      <c r="F293" s="191">
        <f t="shared" si="438"/>
        <v>0.38500000000000001</v>
      </c>
      <c r="G293" s="191">
        <f t="shared" si="407"/>
        <v>7.7000000000000013E-2</v>
      </c>
      <c r="H293" s="191">
        <f t="shared" si="408"/>
        <v>5.7750000000000004</v>
      </c>
      <c r="I293" s="191">
        <f t="shared" si="409"/>
        <v>1.2320000000000002</v>
      </c>
      <c r="J293" s="472">
        <f t="shared" si="410"/>
        <v>13</v>
      </c>
      <c r="K293" s="386">
        <f t="shared" si="411"/>
        <v>7.66</v>
      </c>
      <c r="L293" s="386">
        <f t="shared" si="412"/>
        <v>20.66</v>
      </c>
      <c r="M293" s="386"/>
      <c r="N293" s="191">
        <f t="shared" si="413"/>
        <v>0.37076476282671827</v>
      </c>
      <c r="O293" s="152">
        <f t="shared" si="414"/>
        <v>7.3292248651638783</v>
      </c>
      <c r="P293" s="152">
        <f t="shared" si="415"/>
        <v>1.8971291384317523</v>
      </c>
      <c r="Q293" s="191">
        <f t="shared" si="416"/>
        <v>0.4886149910109252</v>
      </c>
      <c r="R293" s="191">
        <f t="shared" si="417"/>
        <v>0.45807655407274239</v>
      </c>
      <c r="S293" s="191">
        <f t="shared" si="418"/>
        <v>15</v>
      </c>
      <c r="T293" s="191">
        <f t="shared" si="419"/>
        <v>3.2305599071656514</v>
      </c>
      <c r="U293" s="191">
        <f t="shared" si="420"/>
        <v>2.236541474191605</v>
      </c>
      <c r="V293" s="191">
        <f t="shared" si="421"/>
        <v>3.7956970188630366</v>
      </c>
      <c r="W293" s="175">
        <f t="shared" si="422"/>
        <v>350</v>
      </c>
      <c r="X293" s="386">
        <f t="shared" si="423"/>
        <v>165.77593892406165</v>
      </c>
      <c r="Z293" s="191">
        <f t="shared" si="424"/>
        <v>1.530140291030901</v>
      </c>
      <c r="AA293" s="153">
        <f t="shared" si="425"/>
        <v>1.7978149633522336</v>
      </c>
      <c r="AB293" s="153">
        <f t="shared" si="426"/>
        <v>0.19838286859929052</v>
      </c>
      <c r="AC293" s="153"/>
      <c r="AD293" s="153">
        <f t="shared" si="427"/>
        <v>0.96344647519582249</v>
      </c>
      <c r="AE293" s="317">
        <f t="shared" si="428"/>
        <v>1949.3026637583453</v>
      </c>
      <c r="AF293" s="463">
        <f t="shared" si="429"/>
        <v>6.9127284595300251E-2</v>
      </c>
      <c r="AH293" s="153">
        <f t="shared" si="430"/>
        <v>2.1092389359408501</v>
      </c>
      <c r="AI293" s="153">
        <f t="shared" si="431"/>
        <v>3.2305599071656514</v>
      </c>
      <c r="AJ293" s="153">
        <f t="shared" si="432"/>
        <v>2.985599931233816</v>
      </c>
      <c r="AL293" s="317">
        <f t="shared" si="433"/>
        <v>385</v>
      </c>
      <c r="AM293" s="147">
        <f t="shared" si="434"/>
        <v>165.77593892406165</v>
      </c>
      <c r="AO293">
        <f t="shared" si="435"/>
        <v>385</v>
      </c>
      <c r="AP293">
        <f t="shared" si="436"/>
        <v>165.77593892406165</v>
      </c>
      <c r="AR293" s="5">
        <f t="shared" si="406"/>
        <v>6.032238493054642</v>
      </c>
      <c r="AS293" s="5">
        <f t="shared" si="385"/>
        <v>2.236541474191605</v>
      </c>
      <c r="AT293" s="5">
        <f t="shared" si="386"/>
        <v>3.795697018863037</v>
      </c>
      <c r="AU293" s="153">
        <f t="shared" si="387"/>
        <v>0.37076476282671833</v>
      </c>
      <c r="CI293" s="59">
        <f t="shared" si="437"/>
        <v>-50</v>
      </c>
    </row>
    <row r="294" spans="5:87" x14ac:dyDescent="0.25">
      <c r="E294" s="150">
        <v>78</v>
      </c>
      <c r="F294" s="191">
        <f t="shared" si="438"/>
        <v>0.39</v>
      </c>
      <c r="G294" s="191">
        <f t="shared" si="407"/>
        <v>7.8000000000000014E-2</v>
      </c>
      <c r="H294" s="191">
        <f t="shared" si="408"/>
        <v>5.8500000000000005</v>
      </c>
      <c r="I294" s="191">
        <f t="shared" si="409"/>
        <v>1.2480000000000002</v>
      </c>
      <c r="J294" s="472">
        <f t="shared" si="410"/>
        <v>13</v>
      </c>
      <c r="K294" s="386">
        <f t="shared" si="411"/>
        <v>7.66</v>
      </c>
      <c r="L294" s="386">
        <f t="shared" si="412"/>
        <v>20.66</v>
      </c>
      <c r="M294" s="386"/>
      <c r="N294" s="191">
        <f t="shared" si="413"/>
        <v>0.37076476282671827</v>
      </c>
      <c r="O294" s="152">
        <f t="shared" si="414"/>
        <v>7.3292248651638783</v>
      </c>
      <c r="P294" s="152">
        <f t="shared" si="415"/>
        <v>1.8971291384317523</v>
      </c>
      <c r="Q294" s="191">
        <f t="shared" si="416"/>
        <v>0.4886149910109252</v>
      </c>
      <c r="R294" s="191">
        <f t="shared" si="417"/>
        <v>0.45807655407274239</v>
      </c>
      <c r="S294" s="191">
        <f t="shared" si="418"/>
        <v>15</v>
      </c>
      <c r="T294" s="191">
        <f t="shared" si="419"/>
        <v>3.2725152306353351</v>
      </c>
      <c r="U294" s="191">
        <f t="shared" si="420"/>
        <v>2.2655874673629244</v>
      </c>
      <c r="V294" s="191">
        <f t="shared" si="421"/>
        <v>3.8449917853417777</v>
      </c>
      <c r="W294" s="175">
        <f t="shared" si="422"/>
        <v>350</v>
      </c>
      <c r="X294" s="386">
        <f t="shared" si="423"/>
        <v>163.65060637375316</v>
      </c>
      <c r="Z294" s="191">
        <f t="shared" si="424"/>
        <v>1.530140291030901</v>
      </c>
      <c r="AA294" s="153">
        <f t="shared" si="425"/>
        <v>1.7978149633522336</v>
      </c>
      <c r="AB294" s="153">
        <f t="shared" si="426"/>
        <v>0.19838286859929052</v>
      </c>
      <c r="AC294" s="153"/>
      <c r="AD294" s="153">
        <f t="shared" si="427"/>
        <v>0.96344647519582249</v>
      </c>
      <c r="AE294" s="317">
        <f t="shared" si="428"/>
        <v>1974.6182827681939</v>
      </c>
      <c r="AF294" s="463">
        <f t="shared" si="429"/>
        <v>6.9127284595300251E-2</v>
      </c>
      <c r="AH294" s="153">
        <f t="shared" si="430"/>
        <v>2.122891110412088</v>
      </c>
      <c r="AI294" s="153">
        <f t="shared" si="431"/>
        <v>3.2725152306353351</v>
      </c>
      <c r="AJ294" s="153">
        <f t="shared" si="432"/>
        <v>3.0166779486187671</v>
      </c>
      <c r="AL294" s="317">
        <f t="shared" si="433"/>
        <v>390</v>
      </c>
      <c r="AM294" s="147">
        <f t="shared" si="434"/>
        <v>163.65060637375316</v>
      </c>
      <c r="AO294">
        <f t="shared" si="435"/>
        <v>390</v>
      </c>
      <c r="AP294">
        <f t="shared" si="436"/>
        <v>163.65060637375316</v>
      </c>
      <c r="AR294" s="5">
        <f t="shared" si="406"/>
        <v>6.110579252704702</v>
      </c>
      <c r="AS294" s="5">
        <f t="shared" si="385"/>
        <v>2.2655874673629244</v>
      </c>
      <c r="AT294" s="5">
        <f t="shared" si="386"/>
        <v>3.8449917853417777</v>
      </c>
      <c r="AU294" s="153">
        <f t="shared" si="387"/>
        <v>0.37076476282671827</v>
      </c>
      <c r="CI294" s="59">
        <f t="shared" si="437"/>
        <v>-50</v>
      </c>
    </row>
    <row r="295" spans="5:87" x14ac:dyDescent="0.25">
      <c r="E295" s="150">
        <v>79</v>
      </c>
      <c r="F295" s="191">
        <f t="shared" si="438"/>
        <v>0.39500000000000002</v>
      </c>
      <c r="G295" s="191">
        <f t="shared" si="407"/>
        <v>7.9000000000000015E-2</v>
      </c>
      <c r="H295" s="191">
        <f t="shared" si="408"/>
        <v>5.9250000000000007</v>
      </c>
      <c r="I295" s="191">
        <f t="shared" si="409"/>
        <v>1.2640000000000002</v>
      </c>
      <c r="J295" s="472">
        <f t="shared" si="410"/>
        <v>13</v>
      </c>
      <c r="K295" s="386">
        <f t="shared" si="411"/>
        <v>7.66</v>
      </c>
      <c r="L295" s="386">
        <f t="shared" si="412"/>
        <v>20.66</v>
      </c>
      <c r="M295" s="386"/>
      <c r="N295" s="191">
        <f t="shared" si="413"/>
        <v>0.37076476282671827</v>
      </c>
      <c r="O295" s="152">
        <f t="shared" si="414"/>
        <v>7.3292248651638783</v>
      </c>
      <c r="P295" s="152">
        <f t="shared" si="415"/>
        <v>1.8971291384317523</v>
      </c>
      <c r="Q295" s="191">
        <f t="shared" si="416"/>
        <v>0.4886149910109252</v>
      </c>
      <c r="R295" s="191">
        <f t="shared" si="417"/>
        <v>0.45807655407274239</v>
      </c>
      <c r="S295" s="191">
        <f t="shared" si="418"/>
        <v>15</v>
      </c>
      <c r="T295" s="191">
        <f t="shared" si="419"/>
        <v>3.3144705541050192</v>
      </c>
      <c r="U295" s="191">
        <f t="shared" si="420"/>
        <v>2.2946334605342438</v>
      </c>
      <c r="V295" s="191">
        <f t="shared" si="421"/>
        <v>3.8942865518205183</v>
      </c>
      <c r="W295" s="175">
        <f t="shared" si="422"/>
        <v>350</v>
      </c>
      <c r="X295" s="386">
        <f t="shared" si="423"/>
        <v>161.57907971079428</v>
      </c>
      <c r="Z295" s="191">
        <f t="shared" si="424"/>
        <v>1.530140291030901</v>
      </c>
      <c r="AA295" s="153">
        <f t="shared" si="425"/>
        <v>1.7978149633522336</v>
      </c>
      <c r="AB295" s="153">
        <f t="shared" si="426"/>
        <v>0.19838286859929052</v>
      </c>
      <c r="AC295" s="153"/>
      <c r="AD295" s="153">
        <f t="shared" si="427"/>
        <v>0.96344647519582249</v>
      </c>
      <c r="AE295" s="317">
        <f t="shared" si="428"/>
        <v>1999.9339017780426</v>
      </c>
      <c r="AF295" s="463">
        <f t="shared" si="429"/>
        <v>6.9127284595300251E-2</v>
      </c>
      <c r="AH295" s="153">
        <f t="shared" si="430"/>
        <v>2.1364560478616088</v>
      </c>
      <c r="AI295" s="153">
        <f t="shared" si="431"/>
        <v>3.3144705541050192</v>
      </c>
      <c r="AJ295" s="153">
        <f t="shared" si="432"/>
        <v>3.0477559660037183</v>
      </c>
      <c r="AL295" s="317">
        <f t="shared" si="433"/>
        <v>395</v>
      </c>
      <c r="AM295" s="147">
        <f t="shared" si="434"/>
        <v>161.57907971079428</v>
      </c>
      <c r="AO295">
        <f t="shared" si="435"/>
        <v>395</v>
      </c>
      <c r="AP295">
        <f t="shared" si="436"/>
        <v>161.57907971079428</v>
      </c>
      <c r="AR295" s="5">
        <f t="shared" si="406"/>
        <v>6.1889200123547621</v>
      </c>
      <c r="AS295" s="5">
        <f t="shared" si="385"/>
        <v>2.2946334605342438</v>
      </c>
      <c r="AT295" s="5">
        <f t="shared" si="386"/>
        <v>3.8942865518205183</v>
      </c>
      <c r="AU295" s="153">
        <f t="shared" si="387"/>
        <v>0.37076476282671827</v>
      </c>
      <c r="CI295" s="59">
        <f t="shared" si="437"/>
        <v>-50</v>
      </c>
    </row>
    <row r="296" spans="5:87" x14ac:dyDescent="0.25">
      <c r="E296" s="150">
        <v>80</v>
      </c>
      <c r="F296" s="191">
        <f t="shared" si="438"/>
        <v>0.4</v>
      </c>
      <c r="G296" s="191">
        <f t="shared" si="407"/>
        <v>8.0000000000000016E-2</v>
      </c>
      <c r="H296" s="191">
        <f t="shared" si="408"/>
        <v>6</v>
      </c>
      <c r="I296" s="191">
        <f t="shared" si="409"/>
        <v>1.2800000000000002</v>
      </c>
      <c r="J296" s="472">
        <f t="shared" si="410"/>
        <v>13</v>
      </c>
      <c r="K296" s="386">
        <f t="shared" si="411"/>
        <v>7.66</v>
      </c>
      <c r="L296" s="386">
        <f t="shared" si="412"/>
        <v>20.66</v>
      </c>
      <c r="M296" s="386"/>
      <c r="N296" s="191">
        <f t="shared" si="413"/>
        <v>0.37076476282671827</v>
      </c>
      <c r="O296" s="152">
        <f t="shared" si="414"/>
        <v>7.3292248651638783</v>
      </c>
      <c r="P296" s="152">
        <f t="shared" si="415"/>
        <v>1.8971291384317523</v>
      </c>
      <c r="Q296" s="191">
        <f t="shared" si="416"/>
        <v>0.4886149910109252</v>
      </c>
      <c r="R296" s="191">
        <f t="shared" si="417"/>
        <v>0.45807655407274239</v>
      </c>
      <c r="S296" s="191">
        <f t="shared" si="418"/>
        <v>15</v>
      </c>
      <c r="T296" s="191">
        <f t="shared" si="419"/>
        <v>3.3564258775747025</v>
      </c>
      <c r="U296" s="191">
        <f t="shared" si="420"/>
        <v>2.3236794537055636</v>
      </c>
      <c r="V296" s="191">
        <f t="shared" si="421"/>
        <v>3.9435813182992594</v>
      </c>
      <c r="W296" s="175">
        <f t="shared" si="422"/>
        <v>350</v>
      </c>
      <c r="X296" s="386">
        <f t="shared" si="423"/>
        <v>159.55934121440936</v>
      </c>
      <c r="Z296" s="191">
        <f t="shared" si="424"/>
        <v>1.530140291030901</v>
      </c>
      <c r="AA296" s="153">
        <f t="shared" si="425"/>
        <v>1.7978149633522336</v>
      </c>
      <c r="AB296" s="153">
        <f t="shared" si="426"/>
        <v>0.19838286859929052</v>
      </c>
      <c r="AC296" s="153"/>
      <c r="AD296" s="153">
        <f t="shared" si="427"/>
        <v>0.96344647519582249</v>
      </c>
      <c r="AE296" s="317">
        <f t="shared" si="428"/>
        <v>2025.2495207878912</v>
      </c>
      <c r="AF296" s="463">
        <f t="shared" si="429"/>
        <v>6.9127284595300251E-2</v>
      </c>
      <c r="AH296" s="153">
        <f t="shared" si="430"/>
        <v>2.1499353995462802</v>
      </c>
      <c r="AI296" s="153">
        <f t="shared" si="431"/>
        <v>3.3564258775747025</v>
      </c>
      <c r="AJ296" s="153">
        <f t="shared" si="432"/>
        <v>3.0788339833886686</v>
      </c>
      <c r="AL296" s="317">
        <f t="shared" si="433"/>
        <v>400</v>
      </c>
      <c r="AM296" s="147">
        <f t="shared" si="434"/>
        <v>159.55934121440936</v>
      </c>
      <c r="AO296">
        <f t="shared" si="435"/>
        <v>400</v>
      </c>
      <c r="AP296">
        <f t="shared" si="436"/>
        <v>159.55934121440936</v>
      </c>
      <c r="AR296" s="5">
        <f t="shared" si="406"/>
        <v>6.2672607720048221</v>
      </c>
      <c r="AS296" s="5">
        <f t="shared" si="385"/>
        <v>2.3236794537055636</v>
      </c>
      <c r="AT296" s="5">
        <f t="shared" si="386"/>
        <v>3.9435813182992585</v>
      </c>
      <c r="AU296" s="153">
        <f t="shared" si="387"/>
        <v>0.37076476282671833</v>
      </c>
      <c r="CI296" s="59">
        <f t="shared" si="437"/>
        <v>-50</v>
      </c>
    </row>
    <row r="297" spans="5:87" x14ac:dyDescent="0.25">
      <c r="E297" s="150">
        <v>81</v>
      </c>
      <c r="F297" s="191">
        <f t="shared" si="438"/>
        <v>0.40500000000000003</v>
      </c>
      <c r="G297" s="191">
        <f t="shared" si="407"/>
        <v>8.1000000000000016E-2</v>
      </c>
      <c r="H297" s="191">
        <f t="shared" si="408"/>
        <v>6.0750000000000002</v>
      </c>
      <c r="I297" s="191">
        <f t="shared" si="409"/>
        <v>1.2960000000000003</v>
      </c>
      <c r="J297" s="472">
        <f t="shared" si="410"/>
        <v>13</v>
      </c>
      <c r="K297" s="386">
        <f t="shared" si="411"/>
        <v>7.66</v>
      </c>
      <c r="L297" s="386">
        <f t="shared" si="412"/>
        <v>20.66</v>
      </c>
      <c r="M297" s="386"/>
      <c r="N297" s="191">
        <f t="shared" si="413"/>
        <v>0.37076476282671827</v>
      </c>
      <c r="O297" s="152">
        <f t="shared" si="414"/>
        <v>7.3292248651638783</v>
      </c>
      <c r="P297" s="152">
        <f t="shared" si="415"/>
        <v>1.8971291384317523</v>
      </c>
      <c r="Q297" s="191">
        <f t="shared" si="416"/>
        <v>0.4886149910109252</v>
      </c>
      <c r="R297" s="191">
        <f t="shared" si="417"/>
        <v>0.45807655407274239</v>
      </c>
      <c r="S297" s="191">
        <f t="shared" si="418"/>
        <v>15</v>
      </c>
      <c r="T297" s="191">
        <f t="shared" si="419"/>
        <v>3.3983812010443866</v>
      </c>
      <c r="U297" s="191">
        <f t="shared" si="420"/>
        <v>2.352725446876883</v>
      </c>
      <c r="V297" s="191">
        <f t="shared" si="421"/>
        <v>3.992876084778</v>
      </c>
      <c r="W297" s="175">
        <f t="shared" si="422"/>
        <v>350</v>
      </c>
      <c r="X297" s="386">
        <f t="shared" si="423"/>
        <v>157.5894728043549</v>
      </c>
      <c r="Z297" s="191">
        <f t="shared" si="424"/>
        <v>1.530140291030901</v>
      </c>
      <c r="AA297" s="153">
        <f t="shared" si="425"/>
        <v>1.7978149633522336</v>
      </c>
      <c r="AB297" s="153">
        <f t="shared" si="426"/>
        <v>0.19838286859929052</v>
      </c>
      <c r="AC297" s="153"/>
      <c r="AD297" s="153">
        <f t="shared" si="427"/>
        <v>0.96344647519582249</v>
      </c>
      <c r="AE297" s="317">
        <f t="shared" si="428"/>
        <v>2050.5651397977399</v>
      </c>
      <c r="AF297" s="463">
        <f t="shared" si="429"/>
        <v>6.9127284595300251E-2</v>
      </c>
      <c r="AH297" s="153">
        <f t="shared" si="430"/>
        <v>2.1633307652783937</v>
      </c>
      <c r="AI297" s="153">
        <f t="shared" si="431"/>
        <v>3.3983812010443866</v>
      </c>
      <c r="AJ297" s="153">
        <f t="shared" si="432"/>
        <v>3.1099120007736198</v>
      </c>
      <c r="AL297" s="317">
        <f t="shared" si="433"/>
        <v>405</v>
      </c>
      <c r="AM297" s="147">
        <f t="shared" si="434"/>
        <v>157.5894728043549</v>
      </c>
      <c r="AO297">
        <f t="shared" si="435"/>
        <v>405</v>
      </c>
      <c r="AP297">
        <f t="shared" si="436"/>
        <v>157.5894728043549</v>
      </c>
      <c r="AR297" s="5">
        <f t="shared" si="406"/>
        <v>6.3456015316548839</v>
      </c>
      <c r="AS297" s="5">
        <f t="shared" si="385"/>
        <v>2.352725446876883</v>
      </c>
      <c r="AT297" s="5">
        <f t="shared" si="386"/>
        <v>3.9928760847780009</v>
      </c>
      <c r="AU297" s="153">
        <f t="shared" si="387"/>
        <v>0.37076476282671822</v>
      </c>
      <c r="CI297" s="59">
        <f t="shared" si="437"/>
        <v>-50</v>
      </c>
    </row>
    <row r="298" spans="5:87" x14ac:dyDescent="0.25">
      <c r="E298" s="150">
        <v>82</v>
      </c>
      <c r="F298" s="191">
        <f t="shared" si="438"/>
        <v>0.41</v>
      </c>
      <c r="G298" s="191">
        <f t="shared" si="407"/>
        <v>8.2000000000000003E-2</v>
      </c>
      <c r="H298" s="191">
        <f t="shared" si="408"/>
        <v>6.1499999999999995</v>
      </c>
      <c r="I298" s="191">
        <f t="shared" si="409"/>
        <v>1.3120000000000001</v>
      </c>
      <c r="J298" s="472">
        <f t="shared" si="410"/>
        <v>13</v>
      </c>
      <c r="K298" s="386">
        <f t="shared" si="411"/>
        <v>7.66</v>
      </c>
      <c r="L298" s="386">
        <f t="shared" si="412"/>
        <v>20.66</v>
      </c>
      <c r="M298" s="386"/>
      <c r="N298" s="191">
        <f t="shared" si="413"/>
        <v>0.37076476282671827</v>
      </c>
      <c r="O298" s="152">
        <f t="shared" si="414"/>
        <v>7.3292248651638783</v>
      </c>
      <c r="P298" s="152">
        <f t="shared" si="415"/>
        <v>1.8971291384317523</v>
      </c>
      <c r="Q298" s="191">
        <f t="shared" si="416"/>
        <v>0.4886149910109252</v>
      </c>
      <c r="R298" s="191">
        <f t="shared" si="417"/>
        <v>0.45807655407274239</v>
      </c>
      <c r="S298" s="191">
        <f t="shared" si="418"/>
        <v>15</v>
      </c>
      <c r="T298" s="191">
        <f t="shared" si="419"/>
        <v>3.4403365245140698</v>
      </c>
      <c r="U298" s="191">
        <f t="shared" si="420"/>
        <v>2.381771440048202</v>
      </c>
      <c r="V298" s="191">
        <f t="shared" si="421"/>
        <v>4.0421708512567394</v>
      </c>
      <c r="W298" s="175">
        <f t="shared" si="422"/>
        <v>350</v>
      </c>
      <c r="X298" s="386">
        <f t="shared" si="423"/>
        <v>155.66764996527746</v>
      </c>
      <c r="Z298" s="191">
        <f t="shared" si="424"/>
        <v>1.530140291030901</v>
      </c>
      <c r="AA298" s="153">
        <f t="shared" si="425"/>
        <v>1.7978149633522336</v>
      </c>
      <c r="AB298" s="153">
        <f t="shared" si="426"/>
        <v>0.19838286859929052</v>
      </c>
      <c r="AC298" s="153"/>
      <c r="AD298" s="153">
        <f t="shared" si="427"/>
        <v>0.96344647519582249</v>
      </c>
      <c r="AE298" s="317">
        <f t="shared" si="428"/>
        <v>2075.8807588075883</v>
      </c>
      <c r="AF298" s="463">
        <f t="shared" si="429"/>
        <v>6.9127284595300251E-2</v>
      </c>
      <c r="AH298" s="153">
        <f t="shared" si="430"/>
        <v>2.1766436956419342</v>
      </c>
      <c r="AI298" s="153">
        <f t="shared" si="431"/>
        <v>3.4403365245140698</v>
      </c>
      <c r="AJ298" s="153">
        <f t="shared" si="432"/>
        <v>3.1409900181585702</v>
      </c>
      <c r="AL298" s="317">
        <f t="shared" si="433"/>
        <v>410</v>
      </c>
      <c r="AM298" s="147">
        <f t="shared" si="434"/>
        <v>155.66764996527746</v>
      </c>
      <c r="AO298">
        <f t="shared" si="435"/>
        <v>410</v>
      </c>
      <c r="AP298">
        <f t="shared" si="436"/>
        <v>155.66764996527746</v>
      </c>
      <c r="AR298" s="5">
        <f t="shared" si="406"/>
        <v>6.4239422913049404</v>
      </c>
      <c r="AS298" s="5">
        <f t="shared" si="385"/>
        <v>2.381771440048202</v>
      </c>
      <c r="AT298" s="5">
        <f t="shared" si="386"/>
        <v>4.0421708512567385</v>
      </c>
      <c r="AU298" s="153">
        <f t="shared" si="387"/>
        <v>0.37076476282671839</v>
      </c>
      <c r="CI298" s="59">
        <f t="shared" si="437"/>
        <v>-50</v>
      </c>
    </row>
    <row r="299" spans="5:87" x14ac:dyDescent="0.25">
      <c r="E299" s="150">
        <v>83</v>
      </c>
      <c r="F299" s="191">
        <f t="shared" si="438"/>
        <v>0.41499999999999998</v>
      </c>
      <c r="G299" s="191">
        <f t="shared" si="407"/>
        <v>8.3000000000000004E-2</v>
      </c>
      <c r="H299" s="191">
        <f t="shared" si="408"/>
        <v>6.2249999999999996</v>
      </c>
      <c r="I299" s="191">
        <f t="shared" si="409"/>
        <v>1.3280000000000001</v>
      </c>
      <c r="J299" s="472">
        <f t="shared" si="410"/>
        <v>13</v>
      </c>
      <c r="K299" s="386">
        <f t="shared" si="411"/>
        <v>7.66</v>
      </c>
      <c r="L299" s="386">
        <f t="shared" si="412"/>
        <v>20.66</v>
      </c>
      <c r="M299" s="386"/>
      <c r="N299" s="191">
        <f t="shared" si="413"/>
        <v>0.37076476282671827</v>
      </c>
      <c r="O299" s="152">
        <f t="shared" si="414"/>
        <v>7.3292248651638783</v>
      </c>
      <c r="P299" s="152">
        <f t="shared" si="415"/>
        <v>1.8971291384317523</v>
      </c>
      <c r="Q299" s="191">
        <f t="shared" si="416"/>
        <v>0.4886149910109252</v>
      </c>
      <c r="R299" s="191">
        <f t="shared" si="417"/>
        <v>0.45807655407274239</v>
      </c>
      <c r="S299" s="191">
        <f t="shared" si="418"/>
        <v>15</v>
      </c>
      <c r="T299" s="191">
        <f t="shared" si="419"/>
        <v>3.4822918479837539</v>
      </c>
      <c r="U299" s="191">
        <f t="shared" si="420"/>
        <v>2.4108174332195222</v>
      </c>
      <c r="V299" s="191">
        <f t="shared" si="421"/>
        <v>4.0914656177354818</v>
      </c>
      <c r="W299" s="175">
        <f t="shared" si="422"/>
        <v>350</v>
      </c>
      <c r="X299" s="386">
        <f t="shared" si="423"/>
        <v>153.79213611027407</v>
      </c>
      <c r="Z299" s="191">
        <f t="shared" si="424"/>
        <v>1.530140291030901</v>
      </c>
      <c r="AA299" s="153">
        <f t="shared" si="425"/>
        <v>1.7978149633522336</v>
      </c>
      <c r="AB299" s="153">
        <f t="shared" si="426"/>
        <v>0.19838286859929052</v>
      </c>
      <c r="AC299" s="153"/>
      <c r="AD299" s="153">
        <f t="shared" si="427"/>
        <v>0.96344647519582249</v>
      </c>
      <c r="AE299" s="317">
        <f t="shared" si="428"/>
        <v>2101.1963778174372</v>
      </c>
      <c r="AF299" s="463">
        <f t="shared" si="429"/>
        <v>6.9127284595300251E-2</v>
      </c>
      <c r="AH299" s="153">
        <f t="shared" si="430"/>
        <v>2.1898756940875788</v>
      </c>
      <c r="AI299" s="153">
        <f t="shared" si="431"/>
        <v>3.4822918479837539</v>
      </c>
      <c r="AJ299" s="153">
        <f t="shared" si="432"/>
        <v>3.1720680355435213</v>
      </c>
      <c r="AL299" s="317">
        <f t="shared" si="433"/>
        <v>415</v>
      </c>
      <c r="AM299" s="147">
        <f t="shared" si="434"/>
        <v>153.79213611027407</v>
      </c>
      <c r="AO299">
        <f t="shared" si="435"/>
        <v>415</v>
      </c>
      <c r="AP299">
        <f t="shared" si="436"/>
        <v>153.79213611027407</v>
      </c>
      <c r="AR299" s="5">
        <f t="shared" si="406"/>
        <v>6.5022830509550031</v>
      </c>
      <c r="AS299" s="5">
        <f t="shared" si="385"/>
        <v>2.4108174332195222</v>
      </c>
      <c r="AT299" s="5">
        <f t="shared" si="386"/>
        <v>4.0914656177354809</v>
      </c>
      <c r="AU299" s="153">
        <f t="shared" si="387"/>
        <v>0.37076476282671833</v>
      </c>
      <c r="CI299" s="59">
        <f t="shared" si="437"/>
        <v>-50</v>
      </c>
    </row>
    <row r="300" spans="5:87" x14ac:dyDescent="0.25">
      <c r="E300" s="150">
        <v>84</v>
      </c>
      <c r="F300" s="191">
        <f t="shared" si="438"/>
        <v>0.42</v>
      </c>
      <c r="G300" s="191">
        <f t="shared" si="407"/>
        <v>8.4000000000000005E-2</v>
      </c>
      <c r="H300" s="191">
        <f t="shared" si="408"/>
        <v>6.3</v>
      </c>
      <c r="I300" s="191">
        <f t="shared" si="409"/>
        <v>1.3440000000000001</v>
      </c>
      <c r="J300" s="472">
        <f t="shared" si="410"/>
        <v>13</v>
      </c>
      <c r="K300" s="386">
        <f t="shared" si="411"/>
        <v>7.66</v>
      </c>
      <c r="L300" s="386">
        <f t="shared" si="412"/>
        <v>20.66</v>
      </c>
      <c r="M300" s="386"/>
      <c r="N300" s="191">
        <f t="shared" si="413"/>
        <v>0.37076476282671827</v>
      </c>
      <c r="O300" s="152">
        <f t="shared" si="414"/>
        <v>7.3292248651638783</v>
      </c>
      <c r="P300" s="152">
        <f t="shared" si="415"/>
        <v>1.8971291384317523</v>
      </c>
      <c r="Q300" s="191">
        <f t="shared" si="416"/>
        <v>0.4886149910109252</v>
      </c>
      <c r="R300" s="191">
        <f t="shared" si="417"/>
        <v>0.45807655407274239</v>
      </c>
      <c r="S300" s="191">
        <f t="shared" si="418"/>
        <v>15</v>
      </c>
      <c r="T300" s="191">
        <f t="shared" si="419"/>
        <v>3.5242471714534376</v>
      </c>
      <c r="U300" s="191">
        <f t="shared" si="420"/>
        <v>2.4398634263908412</v>
      </c>
      <c r="V300" s="191">
        <f t="shared" si="421"/>
        <v>4.1407603842142207</v>
      </c>
      <c r="W300" s="175">
        <f t="shared" si="422"/>
        <v>350</v>
      </c>
      <c r="X300" s="386">
        <f t="shared" si="423"/>
        <v>151.96127734705655</v>
      </c>
      <c r="Z300" s="191">
        <f t="shared" si="424"/>
        <v>1.530140291030901</v>
      </c>
      <c r="AA300" s="153">
        <f t="shared" si="425"/>
        <v>1.7978149633522336</v>
      </c>
      <c r="AB300" s="153">
        <f t="shared" si="426"/>
        <v>0.19838286859929052</v>
      </c>
      <c r="AC300" s="153"/>
      <c r="AD300" s="153">
        <f t="shared" si="427"/>
        <v>0.96344647519582249</v>
      </c>
      <c r="AE300" s="317">
        <f t="shared" si="428"/>
        <v>2126.5119968272857</v>
      </c>
      <c r="AF300" s="463">
        <f t="shared" si="429"/>
        <v>6.9127284595300251E-2</v>
      </c>
      <c r="AH300" s="153">
        <f t="shared" si="430"/>
        <v>2.203028218914441</v>
      </c>
      <c r="AI300" s="153">
        <f t="shared" si="431"/>
        <v>3.5242471714534376</v>
      </c>
      <c r="AJ300" s="153">
        <f t="shared" si="432"/>
        <v>3.2031460529284725</v>
      </c>
      <c r="AL300" s="317">
        <f t="shared" si="433"/>
        <v>420</v>
      </c>
      <c r="AM300" s="147">
        <f t="shared" si="434"/>
        <v>151.96127734705655</v>
      </c>
      <c r="AO300">
        <f t="shared" si="435"/>
        <v>420</v>
      </c>
      <c r="AP300">
        <f t="shared" si="436"/>
        <v>151.96127734705655</v>
      </c>
      <c r="AR300" s="5">
        <f t="shared" si="406"/>
        <v>6.5806238106050623</v>
      </c>
      <c r="AS300" s="5">
        <f t="shared" si="385"/>
        <v>2.4398634263908412</v>
      </c>
      <c r="AT300" s="5">
        <f t="shared" si="386"/>
        <v>4.1407603842142215</v>
      </c>
      <c r="AU300" s="153">
        <f t="shared" si="387"/>
        <v>0.37076476282671833</v>
      </c>
      <c r="CI300" s="59">
        <f t="shared" si="437"/>
        <v>-50</v>
      </c>
    </row>
    <row r="301" spans="5:87" x14ac:dyDescent="0.25">
      <c r="E301" s="150">
        <v>85</v>
      </c>
      <c r="F301" s="191">
        <f t="shared" si="438"/>
        <v>0.42499999999999999</v>
      </c>
      <c r="G301" s="191">
        <f t="shared" si="407"/>
        <v>8.5000000000000006E-2</v>
      </c>
      <c r="H301" s="191">
        <f t="shared" si="408"/>
        <v>6.375</v>
      </c>
      <c r="I301" s="191">
        <f t="shared" si="409"/>
        <v>1.36</v>
      </c>
      <c r="J301" s="472">
        <f t="shared" si="410"/>
        <v>13</v>
      </c>
      <c r="K301" s="386">
        <f t="shared" si="411"/>
        <v>7.66</v>
      </c>
      <c r="L301" s="386">
        <f t="shared" si="412"/>
        <v>20.66</v>
      </c>
      <c r="M301" s="386"/>
      <c r="N301" s="191">
        <f t="shared" si="413"/>
        <v>0.37076476282671827</v>
      </c>
      <c r="O301" s="152">
        <f t="shared" si="414"/>
        <v>7.3292248651638783</v>
      </c>
      <c r="P301" s="152">
        <f t="shared" si="415"/>
        <v>1.8971291384317523</v>
      </c>
      <c r="Q301" s="191">
        <f t="shared" si="416"/>
        <v>0.4886149910109252</v>
      </c>
      <c r="R301" s="191">
        <f t="shared" si="417"/>
        <v>0.45807655407274239</v>
      </c>
      <c r="S301" s="191">
        <f t="shared" si="418"/>
        <v>15</v>
      </c>
      <c r="T301" s="191">
        <f t="shared" si="419"/>
        <v>3.5662024949231212</v>
      </c>
      <c r="U301" s="191">
        <f t="shared" si="420"/>
        <v>2.468909419562161</v>
      </c>
      <c r="V301" s="191">
        <f t="shared" si="421"/>
        <v>4.1900551506929622</v>
      </c>
      <c r="W301" s="175">
        <f t="shared" si="422"/>
        <v>350</v>
      </c>
      <c r="X301" s="386">
        <f t="shared" si="423"/>
        <v>150.17349761356175</v>
      </c>
      <c r="Z301" s="191">
        <f t="shared" si="424"/>
        <v>1.530140291030901</v>
      </c>
      <c r="AA301" s="153">
        <f t="shared" si="425"/>
        <v>1.7978149633522336</v>
      </c>
      <c r="AB301" s="153">
        <f t="shared" si="426"/>
        <v>0.19838286859929052</v>
      </c>
      <c r="AC301" s="153"/>
      <c r="AD301" s="153">
        <f t="shared" si="427"/>
        <v>0.96344647519582249</v>
      </c>
      <c r="AE301" s="317">
        <f t="shared" si="428"/>
        <v>2151.8276158371341</v>
      </c>
      <c r="AF301" s="463">
        <f t="shared" si="429"/>
        <v>6.9127284595300251E-2</v>
      </c>
      <c r="AH301" s="153">
        <f t="shared" si="430"/>
        <v>2.2161026851459549</v>
      </c>
      <c r="AI301" s="153">
        <f t="shared" si="431"/>
        <v>3.5662024949231212</v>
      </c>
      <c r="AJ301" s="153">
        <f t="shared" si="432"/>
        <v>3.2342240703134228</v>
      </c>
      <c r="AL301" s="317">
        <f t="shared" si="433"/>
        <v>425</v>
      </c>
      <c r="AM301" s="147">
        <f t="shared" si="434"/>
        <v>150.17349761356175</v>
      </c>
      <c r="AO301">
        <f t="shared" si="435"/>
        <v>425</v>
      </c>
      <c r="AP301">
        <f t="shared" si="436"/>
        <v>150.17349761356175</v>
      </c>
      <c r="AR301" s="5">
        <f t="shared" si="406"/>
        <v>6.6589645702551232</v>
      </c>
      <c r="AS301" s="5">
        <f t="shared" si="385"/>
        <v>2.468909419562161</v>
      </c>
      <c r="AT301" s="5">
        <f t="shared" si="386"/>
        <v>4.1900551506929622</v>
      </c>
      <c r="AU301" s="153">
        <f t="shared" si="387"/>
        <v>0.37076476282671833</v>
      </c>
      <c r="CI301" s="59">
        <f t="shared" si="437"/>
        <v>-50</v>
      </c>
    </row>
    <row r="302" spans="5:87" x14ac:dyDescent="0.25">
      <c r="E302" s="150">
        <v>86</v>
      </c>
      <c r="F302" s="191">
        <f t="shared" si="438"/>
        <v>0.43</v>
      </c>
      <c r="G302" s="191">
        <f t="shared" si="407"/>
        <v>8.6000000000000007E-2</v>
      </c>
      <c r="H302" s="191">
        <f t="shared" si="408"/>
        <v>6.45</v>
      </c>
      <c r="I302" s="191">
        <f t="shared" si="409"/>
        <v>1.3760000000000001</v>
      </c>
      <c r="J302" s="472">
        <f t="shared" si="410"/>
        <v>13</v>
      </c>
      <c r="K302" s="386">
        <f t="shared" si="411"/>
        <v>7.66</v>
      </c>
      <c r="L302" s="386">
        <f t="shared" si="412"/>
        <v>20.66</v>
      </c>
      <c r="M302" s="386"/>
      <c r="N302" s="191">
        <f t="shared" si="413"/>
        <v>0.37076476282671827</v>
      </c>
      <c r="O302" s="152">
        <f t="shared" si="414"/>
        <v>7.3292248651638783</v>
      </c>
      <c r="P302" s="152">
        <f t="shared" si="415"/>
        <v>1.8971291384317523</v>
      </c>
      <c r="Q302" s="191">
        <f t="shared" si="416"/>
        <v>0.4886149910109252</v>
      </c>
      <c r="R302" s="191">
        <f t="shared" si="417"/>
        <v>0.45807655407274239</v>
      </c>
      <c r="S302" s="191">
        <f t="shared" si="418"/>
        <v>15</v>
      </c>
      <c r="T302" s="191">
        <f t="shared" si="419"/>
        <v>3.6081578183928054</v>
      </c>
      <c r="U302" s="191">
        <f t="shared" si="420"/>
        <v>2.4979554127334809</v>
      </c>
      <c r="V302" s="191">
        <f t="shared" si="421"/>
        <v>4.2393499171717028</v>
      </c>
      <c r="W302" s="175">
        <f t="shared" si="422"/>
        <v>350</v>
      </c>
      <c r="X302" s="386">
        <f t="shared" si="423"/>
        <v>148.42729415293894</v>
      </c>
      <c r="Z302" s="191">
        <f t="shared" si="424"/>
        <v>1.530140291030901</v>
      </c>
      <c r="AA302" s="153">
        <f t="shared" si="425"/>
        <v>1.7978149633522336</v>
      </c>
      <c r="AB302" s="153">
        <f t="shared" si="426"/>
        <v>0.19838286859929052</v>
      </c>
      <c r="AC302" s="153"/>
      <c r="AD302" s="153">
        <f t="shared" si="427"/>
        <v>0.96344647519582249</v>
      </c>
      <c r="AE302" s="317">
        <f t="shared" si="428"/>
        <v>2177.1432348469825</v>
      </c>
      <c r="AF302" s="463">
        <f t="shared" si="429"/>
        <v>6.9127284595300251E-2</v>
      </c>
      <c r="AH302" s="153">
        <f t="shared" si="430"/>
        <v>2.2291004663067318</v>
      </c>
      <c r="AI302" s="153">
        <f t="shared" si="431"/>
        <v>3.6081578183928054</v>
      </c>
      <c r="AJ302" s="153">
        <f t="shared" si="432"/>
        <v>3.265302087698374</v>
      </c>
      <c r="AL302" s="317">
        <f t="shared" si="433"/>
        <v>430</v>
      </c>
      <c r="AM302" s="147">
        <f t="shared" si="434"/>
        <v>148.42729415293894</v>
      </c>
      <c r="AO302">
        <f t="shared" si="435"/>
        <v>430</v>
      </c>
      <c r="AP302">
        <f t="shared" si="436"/>
        <v>148.42729415293894</v>
      </c>
      <c r="AR302" s="5">
        <f t="shared" si="406"/>
        <v>6.7373053299051842</v>
      </c>
      <c r="AS302" s="5">
        <f t="shared" si="385"/>
        <v>2.4979554127334809</v>
      </c>
      <c r="AT302" s="5">
        <f t="shared" si="386"/>
        <v>4.2393499171717028</v>
      </c>
      <c r="AU302" s="153">
        <f t="shared" si="387"/>
        <v>0.37076476282671833</v>
      </c>
      <c r="CI302" s="59">
        <f t="shared" si="437"/>
        <v>-50</v>
      </c>
    </row>
    <row r="303" spans="5:87" x14ac:dyDescent="0.25">
      <c r="E303" s="150">
        <v>87</v>
      </c>
      <c r="F303" s="191">
        <f t="shared" si="438"/>
        <v>0.435</v>
      </c>
      <c r="G303" s="191">
        <f t="shared" si="407"/>
        <v>8.7000000000000008E-2</v>
      </c>
      <c r="H303" s="191">
        <f t="shared" si="408"/>
        <v>6.5250000000000004</v>
      </c>
      <c r="I303" s="191">
        <f t="shared" si="409"/>
        <v>1.3920000000000001</v>
      </c>
      <c r="J303" s="472">
        <f t="shared" si="410"/>
        <v>13</v>
      </c>
      <c r="K303" s="386">
        <f t="shared" si="411"/>
        <v>7.66</v>
      </c>
      <c r="L303" s="386">
        <f t="shared" si="412"/>
        <v>20.66</v>
      </c>
      <c r="M303" s="386"/>
      <c r="N303" s="191">
        <f t="shared" si="413"/>
        <v>0.37076476282671827</v>
      </c>
      <c r="O303" s="152">
        <f t="shared" si="414"/>
        <v>7.3292248651638783</v>
      </c>
      <c r="P303" s="152">
        <f t="shared" si="415"/>
        <v>1.8971291384317523</v>
      </c>
      <c r="Q303" s="191">
        <f t="shared" si="416"/>
        <v>0.4886149910109252</v>
      </c>
      <c r="R303" s="191">
        <f t="shared" si="417"/>
        <v>0.45807655407274239</v>
      </c>
      <c r="S303" s="191">
        <f t="shared" si="418"/>
        <v>15</v>
      </c>
      <c r="T303" s="191">
        <f t="shared" si="419"/>
        <v>3.650113141862489</v>
      </c>
      <c r="U303" s="191">
        <f t="shared" si="420"/>
        <v>2.5270014059048003</v>
      </c>
      <c r="V303" s="191">
        <f t="shared" si="421"/>
        <v>4.2886446836504435</v>
      </c>
      <c r="W303" s="175">
        <f t="shared" si="422"/>
        <v>350</v>
      </c>
      <c r="X303" s="386">
        <f t="shared" si="423"/>
        <v>146.72123330060629</v>
      </c>
      <c r="Z303" s="191">
        <f t="shared" si="424"/>
        <v>1.530140291030901</v>
      </c>
      <c r="AA303" s="153">
        <f t="shared" si="425"/>
        <v>1.7978149633522336</v>
      </c>
      <c r="AB303" s="153">
        <f t="shared" si="426"/>
        <v>0.19838286859929052</v>
      </c>
      <c r="AC303" s="153"/>
      <c r="AD303" s="153">
        <f t="shared" si="427"/>
        <v>0.96344647519582249</v>
      </c>
      <c r="AE303" s="317">
        <f t="shared" si="428"/>
        <v>2202.458853856831</v>
      </c>
      <c r="AF303" s="463">
        <f t="shared" si="429"/>
        <v>6.9127284595300251E-2</v>
      </c>
      <c r="AH303" s="153">
        <f t="shared" si="430"/>
        <v>2.2420228961066986</v>
      </c>
      <c r="AI303" s="153">
        <f t="shared" si="431"/>
        <v>3.650113141862489</v>
      </c>
      <c r="AJ303" s="153">
        <f t="shared" si="432"/>
        <v>3.2963801050833252</v>
      </c>
      <c r="AL303" s="317">
        <f t="shared" si="433"/>
        <v>435</v>
      </c>
      <c r="AM303" s="147">
        <f t="shared" si="434"/>
        <v>146.72123330060629</v>
      </c>
      <c r="AO303">
        <f t="shared" si="435"/>
        <v>435</v>
      </c>
      <c r="AP303">
        <f t="shared" si="436"/>
        <v>146.72123330060629</v>
      </c>
      <c r="AR303" s="5">
        <f t="shared" si="406"/>
        <v>6.8156460895552451</v>
      </c>
      <c r="AS303" s="5">
        <f t="shared" si="385"/>
        <v>2.5270014059048003</v>
      </c>
      <c r="AT303" s="5">
        <f t="shared" si="386"/>
        <v>4.2886446836504444</v>
      </c>
      <c r="AU303" s="153">
        <f t="shared" si="387"/>
        <v>0.37076476282671827</v>
      </c>
      <c r="CI303" s="59">
        <f t="shared" si="437"/>
        <v>-50</v>
      </c>
    </row>
    <row r="304" spans="5:87" x14ac:dyDescent="0.25">
      <c r="E304" s="150">
        <v>88</v>
      </c>
      <c r="F304" s="191">
        <f t="shared" si="438"/>
        <v>0.44</v>
      </c>
      <c r="G304" s="191">
        <f t="shared" si="407"/>
        <v>8.8000000000000009E-2</v>
      </c>
      <c r="H304" s="191">
        <f t="shared" si="408"/>
        <v>6.6</v>
      </c>
      <c r="I304" s="191">
        <f t="shared" si="409"/>
        <v>1.4080000000000001</v>
      </c>
      <c r="J304" s="472">
        <f t="shared" si="410"/>
        <v>13</v>
      </c>
      <c r="K304" s="386">
        <f t="shared" si="411"/>
        <v>7.66</v>
      </c>
      <c r="L304" s="386">
        <f t="shared" si="412"/>
        <v>20.66</v>
      </c>
      <c r="M304" s="386"/>
      <c r="N304" s="191">
        <f t="shared" si="413"/>
        <v>0.37076476282671827</v>
      </c>
      <c r="O304" s="152">
        <f t="shared" si="414"/>
        <v>7.3292248651638783</v>
      </c>
      <c r="P304" s="152">
        <f t="shared" si="415"/>
        <v>1.8971291384317523</v>
      </c>
      <c r="Q304" s="191">
        <f t="shared" si="416"/>
        <v>0.4886149910109252</v>
      </c>
      <c r="R304" s="191">
        <f t="shared" si="417"/>
        <v>0.45807655407274239</v>
      </c>
      <c r="S304" s="191">
        <f t="shared" si="418"/>
        <v>15</v>
      </c>
      <c r="T304" s="191">
        <f t="shared" si="419"/>
        <v>3.6920684653321723</v>
      </c>
      <c r="U304" s="191">
        <f t="shared" si="420"/>
        <v>2.5560473990761192</v>
      </c>
      <c r="V304" s="191">
        <f t="shared" si="421"/>
        <v>4.3379394501291841</v>
      </c>
      <c r="W304" s="175">
        <f t="shared" si="422"/>
        <v>350</v>
      </c>
      <c r="X304" s="386">
        <f t="shared" si="423"/>
        <v>145.05394655855397</v>
      </c>
      <c r="Z304" s="191">
        <f t="shared" si="424"/>
        <v>1.530140291030901</v>
      </c>
      <c r="AA304" s="153">
        <f t="shared" si="425"/>
        <v>1.7978149633522336</v>
      </c>
      <c r="AB304" s="153">
        <f t="shared" si="426"/>
        <v>0.19838286859929052</v>
      </c>
      <c r="AC304" s="153"/>
      <c r="AD304" s="153">
        <f t="shared" si="427"/>
        <v>0.96344647519582249</v>
      </c>
      <c r="AE304" s="317">
        <f t="shared" si="428"/>
        <v>2227.7744728666798</v>
      </c>
      <c r="AF304" s="463">
        <f t="shared" si="429"/>
        <v>6.9127284595300251E-2</v>
      </c>
      <c r="AH304" s="153">
        <f t="shared" si="430"/>
        <v>2.2548712700383682</v>
      </c>
      <c r="AI304" s="153">
        <f t="shared" si="431"/>
        <v>3.6920684653321723</v>
      </c>
      <c r="AJ304" s="153">
        <f t="shared" si="432"/>
        <v>3.3274581224682755</v>
      </c>
      <c r="AL304" s="317">
        <f t="shared" si="433"/>
        <v>440</v>
      </c>
      <c r="AM304" s="147">
        <f t="shared" si="434"/>
        <v>145.05394655855397</v>
      </c>
      <c r="AO304">
        <f t="shared" si="435"/>
        <v>440</v>
      </c>
      <c r="AP304">
        <f t="shared" si="436"/>
        <v>145.05394655855397</v>
      </c>
      <c r="AR304" s="5">
        <f t="shared" si="406"/>
        <v>6.8939868492053034</v>
      </c>
      <c r="AS304" s="5">
        <f t="shared" si="385"/>
        <v>2.5560473990761192</v>
      </c>
      <c r="AT304" s="5">
        <f t="shared" si="386"/>
        <v>4.3379394501291841</v>
      </c>
      <c r="AU304" s="153">
        <f t="shared" si="387"/>
        <v>0.37076476282671827</v>
      </c>
      <c r="CI304" s="59">
        <f t="shared" si="437"/>
        <v>-50</v>
      </c>
    </row>
    <row r="305" spans="4:87" x14ac:dyDescent="0.25">
      <c r="E305" s="150">
        <v>89</v>
      </c>
      <c r="F305" s="191">
        <f t="shared" si="438"/>
        <v>0.44500000000000001</v>
      </c>
      <c r="G305" s="191">
        <f t="shared" si="407"/>
        <v>8.900000000000001E-2</v>
      </c>
      <c r="H305" s="191">
        <f t="shared" si="408"/>
        <v>6.6749999999999998</v>
      </c>
      <c r="I305" s="191">
        <f t="shared" si="409"/>
        <v>1.4240000000000002</v>
      </c>
      <c r="J305" s="472">
        <f t="shared" si="410"/>
        <v>13</v>
      </c>
      <c r="K305" s="386">
        <f t="shared" si="411"/>
        <v>7.66</v>
      </c>
      <c r="L305" s="386">
        <f t="shared" si="412"/>
        <v>20.66</v>
      </c>
      <c r="M305" s="386"/>
      <c r="N305" s="191">
        <f t="shared" si="413"/>
        <v>0.37076476282671827</v>
      </c>
      <c r="O305" s="152">
        <f t="shared" si="414"/>
        <v>7.3292248651638783</v>
      </c>
      <c r="P305" s="152">
        <f t="shared" si="415"/>
        <v>1.8971291384317523</v>
      </c>
      <c r="Q305" s="191">
        <f t="shared" si="416"/>
        <v>0.4886149910109252</v>
      </c>
      <c r="R305" s="191">
        <f t="shared" si="417"/>
        <v>0.45807655407274239</v>
      </c>
      <c r="S305" s="191">
        <f t="shared" si="418"/>
        <v>15</v>
      </c>
      <c r="T305" s="191">
        <f t="shared" si="419"/>
        <v>3.7340237888018564</v>
      </c>
      <c r="U305" s="191">
        <f t="shared" si="420"/>
        <v>2.5850933922474391</v>
      </c>
      <c r="V305" s="191">
        <f t="shared" si="421"/>
        <v>4.3872342166079257</v>
      </c>
      <c r="W305" s="175">
        <f t="shared" si="422"/>
        <v>350</v>
      </c>
      <c r="X305" s="386">
        <f t="shared" si="423"/>
        <v>143.42412693430055</v>
      </c>
      <c r="Z305" s="191">
        <f t="shared" si="424"/>
        <v>1.530140291030901</v>
      </c>
      <c r="AA305" s="153">
        <f t="shared" si="425"/>
        <v>1.7978149633522336</v>
      </c>
      <c r="AB305" s="153">
        <f t="shared" si="426"/>
        <v>0.19838286859929052</v>
      </c>
      <c r="AC305" s="153"/>
      <c r="AD305" s="153">
        <f t="shared" si="427"/>
        <v>0.96344647519582249</v>
      </c>
      <c r="AE305" s="317">
        <f t="shared" si="428"/>
        <v>2253.0900918765287</v>
      </c>
      <c r="AF305" s="463">
        <f t="shared" si="429"/>
        <v>6.9127284595300251E-2</v>
      </c>
      <c r="AH305" s="153">
        <f t="shared" si="430"/>
        <v>2.2676468468926601</v>
      </c>
      <c r="AI305" s="153">
        <f t="shared" si="431"/>
        <v>3.7340237888018564</v>
      </c>
      <c r="AJ305" s="153">
        <f t="shared" si="432"/>
        <v>3.3585361398532267</v>
      </c>
      <c r="AL305" s="317">
        <f t="shared" si="433"/>
        <v>445</v>
      </c>
      <c r="AM305" s="147">
        <f t="shared" si="434"/>
        <v>143.42412693430055</v>
      </c>
      <c r="AO305">
        <f t="shared" si="435"/>
        <v>445</v>
      </c>
      <c r="AP305">
        <f t="shared" si="436"/>
        <v>143.42412693430055</v>
      </c>
      <c r="AR305" s="5">
        <f t="shared" si="406"/>
        <v>6.9723276088553643</v>
      </c>
      <c r="AS305" s="5">
        <f t="shared" si="385"/>
        <v>2.5850933922474391</v>
      </c>
      <c r="AT305" s="5">
        <f t="shared" si="386"/>
        <v>4.3872342166079257</v>
      </c>
      <c r="AU305" s="153">
        <f t="shared" si="387"/>
        <v>0.37076476282671827</v>
      </c>
      <c r="CI305" s="59">
        <f t="shared" si="437"/>
        <v>-50</v>
      </c>
    </row>
    <row r="306" spans="4:87" x14ac:dyDescent="0.25">
      <c r="E306" s="150">
        <v>90</v>
      </c>
      <c r="F306" s="191">
        <f t="shared" si="438"/>
        <v>0.45</v>
      </c>
      <c r="G306" s="191">
        <f t="shared" si="407"/>
        <v>9.0000000000000011E-2</v>
      </c>
      <c r="H306" s="191">
        <f t="shared" si="408"/>
        <v>6.75</v>
      </c>
      <c r="I306" s="191">
        <f t="shared" si="409"/>
        <v>1.4400000000000002</v>
      </c>
      <c r="J306" s="472">
        <f t="shared" si="410"/>
        <v>13</v>
      </c>
      <c r="K306" s="386">
        <f t="shared" si="411"/>
        <v>7.66</v>
      </c>
      <c r="L306" s="386">
        <f t="shared" si="412"/>
        <v>20.66</v>
      </c>
      <c r="M306" s="386"/>
      <c r="N306" s="191">
        <f t="shared" si="413"/>
        <v>0.37076476282671827</v>
      </c>
      <c r="O306" s="152">
        <f t="shared" si="414"/>
        <v>7.3292248651638783</v>
      </c>
      <c r="P306" s="152">
        <f t="shared" si="415"/>
        <v>1.8971291384317523</v>
      </c>
      <c r="Q306" s="191">
        <f t="shared" si="416"/>
        <v>0.4886149910109252</v>
      </c>
      <c r="R306" s="191">
        <f t="shared" si="417"/>
        <v>0.45807655407274239</v>
      </c>
      <c r="S306" s="191">
        <f t="shared" si="418"/>
        <v>15</v>
      </c>
      <c r="T306" s="191">
        <f t="shared" si="419"/>
        <v>3.77597911227154</v>
      </c>
      <c r="U306" s="191">
        <f t="shared" si="420"/>
        <v>2.6141393854187585</v>
      </c>
      <c r="V306" s="191">
        <f t="shared" si="421"/>
        <v>4.4365289830866654</v>
      </c>
      <c r="W306" s="175">
        <f t="shared" si="422"/>
        <v>350</v>
      </c>
      <c r="X306" s="386">
        <f t="shared" si="423"/>
        <v>141.83052552391945</v>
      </c>
      <c r="Z306" s="191">
        <f t="shared" si="424"/>
        <v>1.530140291030901</v>
      </c>
      <c r="AA306" s="153">
        <f t="shared" si="425"/>
        <v>1.7978149633522336</v>
      </c>
      <c r="AB306" s="153">
        <f t="shared" si="426"/>
        <v>0.19838286859929052</v>
      </c>
      <c r="AC306" s="153"/>
      <c r="AD306" s="153">
        <f t="shared" si="427"/>
        <v>0.96344647519582249</v>
      </c>
      <c r="AE306" s="317">
        <f t="shared" si="428"/>
        <v>2278.4057108863772</v>
      </c>
      <c r="AF306" s="463">
        <f t="shared" si="429"/>
        <v>6.9127284595300251E-2</v>
      </c>
      <c r="AH306" s="153">
        <f t="shared" si="430"/>
        <v>2.2803508501982761</v>
      </c>
      <c r="AI306" s="153">
        <f t="shared" si="431"/>
        <v>3.77597911227154</v>
      </c>
      <c r="AJ306" s="153">
        <f t="shared" si="432"/>
        <v>3.3896141572381779</v>
      </c>
      <c r="AL306" s="317">
        <f t="shared" si="433"/>
        <v>450</v>
      </c>
      <c r="AM306" s="147">
        <f t="shared" si="434"/>
        <v>141.83052552391945</v>
      </c>
      <c r="AO306">
        <f t="shared" si="435"/>
        <v>450</v>
      </c>
      <c r="AP306">
        <f t="shared" si="436"/>
        <v>141.83052552391945</v>
      </c>
      <c r="AR306" s="5">
        <f t="shared" si="406"/>
        <v>7.0506683685054234</v>
      </c>
      <c r="AS306" s="5">
        <f t="shared" si="385"/>
        <v>2.6141393854187585</v>
      </c>
      <c r="AT306" s="5">
        <f t="shared" si="386"/>
        <v>4.4365289830866654</v>
      </c>
      <c r="AU306" s="153">
        <f t="shared" si="387"/>
        <v>0.37076476282671833</v>
      </c>
      <c r="CI306" s="59">
        <f t="shared" si="437"/>
        <v>-50</v>
      </c>
    </row>
    <row r="307" spans="4:87" x14ac:dyDescent="0.25">
      <c r="E307" s="150">
        <v>91</v>
      </c>
      <c r="F307" s="191">
        <f t="shared" si="438"/>
        <v>0.45500000000000002</v>
      </c>
      <c r="G307" s="191">
        <f t="shared" si="407"/>
        <v>9.1000000000000011E-2</v>
      </c>
      <c r="H307" s="191">
        <f t="shared" si="408"/>
        <v>6.8250000000000002</v>
      </c>
      <c r="I307" s="191">
        <f t="shared" si="409"/>
        <v>1.4560000000000002</v>
      </c>
      <c r="J307" s="472">
        <f t="shared" si="410"/>
        <v>13</v>
      </c>
      <c r="K307" s="386">
        <f t="shared" si="411"/>
        <v>7.66</v>
      </c>
      <c r="L307" s="386">
        <f t="shared" si="412"/>
        <v>20.66</v>
      </c>
      <c r="M307" s="386"/>
      <c r="N307" s="191">
        <f t="shared" si="413"/>
        <v>0.37076476282671827</v>
      </c>
      <c r="O307" s="152">
        <f t="shared" si="414"/>
        <v>7.3292248651638783</v>
      </c>
      <c r="P307" s="152">
        <f t="shared" si="415"/>
        <v>1.8971291384317523</v>
      </c>
      <c r="Q307" s="191">
        <f t="shared" si="416"/>
        <v>0.4886149910109252</v>
      </c>
      <c r="R307" s="191">
        <f t="shared" si="417"/>
        <v>0.45807655407274239</v>
      </c>
      <c r="S307" s="191">
        <f t="shared" si="418"/>
        <v>15</v>
      </c>
      <c r="T307" s="191">
        <f t="shared" si="419"/>
        <v>3.8179344357412242</v>
      </c>
      <c r="U307" s="191">
        <f t="shared" si="420"/>
        <v>2.6431853785900783</v>
      </c>
      <c r="V307" s="191">
        <f t="shared" si="421"/>
        <v>4.485823749565407</v>
      </c>
      <c r="W307" s="175">
        <f t="shared" si="422"/>
        <v>350</v>
      </c>
      <c r="X307" s="386">
        <f t="shared" si="423"/>
        <v>140.27194832035985</v>
      </c>
      <c r="Z307" s="191">
        <f t="shared" si="424"/>
        <v>1.530140291030901</v>
      </c>
      <c r="AA307" s="153">
        <f t="shared" si="425"/>
        <v>1.7978149633522336</v>
      </c>
      <c r="AB307" s="153">
        <f t="shared" si="426"/>
        <v>0.19838286859929052</v>
      </c>
      <c r="AC307" s="153"/>
      <c r="AD307" s="153">
        <f t="shared" si="427"/>
        <v>0.96344647519582249</v>
      </c>
      <c r="AE307" s="317">
        <f t="shared" si="428"/>
        <v>2303.7213298962261</v>
      </c>
      <c r="AF307" s="463">
        <f t="shared" si="429"/>
        <v>6.9127284595300251E-2</v>
      </c>
      <c r="AH307" s="153">
        <f t="shared" si="430"/>
        <v>2.292984469589312</v>
      </c>
      <c r="AI307" s="153">
        <f t="shared" si="431"/>
        <v>3.8179344357412242</v>
      </c>
      <c r="AJ307" s="153">
        <f t="shared" si="432"/>
        <v>3.4206921746231291</v>
      </c>
      <c r="AL307" s="317">
        <f t="shared" si="433"/>
        <v>455</v>
      </c>
      <c r="AM307" s="147">
        <f t="shared" si="434"/>
        <v>140.27194832035985</v>
      </c>
      <c r="AO307">
        <f t="shared" si="435"/>
        <v>455</v>
      </c>
      <c r="AP307">
        <f t="shared" si="436"/>
        <v>140.27194832035985</v>
      </c>
      <c r="AR307" s="5">
        <f t="shared" si="406"/>
        <v>7.1290091281554862</v>
      </c>
      <c r="AS307" s="5">
        <f t="shared" ref="AS307:AS316" si="439">L*AI307/J307*1000000</f>
        <v>2.6431853785900783</v>
      </c>
      <c r="AT307" s="5">
        <f t="shared" ref="AT307:AT316" si="440">AR307-AS307</f>
        <v>4.4858237495654079</v>
      </c>
      <c r="AU307" s="153">
        <f t="shared" ref="AU307:AU316" si="441">AS307/AR307</f>
        <v>0.37076476282671827</v>
      </c>
      <c r="CI307" s="59">
        <f t="shared" si="437"/>
        <v>-50</v>
      </c>
    </row>
    <row r="308" spans="4:87" x14ac:dyDescent="0.25">
      <c r="E308" s="150">
        <v>92</v>
      </c>
      <c r="F308" s="191">
        <f t="shared" si="438"/>
        <v>0.46</v>
      </c>
      <c r="G308" s="191">
        <f t="shared" si="407"/>
        <v>9.2000000000000012E-2</v>
      </c>
      <c r="H308" s="191">
        <f t="shared" si="408"/>
        <v>6.9</v>
      </c>
      <c r="I308" s="191">
        <f t="shared" si="409"/>
        <v>1.4720000000000002</v>
      </c>
      <c r="J308" s="472">
        <f t="shared" si="410"/>
        <v>13</v>
      </c>
      <c r="K308" s="386">
        <f t="shared" si="411"/>
        <v>7.66</v>
      </c>
      <c r="L308" s="386">
        <f t="shared" si="412"/>
        <v>20.66</v>
      </c>
      <c r="M308" s="386"/>
      <c r="N308" s="191">
        <f t="shared" si="413"/>
        <v>0.37076476282671827</v>
      </c>
      <c r="O308" s="152">
        <f t="shared" si="414"/>
        <v>7.3292248651638783</v>
      </c>
      <c r="P308" s="152">
        <f t="shared" si="415"/>
        <v>1.8971291384317523</v>
      </c>
      <c r="Q308" s="191">
        <f t="shared" si="416"/>
        <v>0.4886149910109252</v>
      </c>
      <c r="R308" s="191">
        <f t="shared" si="417"/>
        <v>0.45807655407274239</v>
      </c>
      <c r="S308" s="191">
        <f t="shared" si="418"/>
        <v>15</v>
      </c>
      <c r="T308" s="191">
        <f t="shared" si="419"/>
        <v>3.8598897592109078</v>
      </c>
      <c r="U308" s="191">
        <f t="shared" si="420"/>
        <v>2.6722313717613977</v>
      </c>
      <c r="V308" s="191">
        <f t="shared" si="421"/>
        <v>4.5351185160441476</v>
      </c>
      <c r="W308" s="175">
        <f t="shared" si="422"/>
        <v>350</v>
      </c>
      <c r="X308" s="386">
        <f t="shared" si="423"/>
        <v>138.74725322992117</v>
      </c>
      <c r="Z308" s="191">
        <f t="shared" si="424"/>
        <v>1.530140291030901</v>
      </c>
      <c r="AA308" s="153">
        <f t="shared" si="425"/>
        <v>1.7978149633522336</v>
      </c>
      <c r="AB308" s="153">
        <f t="shared" si="426"/>
        <v>0.19838286859929052</v>
      </c>
      <c r="AC308" s="153"/>
      <c r="AD308" s="153">
        <f t="shared" si="427"/>
        <v>0.96344647519582249</v>
      </c>
      <c r="AE308" s="317">
        <f t="shared" si="428"/>
        <v>2329.0369489060749</v>
      </c>
      <c r="AF308" s="463">
        <f t="shared" si="429"/>
        <v>6.9127284595300251E-2</v>
      </c>
      <c r="AH308" s="153">
        <f t="shared" si="430"/>
        <v>2.305548862105411</v>
      </c>
      <c r="AI308" s="153">
        <f t="shared" si="431"/>
        <v>3.8598897592109078</v>
      </c>
      <c r="AJ308" s="153">
        <f t="shared" si="432"/>
        <v>3.4517701920080803</v>
      </c>
      <c r="AL308" s="317">
        <f t="shared" si="433"/>
        <v>460</v>
      </c>
      <c r="AM308" s="147">
        <f t="shared" si="434"/>
        <v>138.74725322992117</v>
      </c>
      <c r="AO308">
        <f t="shared" si="435"/>
        <v>460</v>
      </c>
      <c r="AP308">
        <f t="shared" si="436"/>
        <v>138.74725322992117</v>
      </c>
      <c r="AR308" s="5">
        <f t="shared" si="406"/>
        <v>7.2073498878055462</v>
      </c>
      <c r="AS308" s="5">
        <f t="shared" si="439"/>
        <v>2.6722313717613977</v>
      </c>
      <c r="AT308" s="5">
        <f t="shared" si="440"/>
        <v>4.5351185160441485</v>
      </c>
      <c r="AU308" s="153">
        <f t="shared" si="441"/>
        <v>0.37076476282671822</v>
      </c>
      <c r="CI308" s="59">
        <f t="shared" si="437"/>
        <v>-50</v>
      </c>
    </row>
    <row r="309" spans="4:87" x14ac:dyDescent="0.25">
      <c r="E309" s="150">
        <v>93</v>
      </c>
      <c r="F309" s="191">
        <f t="shared" si="438"/>
        <v>0.46500000000000002</v>
      </c>
      <c r="G309" s="191">
        <f t="shared" si="407"/>
        <v>9.3000000000000013E-2</v>
      </c>
      <c r="H309" s="191">
        <f t="shared" si="408"/>
        <v>6.9750000000000005</v>
      </c>
      <c r="I309" s="191">
        <f t="shared" si="409"/>
        <v>1.4880000000000002</v>
      </c>
      <c r="J309" s="472">
        <f t="shared" si="410"/>
        <v>13</v>
      </c>
      <c r="K309" s="386">
        <f t="shared" si="411"/>
        <v>7.66</v>
      </c>
      <c r="L309" s="386">
        <f t="shared" si="412"/>
        <v>20.66</v>
      </c>
      <c r="M309" s="386"/>
      <c r="N309" s="191">
        <f t="shared" si="413"/>
        <v>0.37076476282671827</v>
      </c>
      <c r="O309" s="152">
        <f t="shared" si="414"/>
        <v>7.3292248651638783</v>
      </c>
      <c r="P309" s="152">
        <f t="shared" si="415"/>
        <v>1.8971291384317523</v>
      </c>
      <c r="Q309" s="191">
        <f t="shared" si="416"/>
        <v>0.4886149910109252</v>
      </c>
      <c r="R309" s="191">
        <f t="shared" si="417"/>
        <v>0.45807655407274239</v>
      </c>
      <c r="S309" s="191">
        <f t="shared" si="418"/>
        <v>15</v>
      </c>
      <c r="T309" s="191">
        <f t="shared" si="419"/>
        <v>3.9018450826805919</v>
      </c>
      <c r="U309" s="191">
        <f t="shared" si="420"/>
        <v>2.701277364932718</v>
      </c>
      <c r="V309" s="191">
        <f t="shared" si="421"/>
        <v>4.5844132825228892</v>
      </c>
      <c r="W309" s="175">
        <f t="shared" si="422"/>
        <v>350</v>
      </c>
      <c r="X309" s="386">
        <f t="shared" si="423"/>
        <v>137.25534728121232</v>
      </c>
      <c r="Z309" s="191">
        <f t="shared" si="424"/>
        <v>1.530140291030901</v>
      </c>
      <c r="AA309" s="153">
        <f t="shared" si="425"/>
        <v>1.7978149633522336</v>
      </c>
      <c r="AB309" s="153">
        <f t="shared" si="426"/>
        <v>0.19838286859929052</v>
      </c>
      <c r="AC309" s="153"/>
      <c r="AD309" s="153">
        <f t="shared" si="427"/>
        <v>0.96344647519582249</v>
      </c>
      <c r="AE309" s="317">
        <f t="shared" si="428"/>
        <v>2354.3525679159234</v>
      </c>
      <c r="AF309" s="463">
        <f t="shared" si="429"/>
        <v>6.9127284595300251E-2</v>
      </c>
      <c r="AH309" s="153">
        <f t="shared" si="430"/>
        <v>2.3180451534284949</v>
      </c>
      <c r="AI309" s="153">
        <f t="shared" si="431"/>
        <v>3.9018450826805919</v>
      </c>
      <c r="AJ309" s="153">
        <f t="shared" si="432"/>
        <v>3.4828482093930315</v>
      </c>
      <c r="AL309" s="317">
        <f t="shared" si="433"/>
        <v>465</v>
      </c>
      <c r="AM309" s="147">
        <f t="shared" si="434"/>
        <v>137.25534728121232</v>
      </c>
      <c r="AO309">
        <f t="shared" si="435"/>
        <v>465</v>
      </c>
      <c r="AP309">
        <f t="shared" si="436"/>
        <v>137.25534728121232</v>
      </c>
      <c r="AR309" s="5">
        <f t="shared" si="406"/>
        <v>7.2856906474556071</v>
      </c>
      <c r="AS309" s="5">
        <f t="shared" si="439"/>
        <v>2.701277364932718</v>
      </c>
      <c r="AT309" s="5">
        <f t="shared" si="440"/>
        <v>4.5844132825228892</v>
      </c>
      <c r="AU309" s="153">
        <f t="shared" si="441"/>
        <v>0.37076476282671833</v>
      </c>
      <c r="CI309" s="59">
        <f t="shared" si="437"/>
        <v>-50</v>
      </c>
    </row>
    <row r="310" spans="4:87" x14ac:dyDescent="0.25">
      <c r="E310" s="150">
        <v>94</v>
      </c>
      <c r="F310" s="191">
        <f t="shared" si="438"/>
        <v>0.47</v>
      </c>
      <c r="G310" s="191">
        <f t="shared" si="407"/>
        <v>9.4E-2</v>
      </c>
      <c r="H310" s="191">
        <f t="shared" si="408"/>
        <v>7.05</v>
      </c>
      <c r="I310" s="191">
        <f t="shared" si="409"/>
        <v>1.504</v>
      </c>
      <c r="J310" s="472">
        <f t="shared" si="410"/>
        <v>13</v>
      </c>
      <c r="K310" s="386">
        <f t="shared" si="411"/>
        <v>7.66</v>
      </c>
      <c r="L310" s="386">
        <f t="shared" si="412"/>
        <v>20.66</v>
      </c>
      <c r="M310" s="386"/>
      <c r="N310" s="191">
        <f t="shared" si="413"/>
        <v>0.37076476282671827</v>
      </c>
      <c r="O310" s="152">
        <f t="shared" si="414"/>
        <v>7.3292248651638783</v>
      </c>
      <c r="P310" s="152">
        <f t="shared" si="415"/>
        <v>1.8971291384317523</v>
      </c>
      <c r="Q310" s="191">
        <f t="shared" si="416"/>
        <v>0.4886149910109252</v>
      </c>
      <c r="R310" s="191">
        <f t="shared" si="417"/>
        <v>0.45807655407274239</v>
      </c>
      <c r="S310" s="191">
        <f t="shared" si="418"/>
        <v>15</v>
      </c>
      <c r="T310" s="191">
        <f t="shared" si="419"/>
        <v>3.9438004061502756</v>
      </c>
      <c r="U310" s="191">
        <f t="shared" si="420"/>
        <v>2.7303233581040369</v>
      </c>
      <c r="V310" s="191">
        <f t="shared" si="421"/>
        <v>4.6337080490016289</v>
      </c>
      <c r="W310" s="175">
        <f t="shared" si="422"/>
        <v>350</v>
      </c>
      <c r="X310" s="386">
        <f t="shared" si="423"/>
        <v>135.79518401226329</v>
      </c>
      <c r="Z310" s="191">
        <f t="shared" si="424"/>
        <v>1.530140291030901</v>
      </c>
      <c r="AA310" s="153">
        <f t="shared" si="425"/>
        <v>1.7978149633522336</v>
      </c>
      <c r="AB310" s="153">
        <f t="shared" si="426"/>
        <v>0.19838286859929052</v>
      </c>
      <c r="AC310" s="153"/>
      <c r="AD310" s="153">
        <f t="shared" si="427"/>
        <v>0.96344647519582249</v>
      </c>
      <c r="AE310" s="317">
        <f t="shared" si="428"/>
        <v>2379.6681869257718</v>
      </c>
      <c r="AF310" s="463">
        <f t="shared" si="429"/>
        <v>6.9127284595300251E-2</v>
      </c>
      <c r="AH310" s="153">
        <f t="shared" si="430"/>
        <v>2.3304744390598047</v>
      </c>
      <c r="AI310" s="153">
        <f t="shared" si="431"/>
        <v>3.9438004061502756</v>
      </c>
      <c r="AJ310" s="153">
        <f t="shared" si="432"/>
        <v>3.5139262267779818</v>
      </c>
      <c r="AL310" s="317">
        <f t="shared" si="433"/>
        <v>470</v>
      </c>
      <c r="AM310" s="147">
        <f t="shared" si="434"/>
        <v>135.79518401226329</v>
      </c>
      <c r="AO310">
        <f t="shared" si="435"/>
        <v>470</v>
      </c>
      <c r="AP310">
        <f t="shared" si="436"/>
        <v>135.79518401226329</v>
      </c>
      <c r="AR310" s="5">
        <f t="shared" si="406"/>
        <v>7.3640314071056654</v>
      </c>
      <c r="AS310" s="5">
        <f t="shared" si="439"/>
        <v>2.7303233581040369</v>
      </c>
      <c r="AT310" s="5">
        <f t="shared" si="440"/>
        <v>4.633708049001628</v>
      </c>
      <c r="AU310" s="153">
        <f t="shared" si="441"/>
        <v>0.37076476282671833</v>
      </c>
      <c r="CI310" s="59">
        <f t="shared" si="437"/>
        <v>-50</v>
      </c>
    </row>
    <row r="311" spans="4:87" x14ac:dyDescent="0.25">
      <c r="E311" s="150">
        <v>95</v>
      </c>
      <c r="F311" s="191">
        <f t="shared" si="438"/>
        <v>0.47499999999999998</v>
      </c>
      <c r="G311" s="191">
        <f t="shared" si="407"/>
        <v>9.5000000000000001E-2</v>
      </c>
      <c r="H311" s="191">
        <f t="shared" si="408"/>
        <v>7.125</v>
      </c>
      <c r="I311" s="191">
        <f t="shared" si="409"/>
        <v>1.52</v>
      </c>
      <c r="J311" s="472">
        <f t="shared" si="410"/>
        <v>13</v>
      </c>
      <c r="K311" s="386">
        <f t="shared" si="411"/>
        <v>7.66</v>
      </c>
      <c r="L311" s="386">
        <f t="shared" si="412"/>
        <v>20.66</v>
      </c>
      <c r="M311" s="386"/>
      <c r="N311" s="191">
        <f t="shared" si="413"/>
        <v>0.37076476282671827</v>
      </c>
      <c r="O311" s="152">
        <f t="shared" si="414"/>
        <v>7.3292248651638783</v>
      </c>
      <c r="P311" s="152">
        <f t="shared" si="415"/>
        <v>1.8971291384317523</v>
      </c>
      <c r="Q311" s="191">
        <f t="shared" si="416"/>
        <v>0.4886149910109252</v>
      </c>
      <c r="R311" s="191">
        <f t="shared" si="417"/>
        <v>0.45807655407274239</v>
      </c>
      <c r="S311" s="191">
        <f t="shared" si="418"/>
        <v>15</v>
      </c>
      <c r="T311" s="191">
        <f t="shared" si="419"/>
        <v>3.9857557296199588</v>
      </c>
      <c r="U311" s="191">
        <f t="shared" si="420"/>
        <v>2.7593693512753563</v>
      </c>
      <c r="V311" s="191">
        <f t="shared" si="421"/>
        <v>4.6830028154803687</v>
      </c>
      <c r="W311" s="175">
        <f t="shared" si="422"/>
        <v>350</v>
      </c>
      <c r="X311" s="386">
        <f t="shared" si="423"/>
        <v>134.36576102266054</v>
      </c>
      <c r="Z311" s="191">
        <f t="shared" si="424"/>
        <v>1.530140291030901</v>
      </c>
      <c r="AA311" s="153">
        <f t="shared" si="425"/>
        <v>1.7978149633522336</v>
      </c>
      <c r="AB311" s="153">
        <f t="shared" si="426"/>
        <v>0.19838286859929052</v>
      </c>
      <c r="AC311" s="153"/>
      <c r="AD311" s="153">
        <f t="shared" si="427"/>
        <v>0.96344647519582249</v>
      </c>
      <c r="AE311" s="317">
        <f t="shared" si="428"/>
        <v>2404.9838059356202</v>
      </c>
      <c r="AF311" s="463">
        <f t="shared" si="429"/>
        <v>6.9127284595300251E-2</v>
      </c>
      <c r="AH311" s="153">
        <f t="shared" si="430"/>
        <v>2.3428377854407438</v>
      </c>
      <c r="AI311" s="153">
        <f t="shared" si="431"/>
        <v>3.9857557296199588</v>
      </c>
      <c r="AJ311" s="153">
        <f t="shared" si="432"/>
        <v>3.5450042441629321</v>
      </c>
      <c r="AL311" s="317">
        <f t="shared" si="433"/>
        <v>475</v>
      </c>
      <c r="AM311" s="147">
        <f t="shared" si="434"/>
        <v>134.36576102266054</v>
      </c>
      <c r="AO311">
        <f t="shared" si="435"/>
        <v>475</v>
      </c>
      <c r="AP311">
        <f t="shared" si="436"/>
        <v>134.36576102266054</v>
      </c>
      <c r="AR311" s="5">
        <f t="shared" si="406"/>
        <v>7.4423721667557245</v>
      </c>
      <c r="AS311" s="5">
        <f t="shared" si="439"/>
        <v>2.7593693512753563</v>
      </c>
      <c r="AT311" s="5">
        <f t="shared" si="440"/>
        <v>4.6830028154803678</v>
      </c>
      <c r="AU311" s="153">
        <f t="shared" si="441"/>
        <v>0.37076476282671839</v>
      </c>
      <c r="CI311" s="59">
        <f t="shared" si="437"/>
        <v>-50</v>
      </c>
    </row>
    <row r="312" spans="4:87" x14ac:dyDescent="0.25">
      <c r="E312" s="150">
        <v>96</v>
      </c>
      <c r="F312" s="191">
        <f t="shared" si="438"/>
        <v>0.48</v>
      </c>
      <c r="G312" s="191">
        <f t="shared" si="407"/>
        <v>9.6000000000000002E-2</v>
      </c>
      <c r="H312" s="191">
        <f t="shared" si="408"/>
        <v>7.1999999999999993</v>
      </c>
      <c r="I312" s="191">
        <f t="shared" si="409"/>
        <v>1.536</v>
      </c>
      <c r="J312" s="472">
        <f t="shared" si="410"/>
        <v>13</v>
      </c>
      <c r="K312" s="386">
        <f t="shared" si="411"/>
        <v>7.66</v>
      </c>
      <c r="L312" s="386">
        <f t="shared" si="412"/>
        <v>20.66</v>
      </c>
      <c r="M312" s="386"/>
      <c r="N312" s="191">
        <f t="shared" si="413"/>
        <v>0.37076476282671827</v>
      </c>
      <c r="O312" s="152">
        <f t="shared" ref="O312:O316" si="442">N312*J312*Isw_max*0.5*Efficiency*Pout/(Pout+Pout2)</f>
        <v>7.3292248651638783</v>
      </c>
      <c r="P312" s="152">
        <f t="shared" si="415"/>
        <v>1.8971291384317523</v>
      </c>
      <c r="Q312" s="191">
        <f t="shared" si="416"/>
        <v>0.4886149910109252</v>
      </c>
      <c r="R312" s="191">
        <f t="shared" si="417"/>
        <v>0.45807655407274239</v>
      </c>
      <c r="S312" s="191">
        <f t="shared" si="418"/>
        <v>15</v>
      </c>
      <c r="T312" s="191">
        <f t="shared" si="419"/>
        <v>4.0277110530896421</v>
      </c>
      <c r="U312" s="191">
        <f t="shared" si="420"/>
        <v>2.7884153444466757</v>
      </c>
      <c r="V312" s="191">
        <f t="shared" si="421"/>
        <v>4.7322975819591102</v>
      </c>
      <c r="W312" s="175">
        <f t="shared" si="422"/>
        <v>350</v>
      </c>
      <c r="X312" s="386">
        <f t="shared" si="423"/>
        <v>132.96611767867446</v>
      </c>
      <c r="Z312" s="191">
        <f t="shared" si="424"/>
        <v>1.530140291030901</v>
      </c>
      <c r="AA312" s="153">
        <f t="shared" si="425"/>
        <v>1.7978149633522336</v>
      </c>
      <c r="AB312" s="153">
        <f t="shared" ref="AB312:AB316" si="443">0.5*AA312*Z312*Nps*W312/1000*(Pout/(Pout+Pout2))</f>
        <v>0.19838286859929052</v>
      </c>
      <c r="AC312" s="153"/>
      <c r="AD312" s="153">
        <f t="shared" si="427"/>
        <v>0.96344647519582249</v>
      </c>
      <c r="AE312" s="317">
        <f t="shared" ref="AE312:AE316" si="444">MAX(10, F312/(0.5*AD312/1000000*Isw_min*Nps)/1000*Pout_total/Pout)</f>
        <v>2430.2994249454691</v>
      </c>
      <c r="AF312" s="463">
        <f t="shared" si="429"/>
        <v>6.9127284595300251E-2</v>
      </c>
      <c r="AH312" s="153">
        <f t="shared" si="430"/>
        <v>2.3551362310207589</v>
      </c>
      <c r="AI312" s="153">
        <f t="shared" ref="AI312:AI316" si="445">MAX(IF(F312&gt;AB312,T312,AH312),Isw_min)</f>
        <v>4.0277110530896421</v>
      </c>
      <c r="AJ312" s="153">
        <f t="shared" ref="AJ312:AJ316" si="446">IF(F312&gt;AF312, (AI312-Isw_min)/1.08*0.8+1.2, AE312*0.2/350+1)</f>
        <v>3.5760822615478833</v>
      </c>
      <c r="AL312" s="317">
        <f t="shared" si="433"/>
        <v>480</v>
      </c>
      <c r="AM312" s="147">
        <f t="shared" si="434"/>
        <v>132.96611767867446</v>
      </c>
      <c r="AO312">
        <f t="shared" si="435"/>
        <v>480</v>
      </c>
      <c r="AP312">
        <f t="shared" si="436"/>
        <v>132.96611767867446</v>
      </c>
      <c r="AR312" s="5">
        <f t="shared" si="406"/>
        <v>7.5207129264057864</v>
      </c>
      <c r="AS312" s="5">
        <f t="shared" si="439"/>
        <v>2.7884153444466757</v>
      </c>
      <c r="AT312" s="5">
        <f t="shared" si="440"/>
        <v>4.7322975819591111</v>
      </c>
      <c r="AU312" s="153">
        <f t="shared" si="441"/>
        <v>0.37076476282671827</v>
      </c>
      <c r="CI312" s="59">
        <f t="shared" si="437"/>
        <v>-50</v>
      </c>
    </row>
    <row r="313" spans="4:87" x14ac:dyDescent="0.25">
      <c r="E313" s="150">
        <v>97</v>
      </c>
      <c r="F313" s="191">
        <f t="shared" ref="F313:F316" si="447">IF(PLOT_TYPE=1, E313/100*Iout_max, min_I*EXP(O313*rr/100))</f>
        <v>0.48499999999999999</v>
      </c>
      <c r="G313" s="191">
        <f t="shared" si="407"/>
        <v>9.7000000000000003E-2</v>
      </c>
      <c r="H313" s="191">
        <f t="shared" si="408"/>
        <v>7.2749999999999995</v>
      </c>
      <c r="I313" s="191">
        <f t="shared" si="409"/>
        <v>1.552</v>
      </c>
      <c r="J313" s="472">
        <f t="shared" si="410"/>
        <v>13</v>
      </c>
      <c r="K313" s="386">
        <f t="shared" si="411"/>
        <v>7.66</v>
      </c>
      <c r="L313" s="386">
        <f t="shared" si="412"/>
        <v>20.66</v>
      </c>
      <c r="M313" s="386"/>
      <c r="N313" s="191">
        <f t="shared" si="413"/>
        <v>0.37076476282671827</v>
      </c>
      <c r="O313" s="152">
        <f t="shared" si="442"/>
        <v>7.3292248651638783</v>
      </c>
      <c r="P313" s="152">
        <f t="shared" si="415"/>
        <v>1.8971291384317523</v>
      </c>
      <c r="Q313" s="191">
        <f t="shared" si="416"/>
        <v>0.4886149910109252</v>
      </c>
      <c r="R313" s="191">
        <f t="shared" si="417"/>
        <v>0.45807655407274239</v>
      </c>
      <c r="S313" s="191">
        <f t="shared" si="418"/>
        <v>15</v>
      </c>
      <c r="T313" s="191">
        <f t="shared" si="419"/>
        <v>4.0696663765593266</v>
      </c>
      <c r="U313" s="191">
        <f t="shared" si="420"/>
        <v>2.8174613376179951</v>
      </c>
      <c r="V313" s="191">
        <f t="shared" si="421"/>
        <v>4.7815923484378509</v>
      </c>
      <c r="W313" s="175">
        <f t="shared" si="422"/>
        <v>350</v>
      </c>
      <c r="X313" s="386">
        <f t="shared" si="423"/>
        <v>131.59533296033763</v>
      </c>
      <c r="Z313" s="191">
        <f t="shared" si="424"/>
        <v>1.530140291030901</v>
      </c>
      <c r="AA313" s="153">
        <f t="shared" si="425"/>
        <v>1.7978149633522336</v>
      </c>
      <c r="AB313" s="153">
        <f t="shared" si="443"/>
        <v>0.19838286859929052</v>
      </c>
      <c r="AC313" s="153"/>
      <c r="AD313" s="153">
        <f t="shared" si="427"/>
        <v>0.96344647519582249</v>
      </c>
      <c r="AE313" s="317">
        <f t="shared" si="444"/>
        <v>2455.6150439553176</v>
      </c>
      <c r="AF313" s="463">
        <f t="shared" si="429"/>
        <v>6.9127284595300251E-2</v>
      </c>
      <c r="AH313" s="153">
        <f t="shared" si="430"/>
        <v>2.367370787275294</v>
      </c>
      <c r="AI313" s="153">
        <f t="shared" si="445"/>
        <v>4.0696663765593266</v>
      </c>
      <c r="AJ313" s="153">
        <f t="shared" si="446"/>
        <v>3.6071602789328345</v>
      </c>
      <c r="AL313" s="317">
        <f t="shared" si="433"/>
        <v>485</v>
      </c>
      <c r="AM313" s="147">
        <f t="shared" si="434"/>
        <v>131.59533296033763</v>
      </c>
      <c r="AO313">
        <f t="shared" si="435"/>
        <v>485</v>
      </c>
      <c r="AP313">
        <f t="shared" si="436"/>
        <v>131.59533296033763</v>
      </c>
      <c r="AR313" s="5">
        <f t="shared" si="406"/>
        <v>7.5990536860558455</v>
      </c>
      <c r="AS313" s="5">
        <f t="shared" si="439"/>
        <v>2.8174613376179951</v>
      </c>
      <c r="AT313" s="5">
        <f t="shared" si="440"/>
        <v>4.7815923484378509</v>
      </c>
      <c r="AU313" s="153">
        <f t="shared" si="441"/>
        <v>0.37076476282671833</v>
      </c>
      <c r="CI313" s="59">
        <f t="shared" si="437"/>
        <v>-50</v>
      </c>
    </row>
    <row r="314" spans="4:87" x14ac:dyDescent="0.25">
      <c r="E314" s="150">
        <v>98</v>
      </c>
      <c r="F314" s="191">
        <f t="shared" si="447"/>
        <v>0.49</v>
      </c>
      <c r="G314" s="191">
        <f t="shared" si="407"/>
        <v>9.8000000000000004E-2</v>
      </c>
      <c r="H314" s="191">
        <f t="shared" si="408"/>
        <v>7.35</v>
      </c>
      <c r="I314" s="191">
        <f t="shared" si="409"/>
        <v>1.5680000000000001</v>
      </c>
      <c r="J314" s="472">
        <f t="shared" si="410"/>
        <v>13</v>
      </c>
      <c r="K314" s="386">
        <f t="shared" si="411"/>
        <v>7.6388008828202842</v>
      </c>
      <c r="L314" s="386">
        <f t="shared" si="412"/>
        <v>20.66</v>
      </c>
      <c r="M314" s="386"/>
      <c r="N314" s="191">
        <f t="shared" si="413"/>
        <v>0.37076476282671827</v>
      </c>
      <c r="O314" s="152">
        <f t="shared" si="442"/>
        <v>7.3292248651638783</v>
      </c>
      <c r="P314" s="152">
        <f t="shared" si="415"/>
        <v>1.8971291384317523</v>
      </c>
      <c r="Q314" s="191">
        <f t="shared" si="416"/>
        <v>0.4886149910109252</v>
      </c>
      <c r="R314" s="191">
        <f t="shared" si="417"/>
        <v>0.45807655407274239</v>
      </c>
      <c r="S314" s="191">
        <f t="shared" si="418"/>
        <v>14.957601765640568</v>
      </c>
      <c r="T314" s="191">
        <f t="shared" si="419"/>
        <v>4.0999999999999996</v>
      </c>
      <c r="U314" s="191">
        <f t="shared" si="420"/>
        <v>2.8384615384615381</v>
      </c>
      <c r="V314" s="191">
        <f t="shared" si="421"/>
        <v>4.8306011069078059</v>
      </c>
      <c r="W314" s="175">
        <f t="shared" si="422"/>
        <v>350</v>
      </c>
      <c r="X314" s="386">
        <f t="shared" si="423"/>
        <v>130.39403200126549</v>
      </c>
      <c r="Z314" s="191">
        <f t="shared" si="424"/>
        <v>1.5274729463005383</v>
      </c>
      <c r="AA314" s="153">
        <f t="shared" si="425"/>
        <v>1.7996615866271002</v>
      </c>
      <c r="AB314" s="153">
        <f t="shared" si="443"/>
        <v>0.19824046053383643</v>
      </c>
      <c r="AC314" s="153"/>
      <c r="AD314" s="153">
        <f t="shared" si="427"/>
        <v>0.96612022138156139</v>
      </c>
      <c r="AE314" s="317">
        <f t="shared" si="444"/>
        <v>2474.0646655971577</v>
      </c>
      <c r="AF314" s="463">
        <f t="shared" si="429"/>
        <v>6.9319125884127017E-2</v>
      </c>
      <c r="AH314" s="153">
        <f t="shared" si="430"/>
        <v>2.3795424396766327</v>
      </c>
      <c r="AI314" s="153">
        <f t="shared" si="445"/>
        <v>4.0999999999999996</v>
      </c>
      <c r="AJ314" s="153">
        <f t="shared" si="446"/>
        <v>3.6296296296296298</v>
      </c>
      <c r="AL314" s="317">
        <f t="shared" si="433"/>
        <v>490</v>
      </c>
      <c r="AM314" s="147">
        <f t="shared" si="434"/>
        <v>130.39403200126549</v>
      </c>
      <c r="AO314" t="str">
        <f t="shared" si="435"/>
        <v/>
      </c>
      <c r="AP314" t="str">
        <f t="shared" si="436"/>
        <v/>
      </c>
      <c r="AR314" s="5">
        <f t="shared" si="406"/>
        <v>7.669062645369344</v>
      </c>
      <c r="AS314" s="5">
        <f t="shared" si="439"/>
        <v>2.8384615384615381</v>
      </c>
      <c r="AT314" s="5">
        <f t="shared" si="440"/>
        <v>4.8306011069078059</v>
      </c>
      <c r="AU314" s="153">
        <f t="shared" si="441"/>
        <v>0.37011844468051508</v>
      </c>
      <c r="CI314" s="59">
        <f t="shared" si="437"/>
        <v>130.39403200126549</v>
      </c>
    </row>
    <row r="315" spans="4:87" x14ac:dyDescent="0.25">
      <c r="E315" s="150">
        <v>99</v>
      </c>
      <c r="F315" s="191">
        <f t="shared" si="447"/>
        <v>0.495</v>
      </c>
      <c r="G315" s="191">
        <f t="shared" si="407"/>
        <v>9.9000000000000005E-2</v>
      </c>
      <c r="H315" s="191">
        <f t="shared" si="408"/>
        <v>7.4249999999999998</v>
      </c>
      <c r="I315" s="191">
        <f t="shared" si="409"/>
        <v>1.5840000000000001</v>
      </c>
      <c r="J315" s="472">
        <f t="shared" si="410"/>
        <v>13</v>
      </c>
      <c r="K315" s="386">
        <f t="shared" si="411"/>
        <v>7.5632574395594734</v>
      </c>
      <c r="L315" s="386">
        <f t="shared" si="412"/>
        <v>20.66</v>
      </c>
      <c r="M315" s="386"/>
      <c r="N315" s="191">
        <f t="shared" si="413"/>
        <v>0.37076476282671827</v>
      </c>
      <c r="O315" s="152">
        <f t="shared" si="442"/>
        <v>7.3292248651638783</v>
      </c>
      <c r="P315" s="152">
        <f t="shared" si="415"/>
        <v>1.8971291384317523</v>
      </c>
      <c r="Q315" s="191">
        <f t="shared" si="416"/>
        <v>0.4886149910109252</v>
      </c>
      <c r="R315" s="191">
        <f t="shared" si="417"/>
        <v>0.45807655407274239</v>
      </c>
      <c r="S315" s="191">
        <f t="shared" si="418"/>
        <v>14.806514879118946</v>
      </c>
      <c r="T315" s="191">
        <f t="shared" si="419"/>
        <v>4.0999999999999996</v>
      </c>
      <c r="U315" s="191">
        <f t="shared" si="420"/>
        <v>2.8384615384615381</v>
      </c>
      <c r="V315" s="191">
        <f t="shared" si="421"/>
        <v>4.8788501905270669</v>
      </c>
      <c r="W315" s="175">
        <f t="shared" si="422"/>
        <v>350</v>
      </c>
      <c r="X315" s="386">
        <f t="shared" si="423"/>
        <v>129.57880089820546</v>
      </c>
      <c r="Z315" s="191">
        <f t="shared" si="424"/>
        <v>1.5179230962361208</v>
      </c>
      <c r="AA315" s="153">
        <f t="shared" si="425"/>
        <v>1.8062730212870814</v>
      </c>
      <c r="AB315" s="153">
        <f t="shared" si="443"/>
        <v>0.19772477431152832</v>
      </c>
      <c r="AC315" s="153"/>
      <c r="AD315" s="153">
        <f t="shared" si="427"/>
        <v>0.97577003810541341</v>
      </c>
      <c r="AE315" s="317">
        <f t="shared" si="444"/>
        <v>2474.5934513728203</v>
      </c>
      <c r="AF315" s="463">
        <f t="shared" si="429"/>
        <v>7.0011500234063412E-2</v>
      </c>
      <c r="AH315" s="153">
        <f t="shared" si="430"/>
        <v>2.3916521486202797</v>
      </c>
      <c r="AI315" s="153">
        <f t="shared" si="445"/>
        <v>4.0999999999999996</v>
      </c>
      <c r="AJ315" s="153">
        <f t="shared" si="446"/>
        <v>3.6296296296296298</v>
      </c>
      <c r="AL315" s="317">
        <f t="shared" si="433"/>
        <v>495</v>
      </c>
      <c r="AM315" s="147">
        <f t="shared" si="434"/>
        <v>129.57880089820546</v>
      </c>
      <c r="AO315" t="str">
        <f t="shared" si="435"/>
        <v/>
      </c>
      <c r="AP315" t="str">
        <f t="shared" si="436"/>
        <v/>
      </c>
      <c r="AR315" s="5">
        <f t="shared" si="406"/>
        <v>7.7173117289886042</v>
      </c>
      <c r="AS315" s="5">
        <f t="shared" si="439"/>
        <v>2.8384615384615381</v>
      </c>
      <c r="AT315" s="5">
        <f t="shared" si="440"/>
        <v>4.878850190527066</v>
      </c>
      <c r="AU315" s="153">
        <f t="shared" si="441"/>
        <v>0.3678044425495216</v>
      </c>
      <c r="CI315" s="59">
        <f t="shared" si="437"/>
        <v>-50</v>
      </c>
    </row>
    <row r="316" spans="4:87" x14ac:dyDescent="0.25">
      <c r="E316" s="150">
        <v>100</v>
      </c>
      <c r="F316" s="191">
        <f t="shared" si="447"/>
        <v>0.5</v>
      </c>
      <c r="G316" s="191">
        <f t="shared" si="407"/>
        <v>0.1</v>
      </c>
      <c r="H316" s="191">
        <f t="shared" si="408"/>
        <v>7.5</v>
      </c>
      <c r="I316" s="191">
        <f t="shared" si="409"/>
        <v>1.6</v>
      </c>
      <c r="J316" s="472">
        <f t="shared" si="410"/>
        <v>13</v>
      </c>
      <c r="K316" s="386">
        <f t="shared" si="411"/>
        <v>7.4892248651638784</v>
      </c>
      <c r="L316" s="386">
        <f t="shared" si="412"/>
        <v>20.66</v>
      </c>
      <c r="M316" s="386"/>
      <c r="N316" s="191">
        <f t="shared" si="413"/>
        <v>0.37076476282671827</v>
      </c>
      <c r="O316" s="152">
        <f t="shared" si="442"/>
        <v>7.3292248651638783</v>
      </c>
      <c r="P316" s="152">
        <f t="shared" si="415"/>
        <v>1.8971291384317523</v>
      </c>
      <c r="Q316" s="191">
        <f t="shared" si="416"/>
        <v>0.4886149910109252</v>
      </c>
      <c r="R316" s="191">
        <f t="shared" si="417"/>
        <v>0.45807655407274239</v>
      </c>
      <c r="S316" s="191">
        <f t="shared" si="418"/>
        <v>14.658449730327757</v>
      </c>
      <c r="T316" s="191">
        <f t="shared" si="419"/>
        <v>4.0999999999999996</v>
      </c>
      <c r="U316" s="191">
        <f t="shared" si="420"/>
        <v>2.8384615384615381</v>
      </c>
      <c r="V316" s="191">
        <f t="shared" si="421"/>
        <v>4.9270786582521122</v>
      </c>
      <c r="W316" s="175">
        <f t="shared" si="422"/>
        <v>350</v>
      </c>
      <c r="X316" s="386">
        <f t="shared" si="423"/>
        <v>128.77404207156079</v>
      </c>
      <c r="Z316" s="191">
        <f t="shared" si="424"/>
        <v>1.508495921409712</v>
      </c>
      <c r="AA316" s="153">
        <f t="shared" si="425"/>
        <v>1.8127995269361337</v>
      </c>
      <c r="AB316" s="153">
        <f t="shared" si="443"/>
        <v>0.19720678072475575</v>
      </c>
      <c r="AC316" s="153"/>
      <c r="AD316" s="153">
        <f t="shared" si="427"/>
        <v>0.98541573165042251</v>
      </c>
      <c r="AE316" s="317">
        <f t="shared" si="444"/>
        <v>2475.1222371484823</v>
      </c>
      <c r="AF316" s="463">
        <f t="shared" si="429"/>
        <v>7.0703578745917817E-2</v>
      </c>
      <c r="AH316" s="153">
        <f t="shared" si="430"/>
        <v>2.4037008503093262</v>
      </c>
      <c r="AI316" s="153">
        <f t="shared" si="445"/>
        <v>4.0999999999999996</v>
      </c>
      <c r="AJ316" s="153">
        <f t="shared" si="446"/>
        <v>3.6296296296296298</v>
      </c>
      <c r="AL316" s="317">
        <f t="shared" si="433"/>
        <v>500</v>
      </c>
      <c r="AM316" s="147">
        <f t="shared" si="434"/>
        <v>128.77404207156079</v>
      </c>
      <c r="AO316" t="str">
        <f t="shared" si="435"/>
        <v/>
      </c>
      <c r="AP316" t="str">
        <f t="shared" si="436"/>
        <v/>
      </c>
      <c r="AR316" s="5">
        <f t="shared" si="406"/>
        <v>7.7655401967136504</v>
      </c>
      <c r="AS316" s="5">
        <f t="shared" si="439"/>
        <v>2.8384615384615381</v>
      </c>
      <c r="AT316" s="5">
        <f t="shared" si="440"/>
        <v>4.9270786582521122</v>
      </c>
      <c r="AU316" s="153">
        <f t="shared" si="441"/>
        <v>0.36552016557235323</v>
      </c>
      <c r="CI316" s="59">
        <f t="shared" si="437"/>
        <v>-50</v>
      </c>
    </row>
    <row r="317" spans="4:87" x14ac:dyDescent="0.25">
      <c r="E317" s="150"/>
      <c r="F317" s="191"/>
      <c r="G317" s="191"/>
    </row>
    <row r="319" spans="4:87" x14ac:dyDescent="0.25">
      <c r="D319" s="59" t="s">
        <v>824</v>
      </c>
    </row>
    <row r="320" spans="4:87" x14ac:dyDescent="0.25">
      <c r="E320" s="59" t="s">
        <v>840</v>
      </c>
      <c r="K320" s="59"/>
      <c r="L320" s="59" t="s">
        <v>844</v>
      </c>
    </row>
    <row r="321" spans="5:16" x14ac:dyDescent="0.25">
      <c r="F321" s="59" t="s">
        <v>841</v>
      </c>
      <c r="G321" s="59" t="s">
        <v>842</v>
      </c>
      <c r="M321" s="59" t="s">
        <v>845</v>
      </c>
      <c r="N321" s="59" t="s">
        <v>846</v>
      </c>
    </row>
    <row r="322" spans="5:16" x14ac:dyDescent="0.25">
      <c r="F322">
        <f>'LM(2)518x PSR flyback converter'!E57</f>
        <v>0.01</v>
      </c>
      <c r="G322" s="649">
        <f>F322*Vout</f>
        <v>0.15</v>
      </c>
      <c r="M322">
        <f>'LM(2)518x PSR flyback converter'!L57</f>
        <v>-5.0000000000000001E-3</v>
      </c>
      <c r="N322" s="649">
        <f>M322*'LM(2)518x PSR flyback converter'!E12</f>
        <v>0.08</v>
      </c>
    </row>
    <row r="323" spans="5:16" x14ac:dyDescent="0.25">
      <c r="E323" t="s">
        <v>832</v>
      </c>
      <c r="L323" t="s">
        <v>832</v>
      </c>
    </row>
    <row r="324" spans="5:16" x14ac:dyDescent="0.25">
      <c r="F324" t="s">
        <v>833</v>
      </c>
      <c r="G324" t="s">
        <v>834</v>
      </c>
      <c r="H324" t="s">
        <v>835</v>
      </c>
      <c r="I324" s="59" t="s">
        <v>676</v>
      </c>
      <c r="M324" t="s">
        <v>833</v>
      </c>
      <c r="N324" t="s">
        <v>834</v>
      </c>
      <c r="O324" t="s">
        <v>835</v>
      </c>
      <c r="P324" s="59" t="s">
        <v>676</v>
      </c>
    </row>
    <row r="325" spans="5:16" x14ac:dyDescent="0.25">
      <c r="F325" s="648">
        <v>1.9999999999999999E-7</v>
      </c>
      <c r="G325">
        <f>VIN_max</f>
        <v>13</v>
      </c>
      <c r="H325">
        <f>15000</f>
        <v>15000</v>
      </c>
      <c r="I325">
        <f>L*0.9</f>
        <v>8.1000000000000004E-6</v>
      </c>
      <c r="M325" s="648">
        <v>1.9999999999999999E-7</v>
      </c>
      <c r="N325">
        <f>VIN_max</f>
        <v>13</v>
      </c>
      <c r="O325">
        <f>15000</f>
        <v>15000</v>
      </c>
      <c r="P325">
        <f>L*0.9</f>
        <v>8.1000000000000004E-6</v>
      </c>
    </row>
    <row r="326" spans="5:16" x14ac:dyDescent="0.25">
      <c r="G326" s="59" t="s">
        <v>836</v>
      </c>
      <c r="N326" s="59" t="s">
        <v>836</v>
      </c>
    </row>
    <row r="327" spans="5:16" x14ac:dyDescent="0.25">
      <c r="G327" s="649">
        <f>0.5*(G325/I325*F325)^2*H325*I325</f>
        <v>6.2592592592592596E-3</v>
      </c>
      <c r="N327" s="649">
        <f>0.5*(N325/P325*M325)^2*O325*P325</f>
        <v>6.2592592592592596E-3</v>
      </c>
    </row>
    <row r="328" spans="5:16" x14ac:dyDescent="0.25">
      <c r="E328" s="59" t="s">
        <v>843</v>
      </c>
      <c r="K328" s="59"/>
      <c r="L328" s="59" t="s">
        <v>847</v>
      </c>
    </row>
    <row r="329" spans="5:16" x14ac:dyDescent="0.25">
      <c r="G329" t="str">
        <f>IF(G322+N322&lt;G327, "Yes", IF(G322&lt;G327, "Yes", "No"))</f>
        <v>No</v>
      </c>
      <c r="H329">
        <f>(Vout*1.05)^2/(G327-G322)</f>
        <v>-1725.7633341922187</v>
      </c>
      <c r="N329" t="str">
        <f>IF(G322+N322&lt;N327, "Yes", IF(N322&lt;N327, "Yes", "No"))</f>
        <v>No</v>
      </c>
      <c r="O329">
        <f>(Vout2*1.05)^2/(N327-N322)</f>
        <v>-3827.4635861376191</v>
      </c>
    </row>
    <row r="332" spans="5:16" x14ac:dyDescent="0.25">
      <c r="E332" s="59"/>
    </row>
    <row r="333" spans="5:16" x14ac:dyDescent="0.25">
      <c r="F333" s="59"/>
      <c r="G333" s="59"/>
    </row>
    <row r="334" spans="5:16" x14ac:dyDescent="0.25">
      <c r="G334" s="649"/>
    </row>
    <row r="336" spans="5:16" x14ac:dyDescent="0.25">
      <c r="I336" s="59"/>
    </row>
    <row r="337" spans="5:7" x14ac:dyDescent="0.25">
      <c r="F337" s="648"/>
    </row>
    <row r="338" spans="5:7" x14ac:dyDescent="0.25">
      <c r="G338" s="59"/>
    </row>
    <row r="339" spans="5:7" x14ac:dyDescent="0.25">
      <c r="G339" s="649"/>
    </row>
    <row r="340" spans="5:7" x14ac:dyDescent="0.25">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3.2" x14ac:dyDescent="0.25"/>
  <cols>
    <col min="3" max="3" width="7.77734375" customWidth="1"/>
    <col min="5" max="5" width="10.21875" customWidth="1"/>
    <col min="7" max="7" width="10.77734375" customWidth="1"/>
    <col min="8" max="8" width="9.77734375" customWidth="1"/>
    <col min="9" max="9" width="9.5546875" customWidth="1"/>
    <col min="10" max="10" width="8.77734375" customWidth="1"/>
    <col min="11" max="11" width="9.77734375" customWidth="1"/>
    <col min="12" max="12" width="10.77734375" customWidth="1"/>
    <col min="13" max="13" width="15" customWidth="1"/>
    <col min="14" max="14" width="11.44140625" customWidth="1"/>
    <col min="15" max="16" width="11" customWidth="1"/>
    <col min="17" max="18" width="11.21875" customWidth="1"/>
    <col min="19" max="19" width="5.21875" customWidth="1"/>
  </cols>
  <sheetData>
    <row r="3" spans="3:19" ht="13.8" thickBot="1" x14ac:dyDescent="0.3"/>
    <row r="4" spans="3:19" x14ac:dyDescent="0.25">
      <c r="C4" s="194" t="s">
        <v>428</v>
      </c>
      <c r="D4" s="195"/>
      <c r="E4" s="196"/>
      <c r="F4" s="728" t="s">
        <v>189</v>
      </c>
      <c r="G4" s="729"/>
      <c r="H4" s="728"/>
      <c r="I4" s="728"/>
      <c r="J4" s="728"/>
      <c r="K4" s="729"/>
      <c r="L4" s="729"/>
      <c r="M4" s="729"/>
      <c r="N4" s="728"/>
      <c r="O4" s="731"/>
      <c r="P4" s="468"/>
      <c r="Q4" s="468"/>
      <c r="R4" s="468"/>
      <c r="S4" s="468"/>
    </row>
    <row r="5" spans="3:19" ht="45" customHeight="1" thickBot="1" x14ac:dyDescent="0.3">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5">
      <c r="C6" s="150">
        <v>0.1</v>
      </c>
      <c r="D6" s="464">
        <f>VIN_min</f>
        <v>9</v>
      </c>
      <c r="E6" s="386">
        <f t="shared" ref="E6:E37" si="0">(Vout+Vfwd1)*Nps</f>
        <v>7.66</v>
      </c>
      <c r="F6" s="191">
        <f t="shared" ref="F6:F37" si="1">(Vout+Vfwd1)*Nps/((Vout+Vfwd1)*Nps+D6)</f>
        <v>0.45978391356542619</v>
      </c>
      <c r="G6" s="152">
        <f t="shared" ref="G6:G37" si="2">F6*D6*Isw_max*0.5*Efficiency</f>
        <v>7.6347118847539015</v>
      </c>
      <c r="H6" s="191">
        <f t="shared" ref="H6:H37" si="3">G6/Vout</f>
        <v>0.50898079231692672</v>
      </c>
      <c r="I6" s="386">
        <f t="shared" ref="I6:I37" si="4">(Vout+Vfwd1)*Nps+D6</f>
        <v>16.66</v>
      </c>
      <c r="J6" s="152">
        <f t="shared" ref="J6:J37" si="5">MIN(2*Vout*Iout/(Efficiency*D6*F6), 1.35)</f>
        <v>1.35</v>
      </c>
      <c r="K6" s="152">
        <f t="shared" ref="K6:K37" si="6">L*J6/D6*1000000</f>
        <v>1.35</v>
      </c>
      <c r="L6" s="152">
        <f t="shared" ref="L6:L37" si="7">L*J6/((Vout+Vfwd1)*Nps)*1000000</f>
        <v>1.5861618798955615</v>
      </c>
      <c r="M6" s="386">
        <f>MIN(1/(K6+L6)*1000, 350)</f>
        <v>340.58067671513049</v>
      </c>
      <c r="N6" s="175">
        <f t="shared" ref="N6:N37" si="8">IF(1/((350000*L)*(1/D6+1/E6))&gt;Isw_min, 350, 0.001/((Isw_min*L)*(1/D6+1/E6)))</f>
        <v>350</v>
      </c>
      <c r="O6" s="191">
        <f t="shared" ref="O6:O37" si="9">1/((N6*1000*L)*(1/D6+1/E6))</f>
        <v>1.3136683244726464</v>
      </c>
      <c r="P6" s="153">
        <f t="shared" ref="P6:P37" si="10">L*O6/E6*1000000</f>
        <v>1.5434745326702111</v>
      </c>
      <c r="Q6" s="153">
        <f t="shared" ref="Q6:Q37" si="11">0.5*P6*O6*Nps*N6/1000</f>
        <v>0.17741619027991926</v>
      </c>
      <c r="R6" s="153">
        <f t="shared" ref="R6:R37" si="12">L*Isw_min/E6*1000000</f>
        <v>0.96344647519582249</v>
      </c>
    </row>
    <row r="7" spans="3:19" x14ac:dyDescent="0.25">
      <c r="C7" s="150">
        <v>1</v>
      </c>
      <c r="D7" s="5">
        <f t="shared" ref="D7:D38" si="13">C7/100*(VIN_max-VIN_min)+VIN_min</f>
        <v>9.0399999999999991</v>
      </c>
      <c r="E7" s="386">
        <f t="shared" si="0"/>
        <v>7.66</v>
      </c>
      <c r="F7" s="191">
        <f t="shared" si="1"/>
        <v>0.45868263473053894</v>
      </c>
      <c r="G7" s="152">
        <f t="shared" si="2"/>
        <v>7.6502759281437118</v>
      </c>
      <c r="H7" s="191">
        <f t="shared" si="3"/>
        <v>0.51001839520958081</v>
      </c>
      <c r="I7" s="386">
        <f t="shared" si="4"/>
        <v>16.7</v>
      </c>
      <c r="J7" s="152">
        <f t="shared" si="5"/>
        <v>1.35</v>
      </c>
      <c r="K7" s="152">
        <f t="shared" si="6"/>
        <v>1.3440265486725664</v>
      </c>
      <c r="L7" s="152">
        <f t="shared" si="7"/>
        <v>1.5861618798955615</v>
      </c>
      <c r="M7" s="386">
        <f t="shared" ref="M7:M70" si="14">MIN(1/(K7+L7)*1000, 350)</f>
        <v>341.27498090239271</v>
      </c>
      <c r="N7" s="175">
        <f t="shared" si="8"/>
        <v>350</v>
      </c>
      <c r="O7" s="191">
        <f t="shared" si="9"/>
        <v>1.3163463549092291</v>
      </c>
      <c r="P7" s="153">
        <f t="shared" si="10"/>
        <v>1.5466210436270316</v>
      </c>
      <c r="Q7" s="153">
        <f t="shared" si="11"/>
        <v>0.17814028515538069</v>
      </c>
      <c r="R7" s="153">
        <f t="shared" si="12"/>
        <v>0.96344647519582249</v>
      </c>
    </row>
    <row r="8" spans="3:19" x14ac:dyDescent="0.25">
      <c r="C8" s="150">
        <v>2</v>
      </c>
      <c r="D8" s="5">
        <f t="shared" si="13"/>
        <v>9.08</v>
      </c>
      <c r="E8" s="386">
        <f t="shared" si="0"/>
        <v>7.66</v>
      </c>
      <c r="F8" s="191">
        <f t="shared" si="1"/>
        <v>0.45758661887694141</v>
      </c>
      <c r="G8" s="152">
        <f t="shared" si="2"/>
        <v>7.6657655913978484</v>
      </c>
      <c r="H8" s="191">
        <f t="shared" si="3"/>
        <v>0.51105103942652319</v>
      </c>
      <c r="I8" s="386">
        <f t="shared" si="4"/>
        <v>16.740000000000002</v>
      </c>
      <c r="J8" s="152">
        <f t="shared" si="5"/>
        <v>1.35</v>
      </c>
      <c r="K8" s="152">
        <f t="shared" si="6"/>
        <v>1.3381057268722467</v>
      </c>
      <c r="L8" s="152">
        <f t="shared" si="7"/>
        <v>1.5861618798955615</v>
      </c>
      <c r="M8" s="386">
        <f t="shared" si="14"/>
        <v>341.96596702902292</v>
      </c>
      <c r="N8" s="175">
        <f t="shared" si="8"/>
        <v>350</v>
      </c>
      <c r="O8" s="191">
        <f t="shared" si="9"/>
        <v>1.3190115871119457</v>
      </c>
      <c r="P8" s="153">
        <f t="shared" si="10"/>
        <v>1.5497525174944531</v>
      </c>
      <c r="Q8" s="153">
        <f t="shared" si="11"/>
        <v>0.17886238367647056</v>
      </c>
      <c r="R8" s="153">
        <f t="shared" si="12"/>
        <v>0.96344647519582249</v>
      </c>
    </row>
    <row r="9" spans="3:19" x14ac:dyDescent="0.25">
      <c r="C9" s="150">
        <v>3</v>
      </c>
      <c r="D9" s="5">
        <f t="shared" si="13"/>
        <v>9.1199999999999992</v>
      </c>
      <c r="E9" s="386">
        <f t="shared" si="0"/>
        <v>7.66</v>
      </c>
      <c r="F9" s="191">
        <f t="shared" si="1"/>
        <v>0.45649582836710367</v>
      </c>
      <c r="G9" s="152">
        <f t="shared" si="2"/>
        <v>7.6811814064362309</v>
      </c>
      <c r="H9" s="191">
        <f t="shared" si="3"/>
        <v>0.51207876042908207</v>
      </c>
      <c r="I9" s="386">
        <f t="shared" si="4"/>
        <v>16.78</v>
      </c>
      <c r="J9" s="152">
        <f t="shared" si="5"/>
        <v>1.35</v>
      </c>
      <c r="K9" s="152">
        <f t="shared" si="6"/>
        <v>1.3322368421052633</v>
      </c>
      <c r="L9" s="152">
        <f t="shared" si="7"/>
        <v>1.5861618798955615</v>
      </c>
      <c r="M9" s="386">
        <f t="shared" si="14"/>
        <v>342.65365882370253</v>
      </c>
      <c r="N9" s="175">
        <f t="shared" si="8"/>
        <v>350</v>
      </c>
      <c r="O9" s="191">
        <f t="shared" si="9"/>
        <v>1.3216641126057098</v>
      </c>
      <c r="P9" s="153">
        <f t="shared" si="10"/>
        <v>1.5528690618082754</v>
      </c>
      <c r="Q9" s="153">
        <f t="shared" si="11"/>
        <v>0.17958248967467336</v>
      </c>
      <c r="R9" s="153">
        <f t="shared" si="12"/>
        <v>0.96344647519582249</v>
      </c>
    </row>
    <row r="10" spans="3:19" x14ac:dyDescent="0.25">
      <c r="C10" s="150">
        <v>4</v>
      </c>
      <c r="D10" s="5">
        <f t="shared" si="13"/>
        <v>9.16</v>
      </c>
      <c r="E10" s="386">
        <f t="shared" si="0"/>
        <v>7.66</v>
      </c>
      <c r="F10" s="191">
        <f t="shared" si="1"/>
        <v>0.45541022592152197</v>
      </c>
      <c r="G10" s="152">
        <f t="shared" si="2"/>
        <v>7.6965239001189056</v>
      </c>
      <c r="H10" s="191">
        <f t="shared" si="3"/>
        <v>0.51310159334126038</v>
      </c>
      <c r="I10" s="386">
        <f t="shared" si="4"/>
        <v>16.82</v>
      </c>
      <c r="J10" s="152">
        <f t="shared" si="5"/>
        <v>1.35</v>
      </c>
      <c r="K10" s="152">
        <f t="shared" si="6"/>
        <v>1.3264192139737991</v>
      </c>
      <c r="L10" s="152">
        <f t="shared" si="7"/>
        <v>1.5861618798955615</v>
      </c>
      <c r="M10" s="386">
        <f t="shared" si="14"/>
        <v>343.33807978939433</v>
      </c>
      <c r="N10" s="175">
        <f t="shared" si="8"/>
        <v>350</v>
      </c>
      <c r="O10" s="191">
        <f t="shared" si="9"/>
        <v>1.324304022044807</v>
      </c>
      <c r="P10" s="153">
        <f t="shared" si="10"/>
        <v>1.555970783081366</v>
      </c>
      <c r="Q10" s="153">
        <f t="shared" si="11"/>
        <v>0.18030060704415035</v>
      </c>
      <c r="R10" s="153">
        <f t="shared" si="12"/>
        <v>0.96344647519582249</v>
      </c>
    </row>
    <row r="11" spans="3:19" x14ac:dyDescent="0.25">
      <c r="C11" s="150">
        <v>5</v>
      </c>
      <c r="D11" s="5">
        <f t="shared" si="13"/>
        <v>9.1999999999999993</v>
      </c>
      <c r="E11" s="386">
        <f t="shared" si="0"/>
        <v>7.66</v>
      </c>
      <c r="F11" s="191">
        <f t="shared" si="1"/>
        <v>0.45432977461447216</v>
      </c>
      <c r="G11" s="152">
        <f t="shared" si="2"/>
        <v>7.7117935943060489</v>
      </c>
      <c r="H11" s="191">
        <f t="shared" si="3"/>
        <v>0.51411957295373656</v>
      </c>
      <c r="I11" s="386">
        <f t="shared" si="4"/>
        <v>16.86</v>
      </c>
      <c r="J11" s="152">
        <f t="shared" si="5"/>
        <v>1.35</v>
      </c>
      <c r="K11" s="152">
        <f t="shared" si="6"/>
        <v>1.3206521739130437</v>
      </c>
      <c r="L11" s="152">
        <f t="shared" si="7"/>
        <v>1.5861618798955615</v>
      </c>
      <c r="M11" s="386">
        <f t="shared" si="14"/>
        <v>344.01925320601998</v>
      </c>
      <c r="N11" s="175">
        <f t="shared" si="8"/>
        <v>350</v>
      </c>
      <c r="O11" s="191">
        <f t="shared" si="9"/>
        <v>1.3269314052232202</v>
      </c>
      <c r="P11" s="153">
        <f t="shared" si="10"/>
        <v>1.559057786815794</v>
      </c>
      <c r="Q11" s="153">
        <f t="shared" si="11"/>
        <v>0.18101673973982244</v>
      </c>
      <c r="R11" s="153">
        <f t="shared" si="12"/>
        <v>0.96344647519582249</v>
      </c>
    </row>
    <row r="12" spans="3:19" x14ac:dyDescent="0.25">
      <c r="C12" s="150">
        <v>6</v>
      </c>
      <c r="D12" s="5">
        <f t="shared" si="13"/>
        <v>9.24</v>
      </c>
      <c r="E12" s="386">
        <f t="shared" si="0"/>
        <v>7.66</v>
      </c>
      <c r="F12" s="191">
        <f t="shared" si="1"/>
        <v>0.45325443786982256</v>
      </c>
      <c r="G12" s="152">
        <f t="shared" si="2"/>
        <v>7.7269910059171609</v>
      </c>
      <c r="H12" s="191">
        <f t="shared" si="3"/>
        <v>0.51513273372781077</v>
      </c>
      <c r="I12" s="386">
        <f t="shared" si="4"/>
        <v>16.899999999999999</v>
      </c>
      <c r="J12" s="152">
        <f t="shared" si="5"/>
        <v>1.35</v>
      </c>
      <c r="K12" s="152">
        <f t="shared" si="6"/>
        <v>1.3149350649350648</v>
      </c>
      <c r="L12" s="152">
        <f t="shared" si="7"/>
        <v>1.5861618798955615</v>
      </c>
      <c r="M12" s="386">
        <f t="shared" si="14"/>
        <v>344.69720213309955</v>
      </c>
      <c r="N12" s="175">
        <f t="shared" si="8"/>
        <v>350</v>
      </c>
      <c r="O12" s="191">
        <f t="shared" si="9"/>
        <v>1.3295463510848127</v>
      </c>
      <c r="P12" s="153">
        <f t="shared" si="10"/>
        <v>1.5621301775147929</v>
      </c>
      <c r="Q12" s="153">
        <f t="shared" si="11"/>
        <v>0.18173089177549806</v>
      </c>
      <c r="R12" s="153">
        <f t="shared" si="12"/>
        <v>0.96344647519582249</v>
      </c>
    </row>
    <row r="13" spans="3:19" x14ac:dyDescent="0.25">
      <c r="C13" s="150">
        <v>7</v>
      </c>
      <c r="D13" s="5">
        <f t="shared" si="13"/>
        <v>9.2799999999999994</v>
      </c>
      <c r="E13" s="386">
        <f t="shared" si="0"/>
        <v>7.66</v>
      </c>
      <c r="F13" s="191">
        <f t="shared" si="1"/>
        <v>0.45218417945690681</v>
      </c>
      <c r="G13" s="152">
        <f t="shared" si="2"/>
        <v>7.7421166469893752</v>
      </c>
      <c r="H13" s="191">
        <f t="shared" si="3"/>
        <v>0.51614110979929173</v>
      </c>
      <c r="I13" s="386">
        <f t="shared" si="4"/>
        <v>16.939999999999998</v>
      </c>
      <c r="J13" s="152">
        <f t="shared" si="5"/>
        <v>1.35</v>
      </c>
      <c r="K13" s="152">
        <f t="shared" si="6"/>
        <v>1.3092672413793105</v>
      </c>
      <c r="L13" s="152">
        <f t="shared" si="7"/>
        <v>1.5861618798955615</v>
      </c>
      <c r="M13" s="386">
        <f t="shared" si="14"/>
        <v>345.37194941235344</v>
      </c>
      <c r="N13" s="175">
        <f t="shared" si="8"/>
        <v>350</v>
      </c>
      <c r="O13" s="191">
        <f t="shared" si="9"/>
        <v>1.3321489477333632</v>
      </c>
      <c r="P13" s="153">
        <f t="shared" si="10"/>
        <v>1.5651880586945521</v>
      </c>
      <c r="Q13" s="153">
        <f t="shared" si="11"/>
        <v>0.18244306722204265</v>
      </c>
      <c r="R13" s="153">
        <f t="shared" si="12"/>
        <v>0.96344647519582249</v>
      </c>
    </row>
    <row r="14" spans="3:19" s="59" customFormat="1" x14ac:dyDescent="0.25">
      <c r="C14" s="150">
        <v>8</v>
      </c>
      <c r="D14" s="170">
        <f t="shared" si="13"/>
        <v>9.32</v>
      </c>
      <c r="E14" s="386">
        <f t="shared" si="0"/>
        <v>7.66</v>
      </c>
      <c r="F14" s="191">
        <f t="shared" si="1"/>
        <v>0.45111896348645464</v>
      </c>
      <c r="G14" s="152">
        <f t="shared" si="2"/>
        <v>7.7571710247349817</v>
      </c>
      <c r="H14" s="191">
        <f t="shared" si="3"/>
        <v>0.51714473498233215</v>
      </c>
      <c r="I14" s="386">
        <f t="shared" si="4"/>
        <v>16.98</v>
      </c>
      <c r="J14" s="152">
        <f t="shared" si="5"/>
        <v>1.35</v>
      </c>
      <c r="K14" s="152">
        <f t="shared" si="6"/>
        <v>1.3036480686695278</v>
      </c>
      <c r="L14" s="152">
        <f t="shared" si="7"/>
        <v>1.5861618798955615</v>
      </c>
      <c r="M14" s="386">
        <f t="shared" si="14"/>
        <v>346.0435176702681</v>
      </c>
      <c r="N14" s="175">
        <f t="shared" si="8"/>
        <v>350</v>
      </c>
      <c r="O14" s="191">
        <f t="shared" si="9"/>
        <v>1.3347392824424629</v>
      </c>
      <c r="P14" s="153">
        <f t="shared" si="10"/>
        <v>1.568231532895844</v>
      </c>
      <c r="Q14" s="469">
        <f t="shared" si="11"/>
        <v>0.18315327020559122</v>
      </c>
      <c r="R14" s="153">
        <f t="shared" si="12"/>
        <v>0.96344647519582249</v>
      </c>
    </row>
    <row r="15" spans="3:19" x14ac:dyDescent="0.25">
      <c r="C15" s="150">
        <v>9</v>
      </c>
      <c r="D15" s="5">
        <f t="shared" si="13"/>
        <v>9.36</v>
      </c>
      <c r="E15" s="386">
        <f t="shared" si="0"/>
        <v>7.66</v>
      </c>
      <c r="F15" s="191">
        <f t="shared" si="1"/>
        <v>0.4500587544065805</v>
      </c>
      <c r="G15" s="152">
        <f t="shared" si="2"/>
        <v>7.7721546415981191</v>
      </c>
      <c r="H15" s="191">
        <f t="shared" si="3"/>
        <v>0.5181436427732079</v>
      </c>
      <c r="I15" s="386">
        <f t="shared" si="4"/>
        <v>17.02</v>
      </c>
      <c r="J15" s="152">
        <f t="shared" si="5"/>
        <v>1.35</v>
      </c>
      <c r="K15" s="152">
        <f t="shared" si="6"/>
        <v>1.2980769230769234</v>
      </c>
      <c r="L15" s="152">
        <f t="shared" si="7"/>
        <v>1.5861618798955615</v>
      </c>
      <c r="M15" s="386">
        <f t="shared" si="14"/>
        <v>346.71192932062496</v>
      </c>
      <c r="N15" s="175">
        <f t="shared" si="8"/>
        <v>350</v>
      </c>
      <c r="O15" s="191">
        <f t="shared" si="9"/>
        <v>1.337317441665268</v>
      </c>
      <c r="P15" s="153">
        <f t="shared" si="10"/>
        <v>1.5712607016954845</v>
      </c>
      <c r="Q15" s="153">
        <f t="shared" si="11"/>
        <v>0.18386150490580067</v>
      </c>
      <c r="R15" s="153">
        <f t="shared" si="12"/>
        <v>0.96344647519582249</v>
      </c>
    </row>
    <row r="16" spans="3:19" x14ac:dyDescent="0.25">
      <c r="C16" s="150">
        <v>10</v>
      </c>
      <c r="D16" s="5">
        <f t="shared" si="13"/>
        <v>9.4</v>
      </c>
      <c r="E16" s="386">
        <f t="shared" si="0"/>
        <v>7.66</v>
      </c>
      <c r="F16" s="191">
        <f t="shared" si="1"/>
        <v>0.44900351699882762</v>
      </c>
      <c r="G16" s="152">
        <f t="shared" si="2"/>
        <v>7.7870679953106663</v>
      </c>
      <c r="H16" s="191">
        <f t="shared" si="3"/>
        <v>0.51913786635404446</v>
      </c>
      <c r="I16" s="386">
        <f t="shared" si="4"/>
        <v>17.060000000000002</v>
      </c>
      <c r="J16" s="152">
        <f t="shared" si="5"/>
        <v>1.35</v>
      </c>
      <c r="K16" s="152">
        <f t="shared" si="6"/>
        <v>1.2925531914893618</v>
      </c>
      <c r="L16" s="152">
        <f t="shared" si="7"/>
        <v>1.5861618798955615</v>
      </c>
      <c r="M16" s="386">
        <f t="shared" si="14"/>
        <v>347.37720656699423</v>
      </c>
      <c r="N16" s="175">
        <f t="shared" si="8"/>
        <v>350</v>
      </c>
      <c r="O16" s="191">
        <f t="shared" si="9"/>
        <v>1.3398835110441207</v>
      </c>
      <c r="P16" s="153">
        <f t="shared" si="10"/>
        <v>1.5742756657176353</v>
      </c>
      <c r="Q16" s="153">
        <f t="shared" si="11"/>
        <v>0.18456777555414322</v>
      </c>
      <c r="R16" s="153">
        <f t="shared" si="12"/>
        <v>0.96344647519582249</v>
      </c>
    </row>
    <row r="17" spans="3:18" x14ac:dyDescent="0.25">
      <c r="C17" s="150">
        <v>11</v>
      </c>
      <c r="D17" s="5">
        <f t="shared" si="13"/>
        <v>9.44</v>
      </c>
      <c r="E17" s="386">
        <f t="shared" si="0"/>
        <v>7.66</v>
      </c>
      <c r="F17" s="191">
        <f t="shared" si="1"/>
        <v>0.44795321637426899</v>
      </c>
      <c r="G17" s="152">
        <f t="shared" si="2"/>
        <v>7.801911578947367</v>
      </c>
      <c r="H17" s="191">
        <f t="shared" si="3"/>
        <v>0.52012743859649113</v>
      </c>
      <c r="I17" s="386">
        <f t="shared" si="4"/>
        <v>17.100000000000001</v>
      </c>
      <c r="J17" s="152">
        <f t="shared" si="5"/>
        <v>1.35</v>
      </c>
      <c r="K17" s="152">
        <f t="shared" si="6"/>
        <v>1.2870762711864407</v>
      </c>
      <c r="L17" s="152">
        <f t="shared" si="7"/>
        <v>1.5861618798955615</v>
      </c>
      <c r="M17" s="386">
        <f t="shared" si="14"/>
        <v>348.03937140519338</v>
      </c>
      <c r="N17" s="175">
        <f t="shared" si="8"/>
        <v>350</v>
      </c>
      <c r="O17" s="191">
        <f t="shared" si="9"/>
        <v>1.3424375754200317</v>
      </c>
      <c r="P17" s="153">
        <f t="shared" si="10"/>
        <v>1.5772765246449458</v>
      </c>
      <c r="Q17" s="153">
        <f t="shared" si="11"/>
        <v>0.18527208643223833</v>
      </c>
      <c r="R17" s="153">
        <f t="shared" si="12"/>
        <v>0.96344647519582249</v>
      </c>
    </row>
    <row r="18" spans="3:18" x14ac:dyDescent="0.25">
      <c r="C18" s="150">
        <v>12</v>
      </c>
      <c r="D18" s="5">
        <f t="shared" si="13"/>
        <v>9.48</v>
      </c>
      <c r="E18" s="386">
        <f t="shared" si="0"/>
        <v>7.66</v>
      </c>
      <c r="F18" s="191">
        <f t="shared" si="1"/>
        <v>0.44690781796966161</v>
      </c>
      <c r="G18" s="152">
        <f t="shared" si="2"/>
        <v>7.816685880980164</v>
      </c>
      <c r="H18" s="191">
        <f t="shared" si="3"/>
        <v>0.52111239206534432</v>
      </c>
      <c r="I18" s="386">
        <f t="shared" si="4"/>
        <v>17.14</v>
      </c>
      <c r="J18" s="152">
        <f t="shared" si="5"/>
        <v>1.35</v>
      </c>
      <c r="K18" s="152">
        <f t="shared" si="6"/>
        <v>1.2816455696202531</v>
      </c>
      <c r="L18" s="152">
        <f t="shared" si="7"/>
        <v>1.5861618798955615</v>
      </c>
      <c r="M18" s="386">
        <f t="shared" si="14"/>
        <v>348.6984456257112</v>
      </c>
      <c r="N18" s="175">
        <f t="shared" si="8"/>
        <v>350</v>
      </c>
      <c r="O18" s="191">
        <f t="shared" si="9"/>
        <v>1.3449797188420294</v>
      </c>
      <c r="P18" s="153">
        <f t="shared" si="10"/>
        <v>1.5802633772295385</v>
      </c>
      <c r="Q18" s="153">
        <f t="shared" si="11"/>
        <v>0.1859744418702223</v>
      </c>
      <c r="R18" s="153">
        <f t="shared" si="12"/>
        <v>0.96344647519582249</v>
      </c>
    </row>
    <row r="19" spans="3:18" x14ac:dyDescent="0.25">
      <c r="C19" s="150">
        <v>13</v>
      </c>
      <c r="D19" s="5">
        <f t="shared" si="13"/>
        <v>9.52</v>
      </c>
      <c r="E19" s="386">
        <f t="shared" si="0"/>
        <v>7.66</v>
      </c>
      <c r="F19" s="191">
        <f t="shared" si="1"/>
        <v>0.44586728754365546</v>
      </c>
      <c r="G19" s="152">
        <f t="shared" si="2"/>
        <v>7.8313913853317807</v>
      </c>
      <c r="H19" s="191">
        <f t="shared" si="3"/>
        <v>0.52209275902211871</v>
      </c>
      <c r="I19" s="386">
        <f t="shared" si="4"/>
        <v>17.18</v>
      </c>
      <c r="J19" s="152">
        <f t="shared" si="5"/>
        <v>1.35</v>
      </c>
      <c r="K19" s="152">
        <f t="shared" si="6"/>
        <v>1.2762605042016808</v>
      </c>
      <c r="L19" s="152">
        <f t="shared" si="7"/>
        <v>1.5861618798955615</v>
      </c>
      <c r="M19" s="386">
        <f t="shared" si="14"/>
        <v>349.35445081609868</v>
      </c>
      <c r="N19" s="175">
        <f t="shared" si="8"/>
        <v>350</v>
      </c>
      <c r="O19" s="191">
        <f t="shared" si="9"/>
        <v>1.3475100245763809</v>
      </c>
      <c r="P19" s="153">
        <f t="shared" si="10"/>
        <v>1.5832363213038418</v>
      </c>
      <c r="Q19" s="153">
        <f t="shared" si="11"/>
        <v>0.1866748462451564</v>
      </c>
      <c r="R19" s="153">
        <f t="shared" si="12"/>
        <v>0.96344647519582249</v>
      </c>
    </row>
    <row r="20" spans="3:18" x14ac:dyDescent="0.25">
      <c r="C20" s="150">
        <v>14</v>
      </c>
      <c r="D20" s="5">
        <f t="shared" si="13"/>
        <v>9.56</v>
      </c>
      <c r="E20" s="386">
        <f t="shared" si="0"/>
        <v>7.66</v>
      </c>
      <c r="F20" s="191">
        <f t="shared" si="1"/>
        <v>0.44483159117305465</v>
      </c>
      <c r="G20" s="152">
        <f t="shared" si="2"/>
        <v>7.8460285714285725</v>
      </c>
      <c r="H20" s="191">
        <f t="shared" si="3"/>
        <v>0.52306857142857155</v>
      </c>
      <c r="I20" s="386">
        <f t="shared" si="4"/>
        <v>17.22</v>
      </c>
      <c r="J20" s="152">
        <f t="shared" si="5"/>
        <v>1.35</v>
      </c>
      <c r="K20" s="152">
        <f t="shared" si="6"/>
        <v>1.2709205020920502</v>
      </c>
      <c r="L20" s="152">
        <f t="shared" si="7"/>
        <v>1.5861618798955615</v>
      </c>
      <c r="M20" s="386">
        <f t="shared" si="14"/>
        <v>350</v>
      </c>
      <c r="N20" s="175">
        <f t="shared" si="8"/>
        <v>350</v>
      </c>
      <c r="O20" s="191">
        <f t="shared" si="9"/>
        <v>1.3500285751156833</v>
      </c>
      <c r="P20" s="153">
        <f t="shared" si="10"/>
        <v>1.5861954537912728</v>
      </c>
      <c r="Q20" s="153">
        <f t="shared" si="11"/>
        <v>0.18737330397947055</v>
      </c>
      <c r="R20" s="153">
        <f t="shared" si="12"/>
        <v>0.96344647519582249</v>
      </c>
    </row>
    <row r="21" spans="3:18" x14ac:dyDescent="0.25">
      <c r="C21" s="150">
        <v>15</v>
      </c>
      <c r="D21" s="5">
        <f t="shared" si="13"/>
        <v>9.6</v>
      </c>
      <c r="E21" s="386">
        <f t="shared" si="0"/>
        <v>7.66</v>
      </c>
      <c r="F21" s="191">
        <f t="shared" si="1"/>
        <v>0.44380069524913102</v>
      </c>
      <c r="G21" s="152">
        <f t="shared" si="2"/>
        <v>7.8605979142526081</v>
      </c>
      <c r="H21" s="191">
        <f t="shared" si="3"/>
        <v>0.52403986095017385</v>
      </c>
      <c r="I21" s="386">
        <f t="shared" si="4"/>
        <v>17.259999999999998</v>
      </c>
      <c r="J21" s="152">
        <f t="shared" si="5"/>
        <v>1.35</v>
      </c>
      <c r="K21" s="152">
        <f t="shared" si="6"/>
        <v>1.265625</v>
      </c>
      <c r="L21" s="152">
        <f t="shared" si="7"/>
        <v>1.5861618798955615</v>
      </c>
      <c r="M21" s="386">
        <f t="shared" si="14"/>
        <v>350</v>
      </c>
      <c r="N21" s="175">
        <f t="shared" si="8"/>
        <v>350</v>
      </c>
      <c r="O21" s="191">
        <f t="shared" si="9"/>
        <v>1.3525354521878277</v>
      </c>
      <c r="P21" s="153">
        <f t="shared" si="10"/>
        <v>1.5891408707167687</v>
      </c>
      <c r="Q21" s="153">
        <f t="shared" si="11"/>
        <v>0.18806981953944299</v>
      </c>
      <c r="R21" s="153">
        <f t="shared" si="12"/>
        <v>0.96344647519582249</v>
      </c>
    </row>
    <row r="22" spans="3:18" s="3" customFormat="1" x14ac:dyDescent="0.25">
      <c r="C22" s="238">
        <v>16</v>
      </c>
      <c r="D22" s="465">
        <f t="shared" si="13"/>
        <v>9.64</v>
      </c>
      <c r="E22" s="466">
        <f t="shared" si="0"/>
        <v>7.66</v>
      </c>
      <c r="F22" s="467">
        <f t="shared" si="1"/>
        <v>0.44277456647398844</v>
      </c>
      <c r="G22" s="289">
        <f t="shared" si="2"/>
        <v>7.8750998843930642</v>
      </c>
      <c r="H22" s="467">
        <f t="shared" si="3"/>
        <v>0.52500665895953758</v>
      </c>
      <c r="I22" s="466">
        <f t="shared" si="4"/>
        <v>17.3</v>
      </c>
      <c r="J22" s="152">
        <f t="shared" si="5"/>
        <v>1.35</v>
      </c>
      <c r="K22" s="289">
        <f t="shared" si="6"/>
        <v>1.2603734439834025</v>
      </c>
      <c r="L22" s="289">
        <f t="shared" si="7"/>
        <v>1.5861618798955615</v>
      </c>
      <c r="M22" s="466">
        <f t="shared" si="14"/>
        <v>350</v>
      </c>
      <c r="N22" s="291">
        <f t="shared" si="8"/>
        <v>350</v>
      </c>
      <c r="O22" s="467">
        <f t="shared" si="9"/>
        <v>1.3550307367648409</v>
      </c>
      <c r="P22" s="153">
        <f t="shared" si="10"/>
        <v>1.5920726672171761</v>
      </c>
      <c r="Q22" s="470">
        <f t="shared" si="11"/>
        <v>0.18876439743371487</v>
      </c>
      <c r="R22" s="153">
        <f t="shared" si="12"/>
        <v>0.96344647519582249</v>
      </c>
    </row>
    <row r="23" spans="3:18" x14ac:dyDescent="0.25">
      <c r="C23" s="150">
        <v>17</v>
      </c>
      <c r="D23" s="5">
        <f t="shared" si="13"/>
        <v>9.68</v>
      </c>
      <c r="E23" s="386">
        <f t="shared" si="0"/>
        <v>7.66</v>
      </c>
      <c r="F23" s="191">
        <f t="shared" si="1"/>
        <v>0.4417531718569781</v>
      </c>
      <c r="G23" s="152">
        <f t="shared" si="2"/>
        <v>7.8895349480968848</v>
      </c>
      <c r="H23" s="191">
        <f t="shared" si="3"/>
        <v>0.52596899653979234</v>
      </c>
      <c r="I23" s="386">
        <f t="shared" si="4"/>
        <v>17.34</v>
      </c>
      <c r="J23" s="152">
        <f t="shared" si="5"/>
        <v>1.35</v>
      </c>
      <c r="K23" s="152">
        <f t="shared" si="6"/>
        <v>1.2551652892561984</v>
      </c>
      <c r="L23" s="152">
        <f t="shared" si="7"/>
        <v>1.5861618798955615</v>
      </c>
      <c r="M23" s="386">
        <f t="shared" si="14"/>
        <v>350</v>
      </c>
      <c r="N23" s="175">
        <f t="shared" si="8"/>
        <v>350</v>
      </c>
      <c r="O23" s="191">
        <f t="shared" si="9"/>
        <v>1.3575145090716025</v>
      </c>
      <c r="P23" s="153">
        <f t="shared" si="10"/>
        <v>1.5949909375514912</v>
      </c>
      <c r="Q23" s="153">
        <f t="shared" si="11"/>
        <v>0.18945704221183843</v>
      </c>
      <c r="R23" s="153">
        <f t="shared" si="12"/>
        <v>0.96344647519582249</v>
      </c>
    </row>
    <row r="24" spans="3:18" x14ac:dyDescent="0.25">
      <c r="C24" s="150">
        <v>18</v>
      </c>
      <c r="D24" s="5">
        <f t="shared" si="13"/>
        <v>9.7200000000000006</v>
      </c>
      <c r="E24" s="386">
        <f t="shared" si="0"/>
        <v>7.66</v>
      </c>
      <c r="F24" s="191">
        <f t="shared" si="1"/>
        <v>0.44073647871116217</v>
      </c>
      <c r="G24" s="152">
        <f t="shared" si="2"/>
        <v>7.9039035673187552</v>
      </c>
      <c r="H24" s="191">
        <f t="shared" si="3"/>
        <v>0.52692690448791701</v>
      </c>
      <c r="I24" s="386">
        <f t="shared" si="4"/>
        <v>17.380000000000003</v>
      </c>
      <c r="J24" s="152">
        <f t="shared" si="5"/>
        <v>1.35</v>
      </c>
      <c r="K24" s="152">
        <f t="shared" si="6"/>
        <v>1.25</v>
      </c>
      <c r="L24" s="152">
        <f t="shared" si="7"/>
        <v>1.5861618798955615</v>
      </c>
      <c r="M24" s="386">
        <f t="shared" si="14"/>
        <v>350</v>
      </c>
      <c r="N24" s="175">
        <f t="shared" si="8"/>
        <v>350</v>
      </c>
      <c r="O24" s="191">
        <f t="shared" si="9"/>
        <v>1.3599868485944437</v>
      </c>
      <c r="P24" s="153">
        <f t="shared" si="10"/>
        <v>1.5978957751109653</v>
      </c>
      <c r="Q24" s="153">
        <f t="shared" si="11"/>
        <v>0.19014775846285953</v>
      </c>
      <c r="R24" s="153">
        <f t="shared" si="12"/>
        <v>0.96344647519582249</v>
      </c>
    </row>
    <row r="25" spans="3:18" x14ac:dyDescent="0.25">
      <c r="C25" s="150">
        <v>19</v>
      </c>
      <c r="D25" s="5">
        <f t="shared" si="13"/>
        <v>9.76</v>
      </c>
      <c r="E25" s="386">
        <f t="shared" si="0"/>
        <v>7.66</v>
      </c>
      <c r="F25" s="191">
        <f t="shared" si="1"/>
        <v>0.43972445464982773</v>
      </c>
      <c r="G25" s="152">
        <f t="shared" si="2"/>
        <v>7.9182061997703777</v>
      </c>
      <c r="H25" s="191">
        <f t="shared" si="3"/>
        <v>0.52788041331802515</v>
      </c>
      <c r="I25" s="386">
        <f t="shared" si="4"/>
        <v>17.420000000000002</v>
      </c>
      <c r="J25" s="152">
        <f t="shared" si="5"/>
        <v>1.35</v>
      </c>
      <c r="K25" s="152">
        <f t="shared" si="6"/>
        <v>1.244877049180328</v>
      </c>
      <c r="L25" s="152">
        <f t="shared" si="7"/>
        <v>1.5861618798955615</v>
      </c>
      <c r="M25" s="386">
        <f t="shared" si="14"/>
        <v>350</v>
      </c>
      <c r="N25" s="175">
        <f t="shared" si="8"/>
        <v>350</v>
      </c>
      <c r="O25" s="191">
        <f t="shared" si="9"/>
        <v>1.3624478340896251</v>
      </c>
      <c r="P25" s="153">
        <f t="shared" si="10"/>
        <v>1.6007872724290635</v>
      </c>
      <c r="Q25" s="153">
        <f t="shared" si="11"/>
        <v>0.19083655081393142</v>
      </c>
      <c r="R25" s="153">
        <f t="shared" si="12"/>
        <v>0.96344647519582249</v>
      </c>
    </row>
    <row r="26" spans="3:18" x14ac:dyDescent="0.25">
      <c r="C26" s="150">
        <v>20</v>
      </c>
      <c r="D26" s="5">
        <f t="shared" si="13"/>
        <v>9.8000000000000007</v>
      </c>
      <c r="E26" s="386">
        <f t="shared" si="0"/>
        <v>7.66</v>
      </c>
      <c r="F26" s="191">
        <f t="shared" si="1"/>
        <v>0.43871706758304696</v>
      </c>
      <c r="G26" s="152">
        <f t="shared" si="2"/>
        <v>7.9324432989690727</v>
      </c>
      <c r="H26" s="191">
        <f t="shared" si="3"/>
        <v>0.5288295532646049</v>
      </c>
      <c r="I26" s="386">
        <f t="shared" si="4"/>
        <v>17.46</v>
      </c>
      <c r="J26" s="152">
        <f t="shared" si="5"/>
        <v>1.35</v>
      </c>
      <c r="K26" s="152">
        <f t="shared" si="6"/>
        <v>1.239795918367347</v>
      </c>
      <c r="L26" s="152">
        <f t="shared" si="7"/>
        <v>1.5861618798955615</v>
      </c>
      <c r="M26" s="386">
        <f t="shared" si="14"/>
        <v>350</v>
      </c>
      <c r="N26" s="175">
        <f t="shared" si="8"/>
        <v>350</v>
      </c>
      <c r="O26" s="191">
        <f t="shared" si="9"/>
        <v>1.3648975435917017</v>
      </c>
      <c r="P26" s="153">
        <f t="shared" si="10"/>
        <v>1.6036655211912942</v>
      </c>
      <c r="Q26" s="153">
        <f t="shared" si="11"/>
        <v>0.19152342392896157</v>
      </c>
      <c r="R26" s="153">
        <f t="shared" si="12"/>
        <v>0.96344647519582249</v>
      </c>
    </row>
    <row r="27" spans="3:18" x14ac:dyDescent="0.25">
      <c r="C27" s="150">
        <v>21</v>
      </c>
      <c r="D27" s="5">
        <f t="shared" si="13"/>
        <v>9.84</v>
      </c>
      <c r="E27" s="386">
        <f t="shared" si="0"/>
        <v>7.66</v>
      </c>
      <c r="F27" s="191">
        <f t="shared" si="1"/>
        <v>0.43771428571428572</v>
      </c>
      <c r="G27" s="152">
        <f t="shared" si="2"/>
        <v>7.9466153142857143</v>
      </c>
      <c r="H27" s="191">
        <f t="shared" si="3"/>
        <v>0.52977435428571429</v>
      </c>
      <c r="I27" s="386">
        <f t="shared" si="4"/>
        <v>17.5</v>
      </c>
      <c r="J27" s="152">
        <f t="shared" si="5"/>
        <v>1.35</v>
      </c>
      <c r="K27" s="152">
        <f t="shared" si="6"/>
        <v>1.2347560975609757</v>
      </c>
      <c r="L27" s="152">
        <f t="shared" si="7"/>
        <v>1.5861618798955615</v>
      </c>
      <c r="M27" s="386">
        <f t="shared" si="14"/>
        <v>350</v>
      </c>
      <c r="N27" s="175">
        <f t="shared" si="8"/>
        <v>350</v>
      </c>
      <c r="O27" s="191">
        <f t="shared" si="9"/>
        <v>1.3673360544217688</v>
      </c>
      <c r="P27" s="153">
        <f t="shared" si="10"/>
        <v>1.6065306122448981</v>
      </c>
      <c r="Q27" s="153">
        <f t="shared" si="11"/>
        <v>0.19220838250728864</v>
      </c>
      <c r="R27" s="153">
        <f t="shared" si="12"/>
        <v>0.96344647519582249</v>
      </c>
    </row>
    <row r="28" spans="3:18" x14ac:dyDescent="0.25">
      <c r="C28" s="150">
        <v>22</v>
      </c>
      <c r="D28" s="5">
        <f t="shared" si="13"/>
        <v>9.8800000000000008</v>
      </c>
      <c r="E28" s="386">
        <f t="shared" si="0"/>
        <v>7.66</v>
      </c>
      <c r="F28" s="191">
        <f t="shared" si="1"/>
        <v>0.43671607753705816</v>
      </c>
      <c r="G28" s="152">
        <f t="shared" si="2"/>
        <v>7.9607226909920188</v>
      </c>
      <c r="H28" s="191">
        <f t="shared" si="3"/>
        <v>0.53071484606613462</v>
      </c>
      <c r="I28" s="386">
        <f t="shared" si="4"/>
        <v>17.54</v>
      </c>
      <c r="J28" s="152">
        <f t="shared" si="5"/>
        <v>1.35</v>
      </c>
      <c r="K28" s="152">
        <f t="shared" si="6"/>
        <v>1.2297570850202431</v>
      </c>
      <c r="L28" s="152">
        <f t="shared" si="7"/>
        <v>1.5861618798955615</v>
      </c>
      <c r="M28" s="386">
        <f t="shared" si="14"/>
        <v>350</v>
      </c>
      <c r="N28" s="175">
        <f t="shared" si="8"/>
        <v>350</v>
      </c>
      <c r="O28" s="191">
        <f t="shared" si="9"/>
        <v>1.3697634431955983</v>
      </c>
      <c r="P28" s="153">
        <f t="shared" si="10"/>
        <v>1.6093826356084053</v>
      </c>
      <c r="Q28" s="153">
        <f t="shared" si="11"/>
        <v>0.19289143128239042</v>
      </c>
      <c r="R28" s="153">
        <f t="shared" si="12"/>
        <v>0.96344647519582249</v>
      </c>
    </row>
    <row r="29" spans="3:18" x14ac:dyDescent="0.25">
      <c r="C29" s="150">
        <v>23</v>
      </c>
      <c r="D29" s="5">
        <f t="shared" si="13"/>
        <v>9.92</v>
      </c>
      <c r="E29" s="386">
        <f t="shared" si="0"/>
        <v>7.66</v>
      </c>
      <c r="F29" s="191">
        <f t="shared" si="1"/>
        <v>0.43572241183162691</v>
      </c>
      <c r="G29" s="152">
        <f t="shared" si="2"/>
        <v>7.9747658703071682</v>
      </c>
      <c r="H29" s="191">
        <f t="shared" si="3"/>
        <v>0.53165105802047785</v>
      </c>
      <c r="I29" s="386">
        <f t="shared" si="4"/>
        <v>17.579999999999998</v>
      </c>
      <c r="J29" s="152">
        <f t="shared" si="5"/>
        <v>1.35</v>
      </c>
      <c r="K29" s="152">
        <f t="shared" si="6"/>
        <v>1.2247983870967742</v>
      </c>
      <c r="L29" s="152">
        <f t="shared" si="7"/>
        <v>1.5861618798955615</v>
      </c>
      <c r="M29" s="386">
        <f t="shared" si="14"/>
        <v>350</v>
      </c>
      <c r="N29" s="175">
        <f t="shared" si="8"/>
        <v>350</v>
      </c>
      <c r="O29" s="191">
        <f t="shared" si="9"/>
        <v>1.3721797858316631</v>
      </c>
      <c r="P29" s="153">
        <f t="shared" si="10"/>
        <v>1.6122216804810663</v>
      </c>
      <c r="Q29" s="153">
        <f t="shared" si="11"/>
        <v>0.19357257502062142</v>
      </c>
      <c r="R29" s="153">
        <f t="shared" si="12"/>
        <v>0.96344647519582249</v>
      </c>
    </row>
    <row r="30" spans="3:18" x14ac:dyDescent="0.25">
      <c r="C30" s="150">
        <v>24</v>
      </c>
      <c r="D30" s="5">
        <f t="shared" si="13"/>
        <v>9.9600000000000009</v>
      </c>
      <c r="E30" s="386">
        <f t="shared" si="0"/>
        <v>7.66</v>
      </c>
      <c r="F30" s="191">
        <f t="shared" si="1"/>
        <v>0.43473325766174797</v>
      </c>
      <c r="G30" s="152">
        <f t="shared" si="2"/>
        <v>7.9887452894438127</v>
      </c>
      <c r="H30" s="191">
        <f t="shared" si="3"/>
        <v>0.53258301929625418</v>
      </c>
      <c r="I30" s="386">
        <f t="shared" si="4"/>
        <v>17.62</v>
      </c>
      <c r="J30" s="152">
        <f t="shared" si="5"/>
        <v>1.35</v>
      </c>
      <c r="K30" s="152">
        <f t="shared" si="6"/>
        <v>1.2198795180722892</v>
      </c>
      <c r="L30" s="152">
        <f t="shared" si="7"/>
        <v>1.5861618798955615</v>
      </c>
      <c r="M30" s="386">
        <f t="shared" si="14"/>
        <v>350</v>
      </c>
      <c r="N30" s="175">
        <f t="shared" si="8"/>
        <v>350</v>
      </c>
      <c r="O30" s="191">
        <f t="shared" si="9"/>
        <v>1.3745851575590511</v>
      </c>
      <c r="P30" s="153">
        <f t="shared" si="10"/>
        <v>1.6150478352521489</v>
      </c>
      <c r="Q30" s="153">
        <f t="shared" si="11"/>
        <v>0.19425181851997944</v>
      </c>
      <c r="R30" s="153">
        <f t="shared" si="12"/>
        <v>0.96344647519582249</v>
      </c>
    </row>
    <row r="31" spans="3:18" x14ac:dyDescent="0.25">
      <c r="C31" s="150">
        <v>25</v>
      </c>
      <c r="D31" s="5">
        <f t="shared" si="13"/>
        <v>10</v>
      </c>
      <c r="E31" s="386">
        <f t="shared" si="0"/>
        <v>7.66</v>
      </c>
      <c r="F31" s="191">
        <f t="shared" si="1"/>
        <v>0.43374858437146091</v>
      </c>
      <c r="G31" s="152">
        <f t="shared" si="2"/>
        <v>8.0026613816534553</v>
      </c>
      <c r="H31" s="191">
        <f t="shared" si="3"/>
        <v>0.53351075877689702</v>
      </c>
      <c r="I31" s="386">
        <f t="shared" si="4"/>
        <v>17.66</v>
      </c>
      <c r="J31" s="152">
        <f t="shared" si="5"/>
        <v>1.35</v>
      </c>
      <c r="K31" s="152">
        <f t="shared" si="6"/>
        <v>1.2150000000000001</v>
      </c>
      <c r="L31" s="152">
        <f t="shared" si="7"/>
        <v>1.5861618798955615</v>
      </c>
      <c r="M31" s="386">
        <f t="shared" si="14"/>
        <v>350</v>
      </c>
      <c r="N31" s="175">
        <f t="shared" si="8"/>
        <v>350</v>
      </c>
      <c r="O31" s="191">
        <f t="shared" si="9"/>
        <v>1.3769796329252728</v>
      </c>
      <c r="P31" s="153">
        <f t="shared" si="10"/>
        <v>1.6178611875101117</v>
      </c>
      <c r="Q31" s="153">
        <f t="shared" si="11"/>
        <v>0.19492916660890042</v>
      </c>
      <c r="R31" s="153">
        <f t="shared" si="12"/>
        <v>0.96344647519582249</v>
      </c>
    </row>
    <row r="32" spans="3:18" x14ac:dyDescent="0.25">
      <c r="C32" s="150">
        <v>26</v>
      </c>
      <c r="D32" s="5">
        <f t="shared" si="13"/>
        <v>10.039999999999999</v>
      </c>
      <c r="E32" s="386">
        <f t="shared" si="0"/>
        <v>7.66</v>
      </c>
      <c r="F32" s="191">
        <f t="shared" si="1"/>
        <v>0.43276836158192095</v>
      </c>
      <c r="G32" s="152">
        <f t="shared" si="2"/>
        <v>8.0165145762711862</v>
      </c>
      <c r="H32" s="191">
        <f t="shared" si="3"/>
        <v>0.53443430508474576</v>
      </c>
      <c r="I32" s="386">
        <f t="shared" si="4"/>
        <v>17.7</v>
      </c>
      <c r="J32" s="152">
        <f t="shared" si="5"/>
        <v>1.35</v>
      </c>
      <c r="K32" s="152">
        <f t="shared" si="6"/>
        <v>1.2101593625498008</v>
      </c>
      <c r="L32" s="152">
        <f t="shared" si="7"/>
        <v>1.5861618798955615</v>
      </c>
      <c r="M32" s="386">
        <f t="shared" si="14"/>
        <v>350</v>
      </c>
      <c r="N32" s="175">
        <f t="shared" si="8"/>
        <v>350</v>
      </c>
      <c r="O32" s="191">
        <f t="shared" si="9"/>
        <v>1.3793632858039637</v>
      </c>
      <c r="P32" s="153">
        <f t="shared" si="10"/>
        <v>1.6206618240516544</v>
      </c>
      <c r="Q32" s="153">
        <f t="shared" si="11"/>
        <v>0.19560462414508184</v>
      </c>
      <c r="R32" s="153">
        <f t="shared" si="12"/>
        <v>0.96344647519582249</v>
      </c>
    </row>
    <row r="33" spans="3:18" x14ac:dyDescent="0.25">
      <c r="C33" s="150">
        <v>27</v>
      </c>
      <c r="D33" s="5">
        <f t="shared" si="13"/>
        <v>10.08</v>
      </c>
      <c r="E33" s="386">
        <f t="shared" si="0"/>
        <v>7.66</v>
      </c>
      <c r="F33" s="191">
        <f t="shared" si="1"/>
        <v>0.43179255918827503</v>
      </c>
      <c r="G33" s="152">
        <f t="shared" si="2"/>
        <v>8.0303052987598633</v>
      </c>
      <c r="H33" s="191">
        <f t="shared" si="3"/>
        <v>0.53535368658399085</v>
      </c>
      <c r="I33" s="386">
        <f t="shared" si="4"/>
        <v>17.740000000000002</v>
      </c>
      <c r="J33" s="152">
        <f t="shared" si="5"/>
        <v>1.35</v>
      </c>
      <c r="K33" s="152">
        <f t="shared" si="6"/>
        <v>1.2053571428571428</v>
      </c>
      <c r="L33" s="152">
        <f t="shared" si="7"/>
        <v>1.5861618798955615</v>
      </c>
      <c r="M33" s="386">
        <f t="shared" si="14"/>
        <v>350</v>
      </c>
      <c r="N33" s="175">
        <f t="shared" si="8"/>
        <v>350</v>
      </c>
      <c r="O33" s="191">
        <f t="shared" si="9"/>
        <v>1.3817361894024804</v>
      </c>
      <c r="P33" s="153">
        <f t="shared" si="10"/>
        <v>1.6234498308906429</v>
      </c>
      <c r="Q33" s="153">
        <f t="shared" si="11"/>
        <v>0.19627819601433208</v>
      </c>
      <c r="R33" s="153">
        <f t="shared" si="12"/>
        <v>0.96344647519582249</v>
      </c>
    </row>
    <row r="34" spans="3:18" x14ac:dyDescent="0.25">
      <c r="C34" s="150">
        <v>28</v>
      </c>
      <c r="D34" s="5">
        <f t="shared" si="13"/>
        <v>10.120000000000001</v>
      </c>
      <c r="E34" s="386">
        <f t="shared" si="0"/>
        <v>7.66</v>
      </c>
      <c r="F34" s="191">
        <f t="shared" si="1"/>
        <v>0.43082114735658039</v>
      </c>
      <c r="G34" s="152">
        <f t="shared" si="2"/>
        <v>8.0440339707536559</v>
      </c>
      <c r="H34" s="191">
        <f t="shared" si="3"/>
        <v>0.53626893138357701</v>
      </c>
      <c r="I34" s="386">
        <f t="shared" si="4"/>
        <v>17.78</v>
      </c>
      <c r="J34" s="152">
        <f t="shared" si="5"/>
        <v>1.35</v>
      </c>
      <c r="K34" s="152">
        <f t="shared" si="6"/>
        <v>1.2005928853754941</v>
      </c>
      <c r="L34" s="152">
        <f t="shared" si="7"/>
        <v>1.5861618798955615</v>
      </c>
      <c r="M34" s="386">
        <f t="shared" si="14"/>
        <v>350</v>
      </c>
      <c r="N34" s="175">
        <f t="shared" si="8"/>
        <v>350</v>
      </c>
      <c r="O34" s="191">
        <f t="shared" si="9"/>
        <v>1.3840984162693952</v>
      </c>
      <c r="P34" s="153">
        <f t="shared" si="10"/>
        <v>1.6262252932669135</v>
      </c>
      <c r="Q34" s="153">
        <f t="shared" si="11"/>
        <v>0.19694988712944717</v>
      </c>
      <c r="R34" s="153">
        <f t="shared" si="12"/>
        <v>0.96344647519582249</v>
      </c>
    </row>
    <row r="35" spans="3:18" x14ac:dyDescent="0.25">
      <c r="C35" s="150">
        <v>29</v>
      </c>
      <c r="D35" s="5">
        <f t="shared" si="13"/>
        <v>10.16</v>
      </c>
      <c r="E35" s="386">
        <f t="shared" si="0"/>
        <v>7.66</v>
      </c>
      <c r="F35" s="191">
        <f t="shared" si="1"/>
        <v>0.42985409652076317</v>
      </c>
      <c r="G35" s="152">
        <f t="shared" si="2"/>
        <v>8.0577010101010096</v>
      </c>
      <c r="H35" s="191">
        <f t="shared" si="3"/>
        <v>0.53718006734006729</v>
      </c>
      <c r="I35" s="386">
        <f t="shared" si="4"/>
        <v>17.82</v>
      </c>
      <c r="J35" s="152">
        <f t="shared" si="5"/>
        <v>1.35</v>
      </c>
      <c r="K35" s="152">
        <f t="shared" si="6"/>
        <v>1.1958661417322833</v>
      </c>
      <c r="L35" s="152">
        <f t="shared" si="7"/>
        <v>1.5861618798955615</v>
      </c>
      <c r="M35" s="386">
        <f t="shared" si="14"/>
        <v>350</v>
      </c>
      <c r="N35" s="175">
        <f t="shared" si="8"/>
        <v>350</v>
      </c>
      <c r="O35" s="191">
        <f t="shared" si="9"/>
        <v>1.3864500383018903</v>
      </c>
      <c r="P35" s="153">
        <f t="shared" si="10"/>
        <v>1.6289882956549624</v>
      </c>
      <c r="Q35" s="153">
        <f t="shared" si="11"/>
        <v>0.19761970242911345</v>
      </c>
      <c r="R35" s="153">
        <f t="shared" si="12"/>
        <v>0.96344647519582249</v>
      </c>
    </row>
    <row r="36" spans="3:18" x14ac:dyDescent="0.25">
      <c r="C36" s="150">
        <v>30</v>
      </c>
      <c r="D36" s="5">
        <f t="shared" si="13"/>
        <v>10.199999999999999</v>
      </c>
      <c r="E36" s="386">
        <f t="shared" si="0"/>
        <v>7.66</v>
      </c>
      <c r="F36" s="191">
        <f t="shared" si="1"/>
        <v>0.4288913773796193</v>
      </c>
      <c r="G36" s="152">
        <f t="shared" si="2"/>
        <v>8.071306830907055</v>
      </c>
      <c r="H36" s="191">
        <f t="shared" si="3"/>
        <v>0.53808712206047038</v>
      </c>
      <c r="I36" s="386">
        <f t="shared" si="4"/>
        <v>17.86</v>
      </c>
      <c r="J36" s="152">
        <f t="shared" si="5"/>
        <v>1.35</v>
      </c>
      <c r="K36" s="152">
        <f t="shared" si="6"/>
        <v>1.1911764705882355</v>
      </c>
      <c r="L36" s="152">
        <f t="shared" si="7"/>
        <v>1.5861618798955615</v>
      </c>
      <c r="M36" s="386">
        <f t="shared" si="14"/>
        <v>350</v>
      </c>
      <c r="N36" s="175">
        <f t="shared" si="8"/>
        <v>350</v>
      </c>
      <c r="O36" s="191">
        <f t="shared" si="9"/>
        <v>1.3887911267530528</v>
      </c>
      <c r="P36" s="153">
        <f t="shared" si="10"/>
        <v>1.6317389217725162</v>
      </c>
      <c r="Q36" s="153">
        <f t="shared" si="11"/>
        <v>0.19828764687683562</v>
      </c>
      <c r="R36" s="153">
        <f t="shared" si="12"/>
        <v>0.96344647519582249</v>
      </c>
    </row>
    <row r="37" spans="3:18" x14ac:dyDescent="0.25">
      <c r="C37" s="150">
        <v>31</v>
      </c>
      <c r="D37" s="5">
        <f t="shared" si="13"/>
        <v>10.24</v>
      </c>
      <c r="E37" s="386">
        <f t="shared" si="0"/>
        <v>7.66</v>
      </c>
      <c r="F37" s="191">
        <f t="shared" si="1"/>
        <v>0.4279329608938548</v>
      </c>
      <c r="G37" s="152">
        <f t="shared" si="2"/>
        <v>8.0848518435754197</v>
      </c>
      <c r="H37" s="191">
        <f t="shared" si="3"/>
        <v>0.53899012290502801</v>
      </c>
      <c r="I37" s="386">
        <f t="shared" si="4"/>
        <v>17.899999999999999</v>
      </c>
      <c r="J37" s="152">
        <f t="shared" si="5"/>
        <v>1.35</v>
      </c>
      <c r="K37" s="152">
        <f t="shared" si="6"/>
        <v>1.1865234375</v>
      </c>
      <c r="L37" s="152">
        <f t="shared" si="7"/>
        <v>1.5861618798955615</v>
      </c>
      <c r="M37" s="386">
        <f t="shared" si="14"/>
        <v>350</v>
      </c>
      <c r="N37" s="175">
        <f t="shared" si="8"/>
        <v>350</v>
      </c>
      <c r="O37" s="191">
        <f t="shared" si="9"/>
        <v>1.3911217522390709</v>
      </c>
      <c r="P37" s="153">
        <f t="shared" si="10"/>
        <v>1.6344772545889865</v>
      </c>
      <c r="Q37" s="153">
        <f t="shared" si="11"/>
        <v>0.19895372545988949</v>
      </c>
      <c r="R37" s="153">
        <f t="shared" si="12"/>
        <v>0.96344647519582249</v>
      </c>
    </row>
    <row r="38" spans="3:18" x14ac:dyDescent="0.25">
      <c r="C38" s="150">
        <v>32</v>
      </c>
      <c r="D38" s="5">
        <f t="shared" si="13"/>
        <v>10.28</v>
      </c>
      <c r="E38" s="386">
        <f t="shared" ref="E38:E69" si="15">(Vout+Vfwd1)*Nps</f>
        <v>7.66</v>
      </c>
      <c r="F38" s="191">
        <f t="shared" ref="F38:F69" si="16">(Vout+Vfwd1)*Nps/((Vout+Vfwd1)*Nps+D38)</f>
        <v>0.42697881828316619</v>
      </c>
      <c r="G38" s="152">
        <f t="shared" ref="G38:G69" si="17">F38*D38*Isw_max*0.5*Efficiency</f>
        <v>8.0983364548495</v>
      </c>
      <c r="H38" s="191">
        <f t="shared" ref="H38:H69" si="18">G38/Vout</f>
        <v>0.53988909698996668</v>
      </c>
      <c r="I38" s="386">
        <f t="shared" ref="I38:I69" si="19">(Vout+Vfwd1)*Nps+D38</f>
        <v>17.939999999999998</v>
      </c>
      <c r="J38" s="152">
        <f t="shared" ref="J38:J69" si="20">MIN(2*Vout*Iout/(Efficiency*D38*F38), 1.35)</f>
        <v>1.35</v>
      </c>
      <c r="K38" s="152">
        <f t="shared" ref="K38:K69" si="21">L*J38/D38*1000000</f>
        <v>1.1819066147859922</v>
      </c>
      <c r="L38" s="152">
        <f t="shared" ref="L38:L69" si="22">L*J38/((Vout+Vfwd1)*Nps)*1000000</f>
        <v>1.5861618798955615</v>
      </c>
      <c r="M38" s="386">
        <f t="shared" si="14"/>
        <v>350</v>
      </c>
      <c r="N38" s="175">
        <f t="shared" ref="N38:N69" si="23">IF(1/((350000*L)*(1/D38+1/E38))&gt;Isw_min, 350, 0.001/((Isw_min*L)*(1/D38+1/E38)))</f>
        <v>350</v>
      </c>
      <c r="O38" s="191">
        <f t="shared" ref="O38:O69" si="24">1/((N38*1000*L)*(1/D38+1/E38))</f>
        <v>1.3934419847463329</v>
      </c>
      <c r="P38" s="153">
        <f t="shared" ref="P38:P69" si="25">L*O38/E38*1000000</f>
        <v>1.6372033763338116</v>
      </c>
      <c r="Q38" s="153">
        <f t="shared" ref="Q38:Q69" si="26">0.5*P38*O38*Nps*N38/1000</f>
        <v>0.19961794318829859</v>
      </c>
      <c r="R38" s="153">
        <f t="shared" ref="R38:R69" si="27">L*Isw_min/E38*1000000</f>
        <v>0.96344647519582249</v>
      </c>
    </row>
    <row r="39" spans="3:18" x14ac:dyDescent="0.25">
      <c r="C39" s="150">
        <v>33</v>
      </c>
      <c r="D39" s="5">
        <f t="shared" ref="D39:D70" si="28">C39/100*(VIN_max-VIN_min)+VIN_min</f>
        <v>10.32</v>
      </c>
      <c r="E39" s="386">
        <f t="shared" si="15"/>
        <v>7.66</v>
      </c>
      <c r="F39" s="191">
        <f t="shared" si="16"/>
        <v>0.42602892102335926</v>
      </c>
      <c r="G39" s="152">
        <f t="shared" si="17"/>
        <v>8.1117610678531697</v>
      </c>
      <c r="H39" s="191">
        <f t="shared" si="18"/>
        <v>0.54078407119021132</v>
      </c>
      <c r="I39" s="386">
        <f t="shared" si="19"/>
        <v>17.98</v>
      </c>
      <c r="J39" s="152">
        <f t="shared" si="20"/>
        <v>1.35</v>
      </c>
      <c r="K39" s="152">
        <f t="shared" si="21"/>
        <v>1.1773255813953489</v>
      </c>
      <c r="L39" s="152">
        <f t="shared" si="22"/>
        <v>1.5861618798955615</v>
      </c>
      <c r="M39" s="386">
        <f t="shared" si="14"/>
        <v>350</v>
      </c>
      <c r="N39" s="175">
        <f t="shared" si="23"/>
        <v>350</v>
      </c>
      <c r="O39" s="191">
        <f t="shared" si="24"/>
        <v>1.3957518936384343</v>
      </c>
      <c r="P39" s="153">
        <f t="shared" si="25"/>
        <v>1.6399173685046879</v>
      </c>
      <c r="Q39" s="153">
        <f t="shared" si="26"/>
        <v>0.2002803050938354</v>
      </c>
      <c r="R39" s="153">
        <f t="shared" si="27"/>
        <v>0.96344647519582249</v>
      </c>
    </row>
    <row r="40" spans="3:18" x14ac:dyDescent="0.25">
      <c r="C40" s="150">
        <v>34</v>
      </c>
      <c r="D40" s="5">
        <f t="shared" si="28"/>
        <v>10.36</v>
      </c>
      <c r="E40" s="386">
        <f t="shared" si="15"/>
        <v>7.66</v>
      </c>
      <c r="F40" s="191">
        <f t="shared" si="16"/>
        <v>0.42508324084350724</v>
      </c>
      <c r="G40" s="152">
        <f t="shared" si="17"/>
        <v>8.125126082130965</v>
      </c>
      <c r="H40" s="191">
        <f t="shared" si="18"/>
        <v>0.54167507214206434</v>
      </c>
      <c r="I40" s="386">
        <f t="shared" si="19"/>
        <v>18.02</v>
      </c>
      <c r="J40" s="152">
        <f t="shared" si="20"/>
        <v>1.35</v>
      </c>
      <c r="K40" s="152">
        <f t="shared" si="21"/>
        <v>1.1727799227799229</v>
      </c>
      <c r="L40" s="152">
        <f t="shared" si="22"/>
        <v>1.5861618798955615</v>
      </c>
      <c r="M40" s="386">
        <f t="shared" si="14"/>
        <v>350</v>
      </c>
      <c r="N40" s="175">
        <f t="shared" si="23"/>
        <v>350</v>
      </c>
      <c r="O40" s="191">
        <f t="shared" si="24"/>
        <v>1.3980515476630906</v>
      </c>
      <c r="P40" s="153">
        <f t="shared" si="25"/>
        <v>1.6426193118756938</v>
      </c>
      <c r="Q40" s="153">
        <f t="shared" si="26"/>
        <v>0.20094081622904578</v>
      </c>
      <c r="R40" s="153">
        <f t="shared" si="27"/>
        <v>0.96344647519582249</v>
      </c>
    </row>
    <row r="41" spans="3:18" x14ac:dyDescent="0.25">
      <c r="C41" s="150">
        <v>35</v>
      </c>
      <c r="D41" s="5">
        <f t="shared" si="28"/>
        <v>10.4</v>
      </c>
      <c r="E41" s="386">
        <f t="shared" si="15"/>
        <v>7.66</v>
      </c>
      <c r="F41" s="191">
        <f t="shared" si="16"/>
        <v>0.424141749723145</v>
      </c>
      <c r="G41" s="152">
        <f t="shared" si="17"/>
        <v>8.1384318936877058</v>
      </c>
      <c r="H41" s="191">
        <f t="shared" si="18"/>
        <v>0.5425621262458471</v>
      </c>
      <c r="I41" s="386">
        <f t="shared" si="19"/>
        <v>18.060000000000002</v>
      </c>
      <c r="J41" s="152">
        <f t="shared" si="20"/>
        <v>1.35</v>
      </c>
      <c r="K41" s="152">
        <f t="shared" si="21"/>
        <v>1.1682692307692306</v>
      </c>
      <c r="L41" s="152">
        <f t="shared" si="22"/>
        <v>1.5861618798955615</v>
      </c>
      <c r="M41" s="386">
        <f t="shared" si="14"/>
        <v>350</v>
      </c>
      <c r="N41" s="175">
        <f t="shared" si="23"/>
        <v>350</v>
      </c>
      <c r="O41" s="191">
        <f t="shared" si="24"/>
        <v>1.4003410149589552</v>
      </c>
      <c r="P41" s="153">
        <f t="shared" si="25"/>
        <v>1.6453092865053001</v>
      </c>
      <c r="Q41" s="153">
        <f t="shared" si="26"/>
        <v>0.20159948166629482</v>
      </c>
      <c r="R41" s="153">
        <f t="shared" si="27"/>
        <v>0.96344647519582249</v>
      </c>
    </row>
    <row r="42" spans="3:18" x14ac:dyDescent="0.25">
      <c r="C42" s="150">
        <v>36</v>
      </c>
      <c r="D42" s="5">
        <f t="shared" si="28"/>
        <v>10.44</v>
      </c>
      <c r="E42" s="386">
        <f t="shared" si="15"/>
        <v>7.66</v>
      </c>
      <c r="F42" s="191">
        <f t="shared" si="16"/>
        <v>0.42320441988950275</v>
      </c>
      <c r="G42" s="152">
        <f t="shared" si="17"/>
        <v>8.151678895027624</v>
      </c>
      <c r="H42" s="191">
        <f t="shared" si="18"/>
        <v>0.54344525966850832</v>
      </c>
      <c r="I42" s="386">
        <f t="shared" si="19"/>
        <v>18.100000000000001</v>
      </c>
      <c r="J42" s="152">
        <f t="shared" si="20"/>
        <v>1.35</v>
      </c>
      <c r="K42" s="152">
        <f t="shared" si="21"/>
        <v>1.163793103448276</v>
      </c>
      <c r="L42" s="152">
        <f t="shared" si="22"/>
        <v>1.5861618798955615</v>
      </c>
      <c r="M42" s="386">
        <f t="shared" si="14"/>
        <v>350</v>
      </c>
      <c r="N42" s="175">
        <f t="shared" si="23"/>
        <v>350</v>
      </c>
      <c r="O42" s="191">
        <f t="shared" si="24"/>
        <v>1.4026203630623519</v>
      </c>
      <c r="P42" s="153">
        <f t="shared" si="25"/>
        <v>1.6479873717442779</v>
      </c>
      <c r="Q42" s="153">
        <f t="shared" si="26"/>
        <v>0.2022563064968364</v>
      </c>
      <c r="R42" s="153">
        <f t="shared" si="27"/>
        <v>0.96344647519582249</v>
      </c>
    </row>
    <row r="43" spans="3:18" x14ac:dyDescent="0.25">
      <c r="C43" s="150">
        <v>37</v>
      </c>
      <c r="D43" s="5">
        <f t="shared" si="28"/>
        <v>10.48</v>
      </c>
      <c r="E43" s="386">
        <f t="shared" si="15"/>
        <v>7.66</v>
      </c>
      <c r="F43" s="191">
        <f t="shared" si="16"/>
        <v>0.422271223814774</v>
      </c>
      <c r="G43" s="152">
        <f t="shared" si="17"/>
        <v>8.1648674751929438</v>
      </c>
      <c r="H43" s="191">
        <f t="shared" si="18"/>
        <v>0.54432449834619623</v>
      </c>
      <c r="I43" s="386">
        <f t="shared" si="19"/>
        <v>18.14</v>
      </c>
      <c r="J43" s="152">
        <f t="shared" si="20"/>
        <v>1.35</v>
      </c>
      <c r="K43" s="152">
        <f t="shared" si="21"/>
        <v>1.1593511450381679</v>
      </c>
      <c r="L43" s="152">
        <f t="shared" si="22"/>
        <v>1.5861618798955615</v>
      </c>
      <c r="M43" s="386">
        <f t="shared" si="14"/>
        <v>350</v>
      </c>
      <c r="N43" s="175">
        <f t="shared" si="23"/>
        <v>350</v>
      </c>
      <c r="O43" s="191">
        <f t="shared" si="24"/>
        <v>1.4048896589139148</v>
      </c>
      <c r="P43" s="153">
        <f t="shared" si="25"/>
        <v>1.6506536462435033</v>
      </c>
      <c r="Q43" s="153">
        <f t="shared" si="26"/>
        <v>0.20291129582990397</v>
      </c>
      <c r="R43" s="153">
        <f t="shared" si="27"/>
        <v>0.96344647519582249</v>
      </c>
    </row>
    <row r="44" spans="3:18" x14ac:dyDescent="0.25">
      <c r="C44" s="150">
        <v>38</v>
      </c>
      <c r="D44" s="5">
        <f t="shared" si="28"/>
        <v>10.52</v>
      </c>
      <c r="E44" s="386">
        <f t="shared" si="15"/>
        <v>7.66</v>
      </c>
      <c r="F44" s="191">
        <f t="shared" si="16"/>
        <v>0.42134213421342137</v>
      </c>
      <c r="G44" s="152">
        <f t="shared" si="17"/>
        <v>8.1779980198019793</v>
      </c>
      <c r="H44" s="191">
        <f t="shared" si="18"/>
        <v>0.54519986798679865</v>
      </c>
      <c r="I44" s="386">
        <f t="shared" si="19"/>
        <v>18.18</v>
      </c>
      <c r="J44" s="152">
        <f t="shared" si="20"/>
        <v>1.35</v>
      </c>
      <c r="K44" s="152">
        <f t="shared" si="21"/>
        <v>1.1549429657794676</v>
      </c>
      <c r="L44" s="152">
        <f t="shared" si="22"/>
        <v>1.5861618798955615</v>
      </c>
      <c r="M44" s="386">
        <f t="shared" si="14"/>
        <v>350</v>
      </c>
      <c r="N44" s="175">
        <f t="shared" si="23"/>
        <v>350</v>
      </c>
      <c r="O44" s="191">
        <f t="shared" si="24"/>
        <v>1.4071489688651406</v>
      </c>
      <c r="P44" s="153">
        <f t="shared" si="25"/>
        <v>1.6533081879616534</v>
      </c>
      <c r="Q44" s="153">
        <f t="shared" si="26"/>
        <v>0.20356445479182178</v>
      </c>
      <c r="R44" s="153">
        <f t="shared" si="27"/>
        <v>0.96344647519582249</v>
      </c>
    </row>
    <row r="45" spans="3:18" x14ac:dyDescent="0.25">
      <c r="C45" s="150">
        <v>39</v>
      </c>
      <c r="D45" s="5">
        <f t="shared" si="28"/>
        <v>10.56</v>
      </c>
      <c r="E45" s="386">
        <f t="shared" si="15"/>
        <v>7.66</v>
      </c>
      <c r="F45" s="191">
        <f t="shared" si="16"/>
        <v>0.42041712403951703</v>
      </c>
      <c r="G45" s="152">
        <f t="shared" si="17"/>
        <v>8.1910709110867188</v>
      </c>
      <c r="H45" s="191">
        <f t="shared" si="18"/>
        <v>0.54607139407244787</v>
      </c>
      <c r="I45" s="386">
        <f t="shared" si="19"/>
        <v>18.22</v>
      </c>
      <c r="J45" s="152">
        <f t="shared" si="20"/>
        <v>1.35</v>
      </c>
      <c r="K45" s="152">
        <f t="shared" si="21"/>
        <v>1.1505681818181819</v>
      </c>
      <c r="L45" s="152">
        <f t="shared" si="22"/>
        <v>1.5861618798955615</v>
      </c>
      <c r="M45" s="386">
        <f t="shared" si="14"/>
        <v>350</v>
      </c>
      <c r="N45" s="175">
        <f t="shared" si="23"/>
        <v>350</v>
      </c>
      <c r="O45" s="191">
        <f t="shared" si="24"/>
        <v>1.4093983586848571</v>
      </c>
      <c r="P45" s="153">
        <f t="shared" si="25"/>
        <v>1.6559510741728085</v>
      </c>
      <c r="Q45" s="153">
        <f t="shared" si="26"/>
        <v>0.20421578852513847</v>
      </c>
      <c r="R45" s="153">
        <f t="shared" si="27"/>
        <v>0.96344647519582249</v>
      </c>
    </row>
    <row r="46" spans="3:18" x14ac:dyDescent="0.25">
      <c r="C46" s="150">
        <v>40</v>
      </c>
      <c r="D46" s="5">
        <f t="shared" si="28"/>
        <v>10.6</v>
      </c>
      <c r="E46" s="386">
        <f t="shared" si="15"/>
        <v>7.66</v>
      </c>
      <c r="F46" s="191">
        <f t="shared" si="16"/>
        <v>0.41949616648411836</v>
      </c>
      <c r="G46" s="152">
        <f t="shared" si="17"/>
        <v>8.2040865279299009</v>
      </c>
      <c r="H46" s="191">
        <f t="shared" si="18"/>
        <v>0.54693910186199335</v>
      </c>
      <c r="I46" s="386">
        <f t="shared" si="19"/>
        <v>18.259999999999998</v>
      </c>
      <c r="J46" s="152">
        <f t="shared" si="20"/>
        <v>1.35</v>
      </c>
      <c r="K46" s="152">
        <f t="shared" si="21"/>
        <v>1.1462264150943398</v>
      </c>
      <c r="L46" s="152">
        <f t="shared" si="22"/>
        <v>1.5861618798955615</v>
      </c>
      <c r="M46" s="386">
        <f t="shared" si="14"/>
        <v>350</v>
      </c>
      <c r="N46" s="175">
        <f t="shared" si="23"/>
        <v>350</v>
      </c>
      <c r="O46" s="191">
        <f t="shared" si="24"/>
        <v>1.4116378935656044</v>
      </c>
      <c r="P46" s="153">
        <f t="shared" si="25"/>
        <v>1.6585823814739478</v>
      </c>
      <c r="Q46" s="153">
        <f t="shared" si="26"/>
        <v>0.2048653021877794</v>
      </c>
      <c r="R46" s="153">
        <f t="shared" si="27"/>
        <v>0.96344647519582249</v>
      </c>
    </row>
    <row r="47" spans="3:18" x14ac:dyDescent="0.25">
      <c r="C47" s="150">
        <v>41</v>
      </c>
      <c r="D47" s="5">
        <f t="shared" si="28"/>
        <v>10.64</v>
      </c>
      <c r="E47" s="386">
        <f t="shared" si="15"/>
        <v>7.66</v>
      </c>
      <c r="F47" s="191">
        <f t="shared" si="16"/>
        <v>0.41857923497267757</v>
      </c>
      <c r="G47" s="152">
        <f t="shared" si="17"/>
        <v>8.2170452459016392</v>
      </c>
      <c r="H47" s="191">
        <f t="shared" si="18"/>
        <v>0.54780301639344264</v>
      </c>
      <c r="I47" s="386">
        <f t="shared" si="19"/>
        <v>18.3</v>
      </c>
      <c r="J47" s="152">
        <f t="shared" si="20"/>
        <v>1.35</v>
      </c>
      <c r="K47" s="152">
        <f t="shared" si="21"/>
        <v>1.1419172932330828</v>
      </c>
      <c r="L47" s="152">
        <f t="shared" si="22"/>
        <v>1.5861618798955615</v>
      </c>
      <c r="M47" s="386">
        <f t="shared" si="14"/>
        <v>350</v>
      </c>
      <c r="N47" s="175">
        <f t="shared" si="23"/>
        <v>350</v>
      </c>
      <c r="O47" s="191">
        <f t="shared" si="24"/>
        <v>1.4138676381299335</v>
      </c>
      <c r="P47" s="153">
        <f t="shared" si="25"/>
        <v>1.66120218579235</v>
      </c>
      <c r="Q47" s="153">
        <f t="shared" si="26"/>
        <v>0.20551300095221986</v>
      </c>
      <c r="R47" s="153">
        <f t="shared" si="27"/>
        <v>0.96344647519582249</v>
      </c>
    </row>
    <row r="48" spans="3:18" x14ac:dyDescent="0.25">
      <c r="C48" s="150">
        <v>42</v>
      </c>
      <c r="D48" s="5">
        <f t="shared" si="28"/>
        <v>10.68</v>
      </c>
      <c r="E48" s="386">
        <f t="shared" si="15"/>
        <v>7.66</v>
      </c>
      <c r="F48" s="191">
        <f t="shared" si="16"/>
        <v>0.41766630316248637</v>
      </c>
      <c r="G48" s="152">
        <f t="shared" si="17"/>
        <v>8.229947437295527</v>
      </c>
      <c r="H48" s="191">
        <f t="shared" si="18"/>
        <v>0.54866316248636848</v>
      </c>
      <c r="I48" s="386">
        <f t="shared" si="19"/>
        <v>18.34</v>
      </c>
      <c r="J48" s="152">
        <f t="shared" si="20"/>
        <v>1.35</v>
      </c>
      <c r="K48" s="152">
        <f t="shared" si="21"/>
        <v>1.1376404494382024</v>
      </c>
      <c r="L48" s="152">
        <f t="shared" si="22"/>
        <v>1.5861618798955615</v>
      </c>
      <c r="M48" s="386">
        <f t="shared" si="14"/>
        <v>350</v>
      </c>
      <c r="N48" s="175">
        <f t="shared" si="23"/>
        <v>350</v>
      </c>
      <c r="O48" s="191">
        <f t="shared" si="24"/>
        <v>1.4160876564366205</v>
      </c>
      <c r="P48" s="153">
        <f t="shared" si="25"/>
        <v>1.663810562392896</v>
      </c>
      <c r="Q48" s="153">
        <f t="shared" si="26"/>
        <v>0.20615889000467699</v>
      </c>
      <c r="R48" s="153">
        <f t="shared" si="27"/>
        <v>0.96344647519582249</v>
      </c>
    </row>
    <row r="49" spans="3:18" x14ac:dyDescent="0.25">
      <c r="C49" s="150">
        <v>43</v>
      </c>
      <c r="D49" s="5">
        <f t="shared" si="28"/>
        <v>10.72</v>
      </c>
      <c r="E49" s="386">
        <f t="shared" si="15"/>
        <v>7.66</v>
      </c>
      <c r="F49" s="191">
        <f t="shared" si="16"/>
        <v>0.41675734494015226</v>
      </c>
      <c r="G49" s="152">
        <f t="shared" si="17"/>
        <v>8.2427934711643065</v>
      </c>
      <c r="H49" s="191">
        <f t="shared" si="18"/>
        <v>0.54951956474428709</v>
      </c>
      <c r="I49" s="386">
        <f t="shared" si="19"/>
        <v>18.380000000000003</v>
      </c>
      <c r="J49" s="152">
        <f t="shared" si="20"/>
        <v>1.35</v>
      </c>
      <c r="K49" s="152">
        <f t="shared" si="21"/>
        <v>1.1333955223880599</v>
      </c>
      <c r="L49" s="152">
        <f t="shared" si="22"/>
        <v>1.5861618798955615</v>
      </c>
      <c r="M49" s="386">
        <f t="shared" si="14"/>
        <v>350</v>
      </c>
      <c r="N49" s="175">
        <f t="shared" si="23"/>
        <v>350</v>
      </c>
      <c r="O49" s="191">
        <f t="shared" si="24"/>
        <v>1.4182980119868043</v>
      </c>
      <c r="P49" s="153">
        <f t="shared" si="25"/>
        <v>1.6664075858852792</v>
      </c>
      <c r="Q49" s="153">
        <f t="shared" si="26"/>
        <v>0.20680297454432184</v>
      </c>
      <c r="R49" s="153">
        <f t="shared" si="27"/>
        <v>0.96344647519582249</v>
      </c>
    </row>
    <row r="50" spans="3:18" x14ac:dyDescent="0.25">
      <c r="C50" s="150">
        <v>44</v>
      </c>
      <c r="D50" s="5">
        <f t="shared" si="28"/>
        <v>10.76</v>
      </c>
      <c r="E50" s="386">
        <f t="shared" si="15"/>
        <v>7.66</v>
      </c>
      <c r="F50" s="191">
        <f t="shared" si="16"/>
        <v>0.41585233441910963</v>
      </c>
      <c r="G50" s="152">
        <f t="shared" si="17"/>
        <v>8.2555837133550476</v>
      </c>
      <c r="H50" s="191">
        <f t="shared" si="18"/>
        <v>0.5503722475570032</v>
      </c>
      <c r="I50" s="386">
        <f t="shared" si="19"/>
        <v>18.420000000000002</v>
      </c>
      <c r="J50" s="152">
        <f t="shared" si="20"/>
        <v>1.35</v>
      </c>
      <c r="K50" s="152">
        <f t="shared" si="21"/>
        <v>1.1291821561338291</v>
      </c>
      <c r="L50" s="152">
        <f t="shared" si="22"/>
        <v>1.5861618798955615</v>
      </c>
      <c r="M50" s="386">
        <f t="shared" si="14"/>
        <v>350</v>
      </c>
      <c r="N50" s="175">
        <f t="shared" si="23"/>
        <v>350</v>
      </c>
      <c r="O50" s="191">
        <f t="shared" si="24"/>
        <v>1.4204987677300382</v>
      </c>
      <c r="P50" s="153">
        <f t="shared" si="25"/>
        <v>1.6689933302311155</v>
      </c>
      <c r="Q50" s="153">
        <f t="shared" si="26"/>
        <v>0.20744525978250836</v>
      </c>
      <c r="R50" s="153">
        <f t="shared" si="27"/>
        <v>0.96344647519582249</v>
      </c>
    </row>
    <row r="51" spans="3:18" x14ac:dyDescent="0.25">
      <c r="C51" s="150">
        <v>45</v>
      </c>
      <c r="D51" s="5">
        <f t="shared" si="28"/>
        <v>10.8</v>
      </c>
      <c r="E51" s="386">
        <f t="shared" si="15"/>
        <v>7.66</v>
      </c>
      <c r="F51" s="191">
        <f t="shared" si="16"/>
        <v>0.41495124593716143</v>
      </c>
      <c r="G51" s="152">
        <f t="shared" si="17"/>
        <v>8.2683185265438777</v>
      </c>
      <c r="H51" s="191">
        <f t="shared" si="18"/>
        <v>0.5512212351029252</v>
      </c>
      <c r="I51" s="386">
        <f t="shared" si="19"/>
        <v>18.46</v>
      </c>
      <c r="J51" s="152">
        <f t="shared" si="20"/>
        <v>1.35</v>
      </c>
      <c r="K51" s="152">
        <f t="shared" si="21"/>
        <v>1.125</v>
      </c>
      <c r="L51" s="152">
        <f t="shared" si="22"/>
        <v>1.5861618798955615</v>
      </c>
      <c r="M51" s="386">
        <f t="shared" si="14"/>
        <v>350</v>
      </c>
      <c r="N51" s="175">
        <f t="shared" si="23"/>
        <v>350</v>
      </c>
      <c r="O51" s="191">
        <f t="shared" si="24"/>
        <v>1.4226899860702678</v>
      </c>
      <c r="P51" s="153">
        <f t="shared" si="25"/>
        <v>1.6715678687509672</v>
      </c>
      <c r="Q51" s="153">
        <f t="shared" si="26"/>
        <v>0.20808575094202181</v>
      </c>
      <c r="R51" s="153">
        <f t="shared" si="27"/>
        <v>0.96344647519582249</v>
      </c>
    </row>
    <row r="52" spans="3:18" x14ac:dyDescent="0.25">
      <c r="C52" s="150">
        <v>46</v>
      </c>
      <c r="D52" s="5">
        <f t="shared" si="28"/>
        <v>10.84</v>
      </c>
      <c r="E52" s="386">
        <f t="shared" si="15"/>
        <v>7.66</v>
      </c>
      <c r="F52" s="191">
        <f t="shared" si="16"/>
        <v>0.41405405405405404</v>
      </c>
      <c r="G52" s="152">
        <f t="shared" si="17"/>
        <v>8.2809982702702687</v>
      </c>
      <c r="H52" s="191">
        <f t="shared" si="18"/>
        <v>0.5520665513513513</v>
      </c>
      <c r="I52" s="386">
        <f t="shared" si="19"/>
        <v>18.5</v>
      </c>
      <c r="J52" s="152">
        <f t="shared" si="20"/>
        <v>1.35</v>
      </c>
      <c r="K52" s="152">
        <f t="shared" si="21"/>
        <v>1.1208487084870851</v>
      </c>
      <c r="L52" s="152">
        <f t="shared" si="22"/>
        <v>1.5861618798955615</v>
      </c>
      <c r="M52" s="386">
        <f t="shared" si="14"/>
        <v>350</v>
      </c>
      <c r="N52" s="175">
        <f t="shared" si="23"/>
        <v>350</v>
      </c>
      <c r="O52" s="191">
        <f t="shared" si="24"/>
        <v>1.4248717288717292</v>
      </c>
      <c r="P52" s="153">
        <f t="shared" si="25"/>
        <v>1.6741312741312746</v>
      </c>
      <c r="Q52" s="153">
        <f t="shared" si="26"/>
        <v>0.20872445325634525</v>
      </c>
      <c r="R52" s="153">
        <f t="shared" si="27"/>
        <v>0.96344647519582249</v>
      </c>
    </row>
    <row r="53" spans="3:18" x14ac:dyDescent="0.25">
      <c r="C53" s="150">
        <v>47</v>
      </c>
      <c r="D53" s="5">
        <f t="shared" si="28"/>
        <v>10.879999999999999</v>
      </c>
      <c r="E53" s="386">
        <f t="shared" si="15"/>
        <v>7.66</v>
      </c>
      <c r="F53" s="191">
        <f t="shared" si="16"/>
        <v>0.41316073354908311</v>
      </c>
      <c r="G53" s="152">
        <f t="shared" si="17"/>
        <v>8.2936233009708733</v>
      </c>
      <c r="H53" s="191">
        <f t="shared" si="18"/>
        <v>0.55290822006472484</v>
      </c>
      <c r="I53" s="386">
        <f t="shared" si="19"/>
        <v>18.54</v>
      </c>
      <c r="J53" s="152">
        <f t="shared" si="20"/>
        <v>1.35</v>
      </c>
      <c r="K53" s="152">
        <f t="shared" si="21"/>
        <v>1.1167279411764708</v>
      </c>
      <c r="L53" s="152">
        <f t="shared" si="22"/>
        <v>1.5861618798955615</v>
      </c>
      <c r="M53" s="386">
        <f t="shared" si="14"/>
        <v>350</v>
      </c>
      <c r="N53" s="175">
        <f t="shared" si="23"/>
        <v>350</v>
      </c>
      <c r="O53" s="191">
        <f t="shared" si="24"/>
        <v>1.4270440574647696</v>
      </c>
      <c r="P53" s="153">
        <f t="shared" si="25"/>
        <v>1.6766836184311915</v>
      </c>
      <c r="Q53" s="153">
        <f t="shared" si="26"/>
        <v>0.20936137196894139</v>
      </c>
      <c r="R53" s="153">
        <f t="shared" si="27"/>
        <v>0.96344647519582249</v>
      </c>
    </row>
    <row r="54" spans="3:18" x14ac:dyDescent="0.25">
      <c r="C54" s="150">
        <v>48</v>
      </c>
      <c r="D54" s="5">
        <f t="shared" si="28"/>
        <v>10.92</v>
      </c>
      <c r="E54" s="386">
        <f t="shared" si="15"/>
        <v>7.66</v>
      </c>
      <c r="F54" s="191">
        <f t="shared" si="16"/>
        <v>0.41227125941872989</v>
      </c>
      <c r="G54" s="152">
        <f t="shared" si="17"/>
        <v>8.3061939720129185</v>
      </c>
      <c r="H54" s="191">
        <f t="shared" si="18"/>
        <v>0.5537462648008612</v>
      </c>
      <c r="I54" s="386">
        <f t="shared" si="19"/>
        <v>18.579999999999998</v>
      </c>
      <c r="J54" s="152">
        <f t="shared" si="20"/>
        <v>1.35</v>
      </c>
      <c r="K54" s="152">
        <f t="shared" si="21"/>
        <v>1.1126373626373627</v>
      </c>
      <c r="L54" s="152">
        <f t="shared" si="22"/>
        <v>1.5861618798955615</v>
      </c>
      <c r="M54" s="386">
        <f t="shared" si="14"/>
        <v>350</v>
      </c>
      <c r="N54" s="175">
        <f t="shared" si="23"/>
        <v>350</v>
      </c>
      <c r="O54" s="191">
        <f t="shared" si="24"/>
        <v>1.4292070326515967</v>
      </c>
      <c r="P54" s="153">
        <f t="shared" si="25"/>
        <v>1.6792249730893434</v>
      </c>
      <c r="Q54" s="153">
        <f t="shared" si="26"/>
        <v>0.20999651233255431</v>
      </c>
      <c r="R54" s="153">
        <f t="shared" si="27"/>
        <v>0.96344647519582249</v>
      </c>
    </row>
    <row r="55" spans="3:18" x14ac:dyDescent="0.25">
      <c r="C55" s="150">
        <v>49</v>
      </c>
      <c r="D55" s="5">
        <f t="shared" si="28"/>
        <v>10.96</v>
      </c>
      <c r="E55" s="386">
        <f t="shared" si="15"/>
        <v>7.66</v>
      </c>
      <c r="F55" s="191">
        <f t="shared" si="16"/>
        <v>0.41138560687432868</v>
      </c>
      <c r="G55" s="152">
        <f t="shared" si="17"/>
        <v>8.318710633727175</v>
      </c>
      <c r="H55" s="191">
        <f t="shared" si="18"/>
        <v>0.55458070891514499</v>
      </c>
      <c r="I55" s="386">
        <f t="shared" si="19"/>
        <v>18.62</v>
      </c>
      <c r="J55" s="152">
        <f t="shared" si="20"/>
        <v>1.35</v>
      </c>
      <c r="K55" s="152">
        <f t="shared" si="21"/>
        <v>1.1085766423357664</v>
      </c>
      <c r="L55" s="152">
        <f t="shared" si="22"/>
        <v>1.5861618798955615</v>
      </c>
      <c r="M55" s="386">
        <f t="shared" si="14"/>
        <v>350</v>
      </c>
      <c r="N55" s="175">
        <f t="shared" si="23"/>
        <v>350</v>
      </c>
      <c r="O55" s="191">
        <f t="shared" si="24"/>
        <v>1.4313607147119503</v>
      </c>
      <c r="P55" s="153">
        <f t="shared" si="25"/>
        <v>1.6817554089304898</v>
      </c>
      <c r="Q55" s="153">
        <f t="shared" si="26"/>
        <v>0.21062987960852547</v>
      </c>
      <c r="R55" s="153">
        <f t="shared" si="27"/>
        <v>0.96344647519582249</v>
      </c>
    </row>
    <row r="56" spans="3:18" x14ac:dyDescent="0.25">
      <c r="C56" s="150">
        <v>50</v>
      </c>
      <c r="D56" s="5">
        <f t="shared" si="28"/>
        <v>11</v>
      </c>
      <c r="E56" s="386">
        <f t="shared" si="15"/>
        <v>7.66</v>
      </c>
      <c r="F56" s="191">
        <f t="shared" si="16"/>
        <v>0.41050375133976419</v>
      </c>
      <c r="G56" s="152">
        <f t="shared" si="17"/>
        <v>8.331173633440514</v>
      </c>
      <c r="H56" s="191">
        <f t="shared" si="18"/>
        <v>0.55541157556270093</v>
      </c>
      <c r="I56" s="386">
        <f t="shared" si="19"/>
        <v>18.66</v>
      </c>
      <c r="J56" s="152">
        <f t="shared" si="20"/>
        <v>1.35</v>
      </c>
      <c r="K56" s="152">
        <f t="shared" si="21"/>
        <v>1.1045454545454545</v>
      </c>
      <c r="L56" s="152">
        <f t="shared" si="22"/>
        <v>1.5861618798955615</v>
      </c>
      <c r="M56" s="386">
        <f t="shared" si="14"/>
        <v>350</v>
      </c>
      <c r="N56" s="175">
        <f t="shared" si="23"/>
        <v>350</v>
      </c>
      <c r="O56" s="191">
        <f t="shared" si="24"/>
        <v>1.4335051634087006</v>
      </c>
      <c r="P56" s="153">
        <f t="shared" si="25"/>
        <v>1.6842749961721026</v>
      </c>
      <c r="Q56" s="153">
        <f t="shared" si="26"/>
        <v>0.21126147906612686</v>
      </c>
      <c r="R56" s="153">
        <f t="shared" si="27"/>
        <v>0.96344647519582249</v>
      </c>
    </row>
    <row r="57" spans="3:18" x14ac:dyDescent="0.25">
      <c r="C57" s="150">
        <v>51</v>
      </c>
      <c r="D57" s="5">
        <f t="shared" si="28"/>
        <v>11.04</v>
      </c>
      <c r="E57" s="386">
        <f t="shared" si="15"/>
        <v>7.66</v>
      </c>
      <c r="F57" s="191">
        <f t="shared" si="16"/>
        <v>0.4096256684491979</v>
      </c>
      <c r="G57" s="152">
        <f t="shared" si="17"/>
        <v>8.3435833155080203</v>
      </c>
      <c r="H57" s="191">
        <f t="shared" si="18"/>
        <v>0.55623888770053465</v>
      </c>
      <c r="I57" s="386">
        <f t="shared" si="19"/>
        <v>18.7</v>
      </c>
      <c r="J57" s="152">
        <f t="shared" si="20"/>
        <v>1.35</v>
      </c>
      <c r="K57" s="152">
        <f t="shared" si="21"/>
        <v>1.1005434782608696</v>
      </c>
      <c r="L57" s="152">
        <f t="shared" si="22"/>
        <v>1.5861618798955615</v>
      </c>
      <c r="M57" s="386">
        <f t="shared" si="14"/>
        <v>350</v>
      </c>
      <c r="N57" s="175">
        <f t="shared" si="23"/>
        <v>350</v>
      </c>
      <c r="O57" s="191">
        <f t="shared" si="24"/>
        <v>1.4356404379933791</v>
      </c>
      <c r="P57" s="153">
        <f t="shared" si="25"/>
        <v>1.6867838044308632</v>
      </c>
      <c r="Q57" s="153">
        <f t="shared" si="26"/>
        <v>0.21189131598191052</v>
      </c>
      <c r="R57" s="153">
        <f t="shared" si="27"/>
        <v>0.96344647519582249</v>
      </c>
    </row>
    <row r="58" spans="3:18" x14ac:dyDescent="0.25">
      <c r="C58" s="150">
        <v>52</v>
      </c>
      <c r="D58" s="5">
        <f t="shared" si="28"/>
        <v>11.08</v>
      </c>
      <c r="E58" s="386">
        <f t="shared" si="15"/>
        <v>7.66</v>
      </c>
      <c r="F58" s="191">
        <f t="shared" si="16"/>
        <v>0.40875133404482389</v>
      </c>
      <c r="G58" s="152">
        <f t="shared" si="17"/>
        <v>8.3559400213447166</v>
      </c>
      <c r="H58" s="191">
        <f t="shared" si="18"/>
        <v>0.55706266808964777</v>
      </c>
      <c r="I58" s="386">
        <f t="shared" si="19"/>
        <v>18.740000000000002</v>
      </c>
      <c r="J58" s="152">
        <f t="shared" si="20"/>
        <v>1.35</v>
      </c>
      <c r="K58" s="152">
        <f t="shared" si="21"/>
        <v>1.0965703971119134</v>
      </c>
      <c r="L58" s="152">
        <f t="shared" si="22"/>
        <v>1.5861618798955615</v>
      </c>
      <c r="M58" s="386">
        <f t="shared" si="14"/>
        <v>350</v>
      </c>
      <c r="N58" s="175">
        <f t="shared" si="23"/>
        <v>350</v>
      </c>
      <c r="O58" s="191">
        <f t="shared" si="24"/>
        <v>1.4377665972116347</v>
      </c>
      <c r="P58" s="153">
        <f t="shared" si="25"/>
        <v>1.6892819027290749</v>
      </c>
      <c r="Q58" s="153">
        <f t="shared" si="26"/>
        <v>0.21251939563907302</v>
      </c>
      <c r="R58" s="153">
        <f t="shared" si="27"/>
        <v>0.96344647519582249</v>
      </c>
    </row>
    <row r="59" spans="3:18" x14ac:dyDescent="0.25">
      <c r="C59" s="150">
        <v>53</v>
      </c>
      <c r="D59" s="5">
        <f t="shared" si="28"/>
        <v>11.120000000000001</v>
      </c>
      <c r="E59" s="386">
        <f t="shared" si="15"/>
        <v>7.66</v>
      </c>
      <c r="F59" s="191">
        <f t="shared" si="16"/>
        <v>0.40788072417465387</v>
      </c>
      <c r="G59" s="152">
        <f t="shared" si="17"/>
        <v>8.3682440894568693</v>
      </c>
      <c r="H59" s="191">
        <f t="shared" si="18"/>
        <v>0.55788293929712462</v>
      </c>
      <c r="I59" s="386">
        <f t="shared" si="19"/>
        <v>18.78</v>
      </c>
      <c r="J59" s="152">
        <f t="shared" si="20"/>
        <v>1.35</v>
      </c>
      <c r="K59" s="152">
        <f t="shared" si="21"/>
        <v>1.0926258992805755</v>
      </c>
      <c r="L59" s="152">
        <f t="shared" si="22"/>
        <v>1.5861618798955615</v>
      </c>
      <c r="M59" s="386">
        <f t="shared" si="14"/>
        <v>350</v>
      </c>
      <c r="N59" s="175">
        <f t="shared" si="23"/>
        <v>350</v>
      </c>
      <c r="O59" s="191">
        <f t="shared" si="24"/>
        <v>1.4398836993086197</v>
      </c>
      <c r="P59" s="153">
        <f t="shared" si="25"/>
        <v>1.6917693595009893</v>
      </c>
      <c r="Q59" s="153">
        <f t="shared" si="26"/>
        <v>0.21314572332683515</v>
      </c>
      <c r="R59" s="153">
        <f t="shared" si="27"/>
        <v>0.96344647519582249</v>
      </c>
    </row>
    <row r="60" spans="3:18" x14ac:dyDescent="0.25">
      <c r="C60" s="150">
        <v>54</v>
      </c>
      <c r="D60" s="5">
        <f t="shared" si="28"/>
        <v>11.16</v>
      </c>
      <c r="E60" s="386">
        <f t="shared" si="15"/>
        <v>7.66</v>
      </c>
      <c r="F60" s="191">
        <f t="shared" si="16"/>
        <v>0.40701381509032941</v>
      </c>
      <c r="G60" s="152">
        <f t="shared" si="17"/>
        <v>8.3804958554728994</v>
      </c>
      <c r="H60" s="191">
        <f t="shared" si="18"/>
        <v>0.55869972369819332</v>
      </c>
      <c r="I60" s="386">
        <f t="shared" si="19"/>
        <v>18.82</v>
      </c>
      <c r="J60" s="152">
        <f t="shared" si="20"/>
        <v>1.35</v>
      </c>
      <c r="K60" s="152">
        <f t="shared" si="21"/>
        <v>1.088709677419355</v>
      </c>
      <c r="L60" s="152">
        <f t="shared" si="22"/>
        <v>1.5861618798955615</v>
      </c>
      <c r="M60" s="386">
        <f t="shared" si="14"/>
        <v>350</v>
      </c>
      <c r="N60" s="175">
        <f t="shared" si="23"/>
        <v>350</v>
      </c>
      <c r="O60" s="191">
        <f t="shared" si="24"/>
        <v>1.4419918020343101</v>
      </c>
      <c r="P60" s="153">
        <f t="shared" si="25"/>
        <v>1.6942462425990588</v>
      </c>
      <c r="Q60" s="153">
        <f t="shared" si="26"/>
        <v>0.21377030433983663</v>
      </c>
      <c r="R60" s="153">
        <f t="shared" si="27"/>
        <v>0.96344647519582249</v>
      </c>
    </row>
    <row r="61" spans="3:18" x14ac:dyDescent="0.25">
      <c r="C61" s="150">
        <v>55</v>
      </c>
      <c r="D61" s="5">
        <f t="shared" si="28"/>
        <v>11.2</v>
      </c>
      <c r="E61" s="386">
        <f t="shared" si="15"/>
        <v>7.66</v>
      </c>
      <c r="F61" s="191">
        <f t="shared" si="16"/>
        <v>0.40615058324496289</v>
      </c>
      <c r="G61" s="152">
        <f t="shared" si="17"/>
        <v>8.3926956521739111</v>
      </c>
      <c r="H61" s="191">
        <f t="shared" si="18"/>
        <v>0.5595130434782607</v>
      </c>
      <c r="I61" s="386">
        <f t="shared" si="19"/>
        <v>18.86</v>
      </c>
      <c r="J61" s="152">
        <f t="shared" si="20"/>
        <v>1.35</v>
      </c>
      <c r="K61" s="152">
        <f t="shared" si="21"/>
        <v>1.0848214285714288</v>
      </c>
      <c r="L61" s="152">
        <f t="shared" si="22"/>
        <v>1.5861618798955615</v>
      </c>
      <c r="M61" s="386">
        <f t="shared" si="14"/>
        <v>350</v>
      </c>
      <c r="N61" s="175">
        <f t="shared" si="23"/>
        <v>350</v>
      </c>
      <c r="O61" s="191">
        <f t="shared" si="24"/>
        <v>1.444090962648757</v>
      </c>
      <c r="P61" s="153">
        <f t="shared" si="25"/>
        <v>1.6967126193001061</v>
      </c>
      <c r="Q61" s="153">
        <f t="shared" si="26"/>
        <v>0.21439314397754611</v>
      </c>
      <c r="R61" s="153">
        <f t="shared" si="27"/>
        <v>0.96344647519582249</v>
      </c>
    </row>
    <row r="62" spans="3:18" x14ac:dyDescent="0.25">
      <c r="C62" s="150">
        <v>56</v>
      </c>
      <c r="D62" s="5">
        <f t="shared" si="28"/>
        <v>11.24</v>
      </c>
      <c r="E62" s="386">
        <f t="shared" si="15"/>
        <v>7.66</v>
      </c>
      <c r="F62" s="191">
        <f t="shared" si="16"/>
        <v>0.40529100529100531</v>
      </c>
      <c r="G62" s="152">
        <f t="shared" si="17"/>
        <v>8.4048438095238112</v>
      </c>
      <c r="H62" s="191">
        <f t="shared" si="18"/>
        <v>0.56032292063492073</v>
      </c>
      <c r="I62" s="386">
        <f t="shared" si="19"/>
        <v>18.899999999999999</v>
      </c>
      <c r="J62" s="152">
        <f t="shared" si="20"/>
        <v>1.35</v>
      </c>
      <c r="K62" s="152">
        <f t="shared" si="21"/>
        <v>1.0809608540925266</v>
      </c>
      <c r="L62" s="152">
        <f t="shared" si="22"/>
        <v>1.5861618798955615</v>
      </c>
      <c r="M62" s="386">
        <f t="shared" si="14"/>
        <v>350</v>
      </c>
      <c r="N62" s="175">
        <f t="shared" si="23"/>
        <v>350</v>
      </c>
      <c r="O62" s="191">
        <f t="shared" si="24"/>
        <v>1.4461812379272698</v>
      </c>
      <c r="P62" s="153">
        <f t="shared" si="25"/>
        <v>1.6991685563114136</v>
      </c>
      <c r="Q62" s="153">
        <f t="shared" si="26"/>
        <v>0.21501424754368406</v>
      </c>
      <c r="R62" s="153">
        <f t="shared" si="27"/>
        <v>0.96344647519582249</v>
      </c>
    </row>
    <row r="63" spans="3:18" x14ac:dyDescent="0.25">
      <c r="C63" s="150">
        <v>57</v>
      </c>
      <c r="D63" s="5">
        <f t="shared" si="28"/>
        <v>11.28</v>
      </c>
      <c r="E63" s="386">
        <f t="shared" si="15"/>
        <v>7.66</v>
      </c>
      <c r="F63" s="191">
        <f t="shared" si="16"/>
        <v>0.40443505807814156</v>
      </c>
      <c r="G63" s="152">
        <f t="shared" si="17"/>
        <v>8.4169406546990491</v>
      </c>
      <c r="H63" s="191">
        <f t="shared" si="18"/>
        <v>0.56112937697993659</v>
      </c>
      <c r="I63" s="386">
        <f t="shared" si="19"/>
        <v>18.939999999999998</v>
      </c>
      <c r="J63" s="152">
        <f t="shared" si="20"/>
        <v>1.35</v>
      </c>
      <c r="K63" s="152">
        <f t="shared" si="21"/>
        <v>1.0771276595744683</v>
      </c>
      <c r="L63" s="152">
        <f t="shared" si="22"/>
        <v>1.5861618798955615</v>
      </c>
      <c r="M63" s="386">
        <f t="shared" si="14"/>
        <v>350</v>
      </c>
      <c r="N63" s="175">
        <f t="shared" si="23"/>
        <v>350</v>
      </c>
      <c r="O63" s="191">
        <f t="shared" si="24"/>
        <v>1.4482626841655353</v>
      </c>
      <c r="P63" s="153">
        <f t="shared" si="25"/>
        <v>1.7016141197767387</v>
      </c>
      <c r="Q63" s="153">
        <f t="shared" si="26"/>
        <v>0.2156336203456605</v>
      </c>
      <c r="R63" s="153">
        <f t="shared" si="27"/>
        <v>0.96344647519582249</v>
      </c>
    </row>
    <row r="64" spans="3:18" x14ac:dyDescent="0.25">
      <c r="C64" s="150">
        <v>58</v>
      </c>
      <c r="D64" s="5">
        <f t="shared" si="28"/>
        <v>11.32</v>
      </c>
      <c r="E64" s="386">
        <f t="shared" si="15"/>
        <v>7.66</v>
      </c>
      <c r="F64" s="191">
        <f t="shared" si="16"/>
        <v>0.40358271865121181</v>
      </c>
      <c r="G64" s="152">
        <f t="shared" si="17"/>
        <v>8.4289865121180174</v>
      </c>
      <c r="H64" s="191">
        <f t="shared" si="18"/>
        <v>0.5619324341412012</v>
      </c>
      <c r="I64" s="386">
        <f t="shared" si="19"/>
        <v>18.98</v>
      </c>
      <c r="J64" s="152">
        <f t="shared" si="20"/>
        <v>1.35</v>
      </c>
      <c r="K64" s="152">
        <f t="shared" si="21"/>
        <v>1.0733215547703181</v>
      </c>
      <c r="L64" s="152">
        <f t="shared" si="22"/>
        <v>1.5861618798955615</v>
      </c>
      <c r="M64" s="386">
        <f t="shared" si="14"/>
        <v>350</v>
      </c>
      <c r="N64" s="175">
        <f t="shared" si="23"/>
        <v>350</v>
      </c>
      <c r="O64" s="191">
        <f t="shared" si="24"/>
        <v>1.4503353571846722</v>
      </c>
      <c r="P64" s="153">
        <f t="shared" si="25"/>
        <v>1.7040493752822519</v>
      </c>
      <c r="Q64" s="153">
        <f t="shared" si="26"/>
        <v>0.21625126769402644</v>
      </c>
      <c r="R64" s="153">
        <f t="shared" si="27"/>
        <v>0.96344647519582249</v>
      </c>
    </row>
    <row r="65" spans="3:18" x14ac:dyDescent="0.25">
      <c r="C65" s="150">
        <v>59</v>
      </c>
      <c r="D65" s="5">
        <f t="shared" si="28"/>
        <v>11.36</v>
      </c>
      <c r="E65" s="386">
        <f t="shared" si="15"/>
        <v>7.66</v>
      </c>
      <c r="F65" s="191">
        <f t="shared" si="16"/>
        <v>0.40273396424815983</v>
      </c>
      <c r="G65" s="152">
        <f t="shared" si="17"/>
        <v>8.4409817034700314</v>
      </c>
      <c r="H65" s="191">
        <f t="shared" si="18"/>
        <v>0.56273211356466879</v>
      </c>
      <c r="I65" s="386">
        <f t="shared" si="19"/>
        <v>19.02</v>
      </c>
      <c r="J65" s="152">
        <f t="shared" si="20"/>
        <v>1.35</v>
      </c>
      <c r="K65" s="152">
        <f t="shared" si="21"/>
        <v>1.0695422535211268</v>
      </c>
      <c r="L65" s="152">
        <f t="shared" si="22"/>
        <v>1.5861618798955615</v>
      </c>
      <c r="M65" s="386">
        <f t="shared" si="14"/>
        <v>350</v>
      </c>
      <c r="N65" s="175">
        <f t="shared" si="23"/>
        <v>350</v>
      </c>
      <c r="O65" s="191">
        <f t="shared" si="24"/>
        <v>1.4523993123362209</v>
      </c>
      <c r="P65" s="153">
        <f t="shared" si="25"/>
        <v>1.7064743878624005</v>
      </c>
      <c r="Q65" s="153">
        <f t="shared" si="26"/>
        <v>0.21686719490193834</v>
      </c>
      <c r="R65" s="153">
        <f t="shared" si="27"/>
        <v>0.96344647519582249</v>
      </c>
    </row>
    <row r="66" spans="3:18" x14ac:dyDescent="0.25">
      <c r="C66" s="150">
        <v>60</v>
      </c>
      <c r="D66" s="5">
        <f t="shared" si="28"/>
        <v>11.4</v>
      </c>
      <c r="E66" s="386">
        <f t="shared" si="15"/>
        <v>7.66</v>
      </c>
      <c r="F66" s="191">
        <f t="shared" si="16"/>
        <v>0.40188877229800624</v>
      </c>
      <c r="G66" s="152">
        <f t="shared" si="17"/>
        <v>8.4529265477439655</v>
      </c>
      <c r="H66" s="191">
        <f t="shared" si="18"/>
        <v>0.56352843651626439</v>
      </c>
      <c r="I66" s="386">
        <f t="shared" si="19"/>
        <v>19.060000000000002</v>
      </c>
      <c r="J66" s="152">
        <f t="shared" si="20"/>
        <v>1.35</v>
      </c>
      <c r="K66" s="152">
        <f t="shared" si="21"/>
        <v>1.0657894736842106</v>
      </c>
      <c r="L66" s="152">
        <f t="shared" si="22"/>
        <v>1.5861618798955615</v>
      </c>
      <c r="M66" s="386">
        <f t="shared" si="14"/>
        <v>350</v>
      </c>
      <c r="N66" s="175">
        <f t="shared" si="23"/>
        <v>350</v>
      </c>
      <c r="O66" s="191">
        <f t="shared" si="24"/>
        <v>1.4544546045070705</v>
      </c>
      <c r="P66" s="153">
        <f t="shared" si="25"/>
        <v>1.7088892220056964</v>
      </c>
      <c r="Q66" s="153">
        <f t="shared" si="26"/>
        <v>0.21748140728463539</v>
      </c>
      <c r="R66" s="153">
        <f t="shared" si="27"/>
        <v>0.96344647519582249</v>
      </c>
    </row>
    <row r="67" spans="3:18" x14ac:dyDescent="0.25">
      <c r="C67" s="150">
        <v>61</v>
      </c>
      <c r="D67" s="5">
        <f t="shared" si="28"/>
        <v>11.44</v>
      </c>
      <c r="E67" s="386">
        <f t="shared" si="15"/>
        <v>7.66</v>
      </c>
      <c r="F67" s="191">
        <f t="shared" si="16"/>
        <v>0.40104712041884816</v>
      </c>
      <c r="G67" s="152">
        <f t="shared" si="17"/>
        <v>8.4648213612565435</v>
      </c>
      <c r="H67" s="191">
        <f t="shared" si="18"/>
        <v>0.56432142408376962</v>
      </c>
      <c r="I67" s="386">
        <f t="shared" si="19"/>
        <v>19.100000000000001</v>
      </c>
      <c r="J67" s="152">
        <f t="shared" si="20"/>
        <v>1.35</v>
      </c>
      <c r="K67" s="152">
        <f t="shared" si="21"/>
        <v>1.0620629370629371</v>
      </c>
      <c r="L67" s="152">
        <f t="shared" si="22"/>
        <v>1.5861618798955615</v>
      </c>
      <c r="M67" s="386">
        <f t="shared" si="14"/>
        <v>350</v>
      </c>
      <c r="N67" s="175">
        <f t="shared" si="23"/>
        <v>350</v>
      </c>
      <c r="O67" s="191">
        <f t="shared" si="24"/>
        <v>1.4565012881243249</v>
      </c>
      <c r="P67" s="153">
        <f t="shared" si="25"/>
        <v>1.7112939416604338</v>
      </c>
      <c r="Q67" s="153">
        <f t="shared" si="26"/>
        <v>0.21809391015893032</v>
      </c>
      <c r="R67" s="153">
        <f t="shared" si="27"/>
        <v>0.96344647519582249</v>
      </c>
    </row>
    <row r="68" spans="3:18" x14ac:dyDescent="0.25">
      <c r="C68" s="150">
        <v>62</v>
      </c>
      <c r="D68" s="5">
        <f t="shared" si="28"/>
        <v>11.48</v>
      </c>
      <c r="E68" s="386">
        <f t="shared" si="15"/>
        <v>7.66</v>
      </c>
      <c r="F68" s="191">
        <f t="shared" si="16"/>
        <v>0.40020898641588298</v>
      </c>
      <c r="G68" s="152">
        <f t="shared" si="17"/>
        <v>8.4766664576802508</v>
      </c>
      <c r="H68" s="191">
        <f t="shared" si="18"/>
        <v>0.56511109717868335</v>
      </c>
      <c r="I68" s="386">
        <f t="shared" si="19"/>
        <v>19.14</v>
      </c>
      <c r="J68" s="152">
        <f t="shared" si="20"/>
        <v>1.35</v>
      </c>
      <c r="K68" s="152">
        <f t="shared" si="21"/>
        <v>1.0583623693379791</v>
      </c>
      <c r="L68" s="152">
        <f t="shared" si="22"/>
        <v>1.5861618798955615</v>
      </c>
      <c r="M68" s="386">
        <f t="shared" si="14"/>
        <v>350</v>
      </c>
      <c r="N68" s="175">
        <f t="shared" si="23"/>
        <v>350</v>
      </c>
      <c r="O68" s="191">
        <f t="shared" si="24"/>
        <v>1.4585394171601069</v>
      </c>
      <c r="P68" s="153">
        <f t="shared" si="25"/>
        <v>1.7136886102403346</v>
      </c>
      <c r="Q68" s="153">
        <f t="shared" si="26"/>
        <v>0.21870470884271195</v>
      </c>
      <c r="R68" s="153">
        <f t="shared" si="27"/>
        <v>0.96344647519582249</v>
      </c>
    </row>
    <row r="69" spans="3:18" x14ac:dyDescent="0.25">
      <c r="C69" s="150">
        <v>63</v>
      </c>
      <c r="D69" s="5">
        <f t="shared" si="28"/>
        <v>11.52</v>
      </c>
      <c r="E69" s="386">
        <f t="shared" si="15"/>
        <v>7.66</v>
      </c>
      <c r="F69" s="191">
        <f t="shared" si="16"/>
        <v>0.39937434827945778</v>
      </c>
      <c r="G69" s="152">
        <f t="shared" si="17"/>
        <v>8.4884621480709068</v>
      </c>
      <c r="H69" s="191">
        <f t="shared" si="18"/>
        <v>0.56589747653806044</v>
      </c>
      <c r="I69" s="386">
        <f t="shared" si="19"/>
        <v>19.18</v>
      </c>
      <c r="J69" s="152">
        <f t="shared" si="20"/>
        <v>1.35</v>
      </c>
      <c r="K69" s="152">
        <f t="shared" si="21"/>
        <v>1.0546875</v>
      </c>
      <c r="L69" s="152">
        <f t="shared" si="22"/>
        <v>1.5861618798955615</v>
      </c>
      <c r="M69" s="386">
        <f t="shared" si="14"/>
        <v>350</v>
      </c>
      <c r="N69" s="175">
        <f t="shared" si="23"/>
        <v>350</v>
      </c>
      <c r="O69" s="191">
        <f t="shared" si="24"/>
        <v>1.4605690451363029</v>
      </c>
      <c r="P69" s="153">
        <f t="shared" si="25"/>
        <v>1.716073290630121</v>
      </c>
      <c r="Q69" s="153">
        <f t="shared" si="26"/>
        <v>0.21931380865446057</v>
      </c>
      <c r="R69" s="153">
        <f t="shared" si="27"/>
        <v>0.96344647519582249</v>
      </c>
    </row>
    <row r="70" spans="3:18" x14ac:dyDescent="0.25">
      <c r="C70" s="150">
        <v>64</v>
      </c>
      <c r="D70" s="5">
        <f t="shared" si="28"/>
        <v>11.56</v>
      </c>
      <c r="E70" s="386">
        <f t="shared" ref="E70:E106" si="29">(Vout+Vfwd1)*Nps</f>
        <v>7.66</v>
      </c>
      <c r="F70" s="191">
        <f t="shared" ref="F70:F106" si="30">(Vout+Vfwd1)*Nps/((Vout+Vfwd1)*Nps+D70)</f>
        <v>0.39854318418314261</v>
      </c>
      <c r="G70" s="152">
        <f t="shared" ref="G70:G101" si="31">F70*D70*Isw_max*0.5*Efficiency</f>
        <v>8.5002087408949016</v>
      </c>
      <c r="H70" s="191">
        <f t="shared" ref="H70:H101" si="32">G70/Vout</f>
        <v>0.56668058272632682</v>
      </c>
      <c r="I70" s="386">
        <f t="shared" ref="I70:I106" si="33">(Vout+Vfwd1)*Nps+D70</f>
        <v>19.22</v>
      </c>
      <c r="J70" s="152">
        <f t="shared" ref="J70:J106" si="34">MIN(2*Vout*Iout/(Efficiency*D70*F70), 1.35)</f>
        <v>1.35</v>
      </c>
      <c r="K70" s="152">
        <f t="shared" ref="K70:K101" si="35">L*J70/D70*1000000</f>
        <v>1.051038062283737</v>
      </c>
      <c r="L70" s="152">
        <f t="shared" ref="L70:L106" si="36">L*J70/((Vout+Vfwd1)*Nps)*1000000</f>
        <v>1.5861618798955615</v>
      </c>
      <c r="M70" s="386">
        <f t="shared" si="14"/>
        <v>350</v>
      </c>
      <c r="N70" s="175">
        <f t="shared" ref="N70:N106" si="37">IF(1/((350000*L)*(1/D70+1/E70))&gt;Isw_min, 350, 0.001/((Isw_min*L)*(1/D70+1/E70)))</f>
        <v>350</v>
      </c>
      <c r="O70" s="191">
        <f t="shared" ref="O70:O101" si="38">1/((N70*1000*L)*(1/D70+1/E70))</f>
        <v>1.4625902251292473</v>
      </c>
      <c r="P70" s="153">
        <f t="shared" ref="P70:P101" si="39">L*O70/E70*1000000</f>
        <v>1.7184480451910216</v>
      </c>
      <c r="Q70" s="153">
        <f t="shared" ref="Q70:Q101" si="40">0.5*P70*O70*Nps*N70/1000</f>
        <v>0.21992121491277447</v>
      </c>
      <c r="R70" s="153">
        <f t="shared" ref="R70:R106" si="41">L*Isw_min/E70*1000000</f>
        <v>0.96344647519582249</v>
      </c>
    </row>
    <row r="71" spans="3:18" x14ac:dyDescent="0.25">
      <c r="C71" s="150">
        <v>65</v>
      </c>
      <c r="D71" s="5">
        <f t="shared" ref="D71:D102" si="42">C71/100*(VIN_max-VIN_min)+VIN_min</f>
        <v>11.6</v>
      </c>
      <c r="E71" s="386">
        <f t="shared" si="29"/>
        <v>7.66</v>
      </c>
      <c r="F71" s="191">
        <f t="shared" si="30"/>
        <v>0.39771547248182765</v>
      </c>
      <c r="G71" s="152">
        <f t="shared" si="31"/>
        <v>8.5119065420560744</v>
      </c>
      <c r="H71" s="191">
        <f t="shared" si="32"/>
        <v>0.56746043613707164</v>
      </c>
      <c r="I71" s="386">
        <f t="shared" si="33"/>
        <v>19.259999999999998</v>
      </c>
      <c r="J71" s="152">
        <f t="shared" si="34"/>
        <v>1.35</v>
      </c>
      <c r="K71" s="152">
        <f t="shared" si="35"/>
        <v>1.0474137931034484</v>
      </c>
      <c r="L71" s="152">
        <f t="shared" si="36"/>
        <v>1.5861618798955615</v>
      </c>
      <c r="M71" s="386">
        <f t="shared" ref="M71:M106" si="43">MIN(1/(K71+L71)*1000, 350)</f>
        <v>350</v>
      </c>
      <c r="N71" s="175">
        <f t="shared" si="37"/>
        <v>350</v>
      </c>
      <c r="O71" s="191">
        <f t="shared" si="38"/>
        <v>1.4646030097743497</v>
      </c>
      <c r="P71" s="153">
        <f t="shared" si="39"/>
        <v>1.720812935766207</v>
      </c>
      <c r="Q71" s="153">
        <f t="shared" si="40"/>
        <v>0.22052693293590936</v>
      </c>
      <c r="R71" s="153">
        <f t="shared" si="41"/>
        <v>0.96344647519582249</v>
      </c>
    </row>
    <row r="72" spans="3:18" x14ac:dyDescent="0.25">
      <c r="C72" s="150">
        <v>66</v>
      </c>
      <c r="D72" s="5">
        <f t="shared" si="42"/>
        <v>11.64</v>
      </c>
      <c r="E72" s="386">
        <f t="shared" si="29"/>
        <v>7.66</v>
      </c>
      <c r="F72" s="191">
        <f t="shared" si="30"/>
        <v>0.39689119170984455</v>
      </c>
      <c r="G72" s="152">
        <f t="shared" si="31"/>
        <v>8.5235558549222787</v>
      </c>
      <c r="H72" s="191">
        <f t="shared" si="32"/>
        <v>0.56823705699481863</v>
      </c>
      <c r="I72" s="386">
        <f t="shared" si="33"/>
        <v>19.3</v>
      </c>
      <c r="J72" s="152">
        <f t="shared" si="34"/>
        <v>1.35</v>
      </c>
      <c r="K72" s="152">
        <f t="shared" si="35"/>
        <v>1.0438144329896908</v>
      </c>
      <c r="L72" s="152">
        <f t="shared" si="36"/>
        <v>1.5861618798955615</v>
      </c>
      <c r="M72" s="386">
        <f t="shared" si="43"/>
        <v>350</v>
      </c>
      <c r="N72" s="175">
        <f t="shared" si="37"/>
        <v>350</v>
      </c>
      <c r="O72" s="191">
        <f t="shared" si="38"/>
        <v>1.4666074512706639</v>
      </c>
      <c r="P72" s="153">
        <f t="shared" si="39"/>
        <v>1.7231680236861588</v>
      </c>
      <c r="Q72" s="153">
        <f t="shared" si="40"/>
        <v>0.22113096804132815</v>
      </c>
      <c r="R72" s="153">
        <f t="shared" si="41"/>
        <v>0.96344647519582249</v>
      </c>
    </row>
    <row r="73" spans="3:18" x14ac:dyDescent="0.25">
      <c r="C73" s="150">
        <v>67</v>
      </c>
      <c r="D73" s="5">
        <f t="shared" si="42"/>
        <v>11.68</v>
      </c>
      <c r="E73" s="386">
        <f t="shared" si="29"/>
        <v>7.66</v>
      </c>
      <c r="F73" s="191">
        <f t="shared" si="30"/>
        <v>0.39607032057911068</v>
      </c>
      <c r="G73" s="152">
        <f t="shared" si="31"/>
        <v>8.5351569803516014</v>
      </c>
      <c r="H73" s="191">
        <f t="shared" si="32"/>
        <v>0.56901046535677346</v>
      </c>
      <c r="I73" s="386">
        <f t="shared" si="33"/>
        <v>19.34</v>
      </c>
      <c r="J73" s="152">
        <f t="shared" si="34"/>
        <v>1.35</v>
      </c>
      <c r="K73" s="152">
        <f t="shared" si="35"/>
        <v>1.0402397260273974</v>
      </c>
      <c r="L73" s="152">
        <f t="shared" si="36"/>
        <v>1.5861618798955615</v>
      </c>
      <c r="M73" s="386">
        <f t="shared" si="43"/>
        <v>350</v>
      </c>
      <c r="N73" s="175">
        <f t="shared" si="37"/>
        <v>350</v>
      </c>
      <c r="O73" s="191">
        <f t="shared" si="38"/>
        <v>1.4686036013854007</v>
      </c>
      <c r="P73" s="153">
        <f t="shared" si="39"/>
        <v>1.7255133697739695</v>
      </c>
      <c r="Q73" s="153">
        <f t="shared" si="40"/>
        <v>0.22173332554526212</v>
      </c>
      <c r="R73" s="153">
        <f t="shared" si="41"/>
        <v>0.96344647519582249</v>
      </c>
    </row>
    <row r="74" spans="3:18" x14ac:dyDescent="0.25">
      <c r="C74" s="150">
        <v>68</v>
      </c>
      <c r="D74" s="5">
        <f t="shared" si="42"/>
        <v>11.72</v>
      </c>
      <c r="E74" s="386">
        <f t="shared" si="29"/>
        <v>7.66</v>
      </c>
      <c r="F74" s="191">
        <f t="shared" si="30"/>
        <v>0.39525283797729616</v>
      </c>
      <c r="G74" s="152">
        <f t="shared" si="31"/>
        <v>8.5467102167182656</v>
      </c>
      <c r="H74" s="191">
        <f t="shared" si="32"/>
        <v>0.56978068111455105</v>
      </c>
      <c r="I74" s="386">
        <f t="shared" si="33"/>
        <v>19.380000000000003</v>
      </c>
      <c r="J74" s="152">
        <f t="shared" si="34"/>
        <v>1.35</v>
      </c>
      <c r="K74" s="152">
        <f t="shared" si="35"/>
        <v>1.0366894197952219</v>
      </c>
      <c r="L74" s="152">
        <f t="shared" si="36"/>
        <v>1.5861618798955615</v>
      </c>
      <c r="M74" s="386">
        <f t="shared" si="43"/>
        <v>350</v>
      </c>
      <c r="N74" s="175">
        <f t="shared" si="37"/>
        <v>350</v>
      </c>
      <c r="O74" s="191">
        <f t="shared" si="38"/>
        <v>1.4705915114583847</v>
      </c>
      <c r="P74" s="153">
        <f t="shared" si="39"/>
        <v>1.7278490343505826</v>
      </c>
      <c r="Q74" s="153">
        <f t="shared" si="40"/>
        <v>0.22233401076228418</v>
      </c>
      <c r="R74" s="153">
        <f t="shared" si="41"/>
        <v>0.96344647519582249</v>
      </c>
    </row>
    <row r="75" spans="3:18" x14ac:dyDescent="0.25">
      <c r="C75" s="150">
        <v>69</v>
      </c>
      <c r="D75" s="5">
        <f t="shared" si="42"/>
        <v>11.76</v>
      </c>
      <c r="E75" s="386">
        <f t="shared" si="29"/>
        <v>7.66</v>
      </c>
      <c r="F75" s="191">
        <f t="shared" si="30"/>
        <v>0.3944387229660144</v>
      </c>
      <c r="G75" s="152">
        <f t="shared" si="31"/>
        <v>8.5582158599382065</v>
      </c>
      <c r="H75" s="191">
        <f t="shared" si="32"/>
        <v>0.57054772399588038</v>
      </c>
      <c r="I75" s="386">
        <f t="shared" si="33"/>
        <v>19.420000000000002</v>
      </c>
      <c r="J75" s="152">
        <f t="shared" si="34"/>
        <v>1.35</v>
      </c>
      <c r="K75" s="152">
        <f t="shared" si="35"/>
        <v>1.0331632653061225</v>
      </c>
      <c r="L75" s="152">
        <f t="shared" si="36"/>
        <v>1.5861618798955615</v>
      </c>
      <c r="M75" s="386">
        <f t="shared" si="43"/>
        <v>350</v>
      </c>
      <c r="N75" s="175">
        <f t="shared" si="37"/>
        <v>350</v>
      </c>
      <c r="O75" s="191">
        <f t="shared" si="38"/>
        <v>1.4725712324064539</v>
      </c>
      <c r="P75" s="153">
        <f t="shared" si="39"/>
        <v>1.7301750772399591</v>
      </c>
      <c r="Q75" s="153">
        <f t="shared" si="40"/>
        <v>0.22293302900489062</v>
      </c>
      <c r="R75" s="153">
        <f t="shared" si="41"/>
        <v>0.96344647519582249</v>
      </c>
    </row>
    <row r="76" spans="3:18" x14ac:dyDescent="0.25">
      <c r="C76" s="150">
        <v>70</v>
      </c>
      <c r="D76" s="5">
        <f t="shared" si="42"/>
        <v>11.8</v>
      </c>
      <c r="E76" s="386">
        <f t="shared" si="29"/>
        <v>7.66</v>
      </c>
      <c r="F76" s="191">
        <f t="shared" si="30"/>
        <v>0.3936279547790339</v>
      </c>
      <c r="G76" s="152">
        <f t="shared" si="31"/>
        <v>8.5696742034943458</v>
      </c>
      <c r="H76" s="191">
        <f t="shared" si="32"/>
        <v>0.57131161356628968</v>
      </c>
      <c r="I76" s="386">
        <f t="shared" si="33"/>
        <v>19.46</v>
      </c>
      <c r="J76" s="152">
        <f t="shared" si="34"/>
        <v>1.35</v>
      </c>
      <c r="K76" s="152">
        <f t="shared" si="35"/>
        <v>1.0296610169491527</v>
      </c>
      <c r="L76" s="152">
        <f t="shared" si="36"/>
        <v>1.5861618798955615</v>
      </c>
      <c r="M76" s="386">
        <f t="shared" si="43"/>
        <v>350</v>
      </c>
      <c r="N76" s="175">
        <f t="shared" si="37"/>
        <v>350</v>
      </c>
      <c r="O76" s="191">
        <f t="shared" si="38"/>
        <v>1.4745428147278097</v>
      </c>
      <c r="P76" s="153">
        <f t="shared" si="39"/>
        <v>1.7324915577741888</v>
      </c>
      <c r="Q76" s="153">
        <f t="shared" si="40"/>
        <v>0.22353038558309551</v>
      </c>
      <c r="R76" s="153">
        <f t="shared" si="41"/>
        <v>0.96344647519582249</v>
      </c>
    </row>
    <row r="77" spans="3:18" x14ac:dyDescent="0.25">
      <c r="C77" s="150">
        <v>71</v>
      </c>
      <c r="D77" s="5">
        <f t="shared" si="42"/>
        <v>11.84</v>
      </c>
      <c r="E77" s="386">
        <f t="shared" si="29"/>
        <v>7.66</v>
      </c>
      <c r="F77" s="191">
        <f t="shared" si="30"/>
        <v>0.39282051282051283</v>
      </c>
      <c r="G77" s="152">
        <f t="shared" si="31"/>
        <v>8.5810855384615383</v>
      </c>
      <c r="H77" s="191">
        <f t="shared" si="32"/>
        <v>0.57207236923076921</v>
      </c>
      <c r="I77" s="386">
        <f t="shared" si="33"/>
        <v>19.5</v>
      </c>
      <c r="J77" s="152">
        <f t="shared" si="34"/>
        <v>1.35</v>
      </c>
      <c r="K77" s="152">
        <f t="shared" si="35"/>
        <v>1.0261824324324327</v>
      </c>
      <c r="L77" s="152">
        <f t="shared" si="36"/>
        <v>1.5861618798955615</v>
      </c>
      <c r="M77" s="386">
        <f t="shared" si="43"/>
        <v>350</v>
      </c>
      <c r="N77" s="175">
        <f t="shared" si="37"/>
        <v>350</v>
      </c>
      <c r="O77" s="191">
        <f t="shared" si="38"/>
        <v>1.4765063085063086</v>
      </c>
      <c r="P77" s="153">
        <f t="shared" si="39"/>
        <v>1.7347985347985351</v>
      </c>
      <c r="Q77" s="153">
        <f t="shared" si="40"/>
        <v>0.22412608580403456</v>
      </c>
      <c r="R77" s="153">
        <f t="shared" si="41"/>
        <v>0.96344647519582249</v>
      </c>
    </row>
    <row r="78" spans="3:18" x14ac:dyDescent="0.25">
      <c r="C78" s="150">
        <v>72</v>
      </c>
      <c r="D78" s="5">
        <f t="shared" si="42"/>
        <v>11.879999999999999</v>
      </c>
      <c r="E78" s="386">
        <f t="shared" si="29"/>
        <v>7.66</v>
      </c>
      <c r="F78" s="191">
        <f t="shared" si="30"/>
        <v>0.3920163766632549</v>
      </c>
      <c r="G78" s="152">
        <f t="shared" si="31"/>
        <v>8.5924501535312174</v>
      </c>
      <c r="H78" s="191">
        <f t="shared" si="32"/>
        <v>0.57283001023541447</v>
      </c>
      <c r="I78" s="386">
        <f t="shared" si="33"/>
        <v>19.54</v>
      </c>
      <c r="J78" s="152">
        <f t="shared" si="34"/>
        <v>1.35</v>
      </c>
      <c r="K78" s="152">
        <f t="shared" si="35"/>
        <v>1.0227272727272729</v>
      </c>
      <c r="L78" s="152">
        <f t="shared" si="36"/>
        <v>1.5861618798955615</v>
      </c>
      <c r="M78" s="386">
        <f t="shared" si="43"/>
        <v>350</v>
      </c>
      <c r="N78" s="175">
        <f t="shared" si="37"/>
        <v>350</v>
      </c>
      <c r="O78" s="191">
        <f t="shared" si="38"/>
        <v>1.478461763415704</v>
      </c>
      <c r="P78" s="153">
        <f t="shared" si="39"/>
        <v>1.7370960666764146</v>
      </c>
      <c r="Q78" s="153">
        <f t="shared" si="40"/>
        <v>0.22472013497157831</v>
      </c>
      <c r="R78" s="153">
        <f t="shared" si="41"/>
        <v>0.96344647519582249</v>
      </c>
    </row>
    <row r="79" spans="3:18" x14ac:dyDescent="0.25">
      <c r="C79" s="150">
        <v>73</v>
      </c>
      <c r="D79" s="5">
        <f t="shared" si="42"/>
        <v>11.92</v>
      </c>
      <c r="E79" s="386">
        <f t="shared" si="29"/>
        <v>7.66</v>
      </c>
      <c r="F79" s="191">
        <f t="shared" si="30"/>
        <v>0.39121552604698678</v>
      </c>
      <c r="G79" s="152">
        <f t="shared" si="31"/>
        <v>8.6037683350357508</v>
      </c>
      <c r="H79" s="191">
        <f t="shared" si="32"/>
        <v>0.57358455566905009</v>
      </c>
      <c r="I79" s="386">
        <f t="shared" si="33"/>
        <v>19.579999999999998</v>
      </c>
      <c r="J79" s="152">
        <f t="shared" si="34"/>
        <v>1.35</v>
      </c>
      <c r="K79" s="152">
        <f t="shared" si="35"/>
        <v>1.019295302013423</v>
      </c>
      <c r="L79" s="152">
        <f t="shared" si="36"/>
        <v>1.5861618798955615</v>
      </c>
      <c r="M79" s="386">
        <f t="shared" si="43"/>
        <v>350</v>
      </c>
      <c r="N79" s="175">
        <f t="shared" si="37"/>
        <v>350</v>
      </c>
      <c r="O79" s="191">
        <f t="shared" si="38"/>
        <v>1.4804092287238357</v>
      </c>
      <c r="P79" s="153">
        <f t="shared" si="39"/>
        <v>1.7393842112943241</v>
      </c>
      <c r="Q79" s="153">
        <f t="shared" si="40"/>
        <v>0.22531253838595666</v>
      </c>
      <c r="R79" s="153">
        <f t="shared" si="41"/>
        <v>0.96344647519582249</v>
      </c>
    </row>
    <row r="80" spans="3:18" x14ac:dyDescent="0.25">
      <c r="C80" s="150">
        <v>74</v>
      </c>
      <c r="D80" s="5">
        <f t="shared" si="42"/>
        <v>11.96</v>
      </c>
      <c r="E80" s="386">
        <f t="shared" si="29"/>
        <v>7.66</v>
      </c>
      <c r="F80" s="191">
        <f t="shared" si="30"/>
        <v>0.39041794087665643</v>
      </c>
      <c r="G80" s="152">
        <f t="shared" si="31"/>
        <v>8.615040366972476</v>
      </c>
      <c r="H80" s="191">
        <f t="shared" si="32"/>
        <v>0.57433602446483178</v>
      </c>
      <c r="I80" s="386">
        <f t="shared" si="33"/>
        <v>19.62</v>
      </c>
      <c r="J80" s="152">
        <f t="shared" si="34"/>
        <v>1.35</v>
      </c>
      <c r="K80" s="152">
        <f t="shared" si="35"/>
        <v>1.015886287625418</v>
      </c>
      <c r="L80" s="152">
        <f t="shared" si="36"/>
        <v>1.5861618798955615</v>
      </c>
      <c r="M80" s="386">
        <f t="shared" si="43"/>
        <v>350</v>
      </c>
      <c r="N80" s="175">
        <f t="shared" si="37"/>
        <v>350</v>
      </c>
      <c r="O80" s="191">
        <f t="shared" si="38"/>
        <v>1.4823487532967656</v>
      </c>
      <c r="P80" s="153">
        <f t="shared" si="39"/>
        <v>1.7416630260666959</v>
      </c>
      <c r="Q80" s="153">
        <f t="shared" si="40"/>
        <v>0.2259033013433909</v>
      </c>
      <c r="R80" s="153">
        <f t="shared" si="41"/>
        <v>0.96344647519582249</v>
      </c>
    </row>
    <row r="81" spans="3:18" x14ac:dyDescent="0.25">
      <c r="C81" s="150">
        <v>75</v>
      </c>
      <c r="D81" s="5">
        <f t="shared" si="42"/>
        <v>12</v>
      </c>
      <c r="E81" s="386">
        <f t="shared" si="29"/>
        <v>7.66</v>
      </c>
      <c r="F81" s="191">
        <f t="shared" si="30"/>
        <v>0.38962360122075279</v>
      </c>
      <c r="G81" s="152">
        <f t="shared" si="31"/>
        <v>8.6262665310274667</v>
      </c>
      <c r="H81" s="191">
        <f t="shared" si="32"/>
        <v>0.57508443540183107</v>
      </c>
      <c r="I81" s="386">
        <f t="shared" si="33"/>
        <v>19.66</v>
      </c>
      <c r="J81" s="152">
        <f t="shared" si="34"/>
        <v>1.35</v>
      </c>
      <c r="K81" s="152">
        <f t="shared" si="35"/>
        <v>1.0125</v>
      </c>
      <c r="L81" s="152">
        <f t="shared" si="36"/>
        <v>1.5861618798955615</v>
      </c>
      <c r="M81" s="386">
        <f t="shared" si="43"/>
        <v>350</v>
      </c>
      <c r="N81" s="175">
        <f t="shared" si="37"/>
        <v>350</v>
      </c>
      <c r="O81" s="191">
        <f t="shared" si="38"/>
        <v>1.4842803856028681</v>
      </c>
      <c r="P81" s="153">
        <f t="shared" si="39"/>
        <v>1.7439325679407065</v>
      </c>
      <c r="Q81" s="153">
        <f t="shared" si="40"/>
        <v>0.22649242913573778</v>
      </c>
      <c r="R81" s="153">
        <f t="shared" si="41"/>
        <v>0.96344647519582249</v>
      </c>
    </row>
    <row r="82" spans="3:18" x14ac:dyDescent="0.25">
      <c r="C82" s="150">
        <v>76</v>
      </c>
      <c r="D82" s="5">
        <f t="shared" si="42"/>
        <v>12.04</v>
      </c>
      <c r="E82" s="386">
        <f t="shared" si="29"/>
        <v>7.66</v>
      </c>
      <c r="F82" s="191">
        <f t="shared" si="30"/>
        <v>0.3888324873096447</v>
      </c>
      <c r="G82" s="152">
        <f t="shared" si="31"/>
        <v>8.6374471065989837</v>
      </c>
      <c r="H82" s="191">
        <f t="shared" si="32"/>
        <v>0.57582980710659892</v>
      </c>
      <c r="I82" s="386">
        <f t="shared" si="33"/>
        <v>19.7</v>
      </c>
      <c r="J82" s="152">
        <f t="shared" si="34"/>
        <v>1.35</v>
      </c>
      <c r="K82" s="152">
        <f t="shared" si="35"/>
        <v>1.0091362126245849</v>
      </c>
      <c r="L82" s="152">
        <f t="shared" si="36"/>
        <v>1.5861618798955615</v>
      </c>
      <c r="M82" s="386">
        <f t="shared" si="43"/>
        <v>350</v>
      </c>
      <c r="N82" s="175">
        <f t="shared" si="37"/>
        <v>350</v>
      </c>
      <c r="O82" s="191">
        <f t="shared" si="38"/>
        <v>1.4862041737168643</v>
      </c>
      <c r="P82" s="153">
        <f t="shared" si="39"/>
        <v>1.7461928934010156</v>
      </c>
      <c r="Q82" s="153">
        <f t="shared" si="40"/>
        <v>0.22707992705014021</v>
      </c>
      <c r="R82" s="153">
        <f t="shared" si="41"/>
        <v>0.96344647519582249</v>
      </c>
    </row>
    <row r="83" spans="3:18" x14ac:dyDescent="0.25">
      <c r="C83" s="150">
        <v>77</v>
      </c>
      <c r="D83" s="5">
        <f t="shared" si="42"/>
        <v>12.08</v>
      </c>
      <c r="E83" s="386">
        <f t="shared" si="29"/>
        <v>7.66</v>
      </c>
      <c r="F83" s="191">
        <f t="shared" si="30"/>
        <v>0.38804457953394123</v>
      </c>
      <c r="G83" s="152">
        <f t="shared" si="31"/>
        <v>8.6485823708206695</v>
      </c>
      <c r="H83" s="191">
        <f t="shared" si="32"/>
        <v>0.57657215805471129</v>
      </c>
      <c r="I83" s="386">
        <f t="shared" si="33"/>
        <v>19.740000000000002</v>
      </c>
      <c r="J83" s="152">
        <f t="shared" si="34"/>
        <v>1.35</v>
      </c>
      <c r="K83" s="152">
        <f t="shared" si="35"/>
        <v>1.005794701986755</v>
      </c>
      <c r="L83" s="152">
        <f t="shared" si="36"/>
        <v>1.5861618798955615</v>
      </c>
      <c r="M83" s="386">
        <f t="shared" si="43"/>
        <v>350</v>
      </c>
      <c r="N83" s="175">
        <f t="shared" si="37"/>
        <v>350</v>
      </c>
      <c r="O83" s="191">
        <f t="shared" si="38"/>
        <v>1.488120165323813</v>
      </c>
      <c r="P83" s="153">
        <f t="shared" si="39"/>
        <v>1.7484440584744538</v>
      </c>
      <c r="Q83" s="153">
        <f t="shared" si="40"/>
        <v>0.22766580036868875</v>
      </c>
      <c r="R83" s="153">
        <f t="shared" si="41"/>
        <v>0.96344647519582249</v>
      </c>
    </row>
    <row r="84" spans="3:18" x14ac:dyDescent="0.25">
      <c r="C84" s="150">
        <v>78</v>
      </c>
      <c r="D84" s="5">
        <f t="shared" si="42"/>
        <v>12.120000000000001</v>
      </c>
      <c r="E84" s="386">
        <f t="shared" si="29"/>
        <v>7.66</v>
      </c>
      <c r="F84" s="191">
        <f t="shared" si="30"/>
        <v>0.38725985844287159</v>
      </c>
      <c r="G84" s="152">
        <f t="shared" si="31"/>
        <v>8.6596725985844287</v>
      </c>
      <c r="H84" s="191">
        <f t="shared" si="32"/>
        <v>0.57731150657229524</v>
      </c>
      <c r="I84" s="386">
        <f t="shared" si="33"/>
        <v>19.78</v>
      </c>
      <c r="J84" s="152">
        <f t="shared" si="34"/>
        <v>1.35</v>
      </c>
      <c r="K84" s="152">
        <f t="shared" si="35"/>
        <v>1.0024752475247525</v>
      </c>
      <c r="L84" s="152">
        <f t="shared" si="36"/>
        <v>1.5861618798955615</v>
      </c>
      <c r="M84" s="386">
        <f t="shared" si="43"/>
        <v>350</v>
      </c>
      <c r="N84" s="175">
        <f t="shared" si="37"/>
        <v>350</v>
      </c>
      <c r="O84" s="191">
        <f t="shared" si="38"/>
        <v>1.490028407723049</v>
      </c>
      <c r="P84" s="153">
        <f t="shared" si="39"/>
        <v>1.750686118734653</v>
      </c>
      <c r="Q84" s="153">
        <f t="shared" si="40"/>
        <v>0.22825005436809098</v>
      </c>
      <c r="R84" s="153">
        <f t="shared" si="41"/>
        <v>0.96344647519582249</v>
      </c>
    </row>
    <row r="85" spans="3:18" x14ac:dyDescent="0.25">
      <c r="C85" s="150">
        <v>79</v>
      </c>
      <c r="D85" s="5">
        <f t="shared" si="42"/>
        <v>12.16</v>
      </c>
      <c r="E85" s="386">
        <f t="shared" si="29"/>
        <v>7.66</v>
      </c>
      <c r="F85" s="191">
        <f t="shared" si="30"/>
        <v>0.38647830474268419</v>
      </c>
      <c r="G85" s="152">
        <f t="shared" si="31"/>
        <v>8.6707180625630667</v>
      </c>
      <c r="H85" s="191">
        <f t="shared" si="32"/>
        <v>0.57804787083753773</v>
      </c>
      <c r="I85" s="386">
        <f t="shared" si="33"/>
        <v>19.82</v>
      </c>
      <c r="J85" s="152">
        <f t="shared" si="34"/>
        <v>1.35</v>
      </c>
      <c r="K85" s="152">
        <f t="shared" si="35"/>
        <v>0.99917763157894746</v>
      </c>
      <c r="L85" s="152">
        <f t="shared" si="36"/>
        <v>1.5861618798955615</v>
      </c>
      <c r="M85" s="386">
        <f t="shared" si="43"/>
        <v>350</v>
      </c>
      <c r="N85" s="175">
        <f t="shared" si="37"/>
        <v>350</v>
      </c>
      <c r="O85" s="191">
        <f t="shared" si="38"/>
        <v>1.4919289478320761</v>
      </c>
      <c r="P85" s="153">
        <f t="shared" si="39"/>
        <v>1.7529191293066169</v>
      </c>
      <c r="Q85" s="153">
        <f t="shared" si="40"/>
        <v>0.22883269431934974</v>
      </c>
      <c r="R85" s="153">
        <f t="shared" si="41"/>
        <v>0.96344647519582249</v>
      </c>
    </row>
    <row r="86" spans="3:18" x14ac:dyDescent="0.25">
      <c r="C86" s="150">
        <v>80</v>
      </c>
      <c r="D86" s="5">
        <f t="shared" si="42"/>
        <v>12.2</v>
      </c>
      <c r="E86" s="386">
        <f t="shared" si="29"/>
        <v>7.66</v>
      </c>
      <c r="F86" s="191">
        <f t="shared" si="30"/>
        <v>0.38569989929506548</v>
      </c>
      <c r="G86" s="152">
        <f t="shared" si="31"/>
        <v>8.6817190332326284</v>
      </c>
      <c r="H86" s="191">
        <f t="shared" si="32"/>
        <v>0.57878126888217518</v>
      </c>
      <c r="I86" s="386">
        <f t="shared" si="33"/>
        <v>19.86</v>
      </c>
      <c r="J86" s="152">
        <f t="shared" si="34"/>
        <v>1.35</v>
      </c>
      <c r="K86" s="152">
        <f t="shared" si="35"/>
        <v>0.99590163934426235</v>
      </c>
      <c r="L86" s="152">
        <f t="shared" si="36"/>
        <v>1.5861618798955615</v>
      </c>
      <c r="M86" s="386">
        <f t="shared" si="43"/>
        <v>350</v>
      </c>
      <c r="N86" s="175">
        <f t="shared" si="37"/>
        <v>350</v>
      </c>
      <c r="O86" s="191">
        <f t="shared" si="38"/>
        <v>1.4938218321904122</v>
      </c>
      <c r="P86" s="153">
        <f t="shared" si="39"/>
        <v>1.7551431448712416</v>
      </c>
      <c r="Q86" s="153">
        <f t="shared" si="40"/>
        <v>0.22941372548745001</v>
      </c>
      <c r="R86" s="153">
        <f t="shared" si="41"/>
        <v>0.96344647519582249</v>
      </c>
    </row>
    <row r="87" spans="3:18" x14ac:dyDescent="0.25">
      <c r="C87" s="150">
        <v>81</v>
      </c>
      <c r="D87" s="5">
        <f t="shared" si="42"/>
        <v>12.24</v>
      </c>
      <c r="E87" s="386">
        <f t="shared" si="29"/>
        <v>7.66</v>
      </c>
      <c r="F87" s="191">
        <f t="shared" si="30"/>
        <v>0.3849246231155779</v>
      </c>
      <c r="G87" s="152">
        <f t="shared" si="31"/>
        <v>8.6926757788944737</v>
      </c>
      <c r="H87" s="191">
        <f t="shared" si="32"/>
        <v>0.57951171859296491</v>
      </c>
      <c r="I87" s="386">
        <f t="shared" si="33"/>
        <v>19.899999999999999</v>
      </c>
      <c r="J87" s="152">
        <f t="shared" si="34"/>
        <v>1.35</v>
      </c>
      <c r="K87" s="152">
        <f t="shared" si="35"/>
        <v>0.99264705882352955</v>
      </c>
      <c r="L87" s="152">
        <f t="shared" si="36"/>
        <v>1.5861618798955615</v>
      </c>
      <c r="M87" s="386">
        <f t="shared" si="43"/>
        <v>350</v>
      </c>
      <c r="N87" s="175">
        <f t="shared" si="37"/>
        <v>350</v>
      </c>
      <c r="O87" s="191">
        <f t="shared" si="38"/>
        <v>1.4957071069633887</v>
      </c>
      <c r="P87" s="153">
        <f t="shared" si="39"/>
        <v>1.7573582196697779</v>
      </c>
      <c r="Q87" s="153">
        <f t="shared" si="40"/>
        <v>0.22999315313105381</v>
      </c>
      <c r="R87" s="153">
        <f t="shared" si="41"/>
        <v>0.96344647519582249</v>
      </c>
    </row>
    <row r="88" spans="3:18" x14ac:dyDescent="0.25">
      <c r="C88" s="150">
        <v>82</v>
      </c>
      <c r="D88" s="5">
        <f t="shared" si="42"/>
        <v>12.28</v>
      </c>
      <c r="E88" s="386">
        <f t="shared" si="29"/>
        <v>7.66</v>
      </c>
      <c r="F88" s="191">
        <f t="shared" si="30"/>
        <v>0.3841524573721164</v>
      </c>
      <c r="G88" s="152">
        <f t="shared" si="31"/>
        <v>8.7035885656970908</v>
      </c>
      <c r="H88" s="191">
        <f t="shared" si="32"/>
        <v>0.58023923771313934</v>
      </c>
      <c r="I88" s="386">
        <f t="shared" si="33"/>
        <v>19.939999999999998</v>
      </c>
      <c r="J88" s="152">
        <f t="shared" si="34"/>
        <v>1.35</v>
      </c>
      <c r="K88" s="152">
        <f t="shared" si="35"/>
        <v>0.98941368078175895</v>
      </c>
      <c r="L88" s="152">
        <f t="shared" si="36"/>
        <v>1.5861618798955615</v>
      </c>
      <c r="M88" s="386">
        <f t="shared" si="43"/>
        <v>350</v>
      </c>
      <c r="N88" s="175">
        <f t="shared" si="37"/>
        <v>350</v>
      </c>
      <c r="O88" s="191">
        <f t="shared" si="38"/>
        <v>1.4975848179459013</v>
      </c>
      <c r="P88" s="153">
        <f t="shared" si="39"/>
        <v>1.7595644075082391</v>
      </c>
      <c r="Q88" s="153">
        <f t="shared" si="40"/>
        <v>0.23057098250220248</v>
      </c>
      <c r="R88" s="153">
        <f t="shared" si="41"/>
        <v>0.96344647519582249</v>
      </c>
    </row>
    <row r="89" spans="3:18" x14ac:dyDescent="0.25">
      <c r="C89" s="150">
        <v>83</v>
      </c>
      <c r="D89" s="5">
        <f t="shared" si="42"/>
        <v>12.32</v>
      </c>
      <c r="E89" s="386">
        <f t="shared" si="29"/>
        <v>7.66</v>
      </c>
      <c r="F89" s="191">
        <f t="shared" si="30"/>
        <v>0.3833833833833834</v>
      </c>
      <c r="G89" s="152">
        <f t="shared" si="31"/>
        <v>8.7144576576576576</v>
      </c>
      <c r="H89" s="191">
        <f t="shared" si="32"/>
        <v>0.58096384384384381</v>
      </c>
      <c r="I89" s="386">
        <f t="shared" si="33"/>
        <v>19.98</v>
      </c>
      <c r="J89" s="152">
        <f t="shared" si="34"/>
        <v>1.35</v>
      </c>
      <c r="K89" s="152">
        <f t="shared" si="35"/>
        <v>0.98620129870129858</v>
      </c>
      <c r="L89" s="152">
        <f t="shared" si="36"/>
        <v>1.5861618798955615</v>
      </c>
      <c r="M89" s="386">
        <f t="shared" si="43"/>
        <v>350</v>
      </c>
      <c r="N89" s="175">
        <f t="shared" si="37"/>
        <v>350</v>
      </c>
      <c r="O89" s="191">
        <f t="shared" si="38"/>
        <v>1.4994550105661217</v>
      </c>
      <c r="P89" s="153">
        <f t="shared" si="39"/>
        <v>1.761761761761762</v>
      </c>
      <c r="Q89" s="153">
        <f t="shared" si="40"/>
        <v>0.23114721884602885</v>
      </c>
      <c r="R89" s="153">
        <f t="shared" si="41"/>
        <v>0.96344647519582249</v>
      </c>
    </row>
    <row r="90" spans="3:18" x14ac:dyDescent="0.25">
      <c r="C90" s="150">
        <v>84</v>
      </c>
      <c r="D90" s="5">
        <f t="shared" si="42"/>
        <v>12.36</v>
      </c>
      <c r="E90" s="386">
        <f t="shared" si="29"/>
        <v>7.66</v>
      </c>
      <c r="F90" s="191">
        <f t="shared" si="30"/>
        <v>0.38261738261738265</v>
      </c>
      <c r="G90" s="152">
        <f t="shared" si="31"/>
        <v>8.7252833166833152</v>
      </c>
      <c r="H90" s="191">
        <f t="shared" si="32"/>
        <v>0.58168555444555436</v>
      </c>
      <c r="I90" s="386">
        <f t="shared" si="33"/>
        <v>20.02</v>
      </c>
      <c r="J90" s="152">
        <f t="shared" si="34"/>
        <v>1.35</v>
      </c>
      <c r="K90" s="152">
        <f t="shared" si="35"/>
        <v>0.9830097087378642</v>
      </c>
      <c r="L90" s="152">
        <f t="shared" si="36"/>
        <v>1.5861618798955615</v>
      </c>
      <c r="M90" s="386">
        <f t="shared" si="43"/>
        <v>350</v>
      </c>
      <c r="N90" s="175">
        <f t="shared" si="37"/>
        <v>350</v>
      </c>
      <c r="O90" s="191">
        <f t="shared" si="38"/>
        <v>1.5013177298891585</v>
      </c>
      <c r="P90" s="153">
        <f t="shared" si="39"/>
        <v>1.763950335378907</v>
      </c>
      <c r="Q90" s="153">
        <f t="shared" si="40"/>
        <v>0.23172186740047454</v>
      </c>
      <c r="R90" s="153">
        <f t="shared" si="41"/>
        <v>0.96344647519582249</v>
      </c>
    </row>
    <row r="91" spans="3:18" x14ac:dyDescent="0.25">
      <c r="C91" s="150">
        <v>85</v>
      </c>
      <c r="D91" s="5">
        <f t="shared" si="42"/>
        <v>12.4</v>
      </c>
      <c r="E91" s="386">
        <f t="shared" si="29"/>
        <v>7.66</v>
      </c>
      <c r="F91" s="191">
        <f t="shared" si="30"/>
        <v>0.38185443668993019</v>
      </c>
      <c r="G91" s="152">
        <f t="shared" si="31"/>
        <v>8.736065802592222</v>
      </c>
      <c r="H91" s="191">
        <f t="shared" si="32"/>
        <v>0.58240438683948148</v>
      </c>
      <c r="I91" s="386">
        <f t="shared" si="33"/>
        <v>20.060000000000002</v>
      </c>
      <c r="J91" s="152">
        <f t="shared" si="34"/>
        <v>1.35</v>
      </c>
      <c r="K91" s="152">
        <f t="shared" si="35"/>
        <v>0.97983870967741926</v>
      </c>
      <c r="L91" s="152">
        <f t="shared" si="36"/>
        <v>1.5861618798955615</v>
      </c>
      <c r="M91" s="386">
        <f t="shared" si="43"/>
        <v>350</v>
      </c>
      <c r="N91" s="175">
        <f t="shared" si="37"/>
        <v>350</v>
      </c>
      <c r="O91" s="191">
        <f t="shared" si="38"/>
        <v>1.5031730206206779</v>
      </c>
      <c r="P91" s="153">
        <f t="shared" si="39"/>
        <v>1.766130180885914</v>
      </c>
      <c r="Q91" s="153">
        <f t="shared" si="40"/>
        <v>0.23229493339601706</v>
      </c>
      <c r="R91" s="153">
        <f t="shared" si="41"/>
        <v>0.96344647519582249</v>
      </c>
    </row>
    <row r="92" spans="3:18" x14ac:dyDescent="0.25">
      <c r="C92" s="150">
        <v>86</v>
      </c>
      <c r="D92" s="5">
        <f t="shared" si="42"/>
        <v>12.44</v>
      </c>
      <c r="E92" s="386">
        <f t="shared" si="29"/>
        <v>7.66</v>
      </c>
      <c r="F92" s="191">
        <f t="shared" si="30"/>
        <v>0.38109452736318405</v>
      </c>
      <c r="G92" s="152">
        <f t="shared" si="31"/>
        <v>8.7468053731343272</v>
      </c>
      <c r="H92" s="191">
        <f t="shared" si="32"/>
        <v>0.58312035820895514</v>
      </c>
      <c r="I92" s="386">
        <f t="shared" si="33"/>
        <v>20.100000000000001</v>
      </c>
      <c r="J92" s="152">
        <f t="shared" si="34"/>
        <v>1.35</v>
      </c>
      <c r="K92" s="152">
        <f t="shared" si="35"/>
        <v>0.97668810289389074</v>
      </c>
      <c r="L92" s="152">
        <f t="shared" si="36"/>
        <v>1.5861618798955615</v>
      </c>
      <c r="M92" s="386">
        <f t="shared" si="43"/>
        <v>350</v>
      </c>
      <c r="N92" s="175">
        <f t="shared" si="37"/>
        <v>350</v>
      </c>
      <c r="O92" s="191">
        <f t="shared" si="38"/>
        <v>1.5050209271104795</v>
      </c>
      <c r="P92" s="153">
        <f t="shared" si="39"/>
        <v>1.7683013503909029</v>
      </c>
      <c r="Q92" s="153">
        <f t="shared" si="40"/>
        <v>0.23286642205540259</v>
      </c>
      <c r="R92" s="153">
        <f t="shared" si="41"/>
        <v>0.96344647519582249</v>
      </c>
    </row>
    <row r="93" spans="3:18" x14ac:dyDescent="0.25">
      <c r="C93" s="150">
        <v>87</v>
      </c>
      <c r="D93" s="5">
        <f t="shared" si="42"/>
        <v>12.48</v>
      </c>
      <c r="E93" s="386">
        <f t="shared" si="29"/>
        <v>7.66</v>
      </c>
      <c r="F93" s="191">
        <f t="shared" si="30"/>
        <v>0.38033763654419067</v>
      </c>
      <c r="G93" s="152">
        <f t="shared" si="31"/>
        <v>8.7575022840119168</v>
      </c>
      <c r="H93" s="191">
        <f t="shared" si="32"/>
        <v>0.5838334856007944</v>
      </c>
      <c r="I93" s="386">
        <f t="shared" si="33"/>
        <v>20.14</v>
      </c>
      <c r="J93" s="152">
        <f t="shared" si="34"/>
        <v>1.35</v>
      </c>
      <c r="K93" s="152">
        <f t="shared" si="35"/>
        <v>0.97355769230769229</v>
      </c>
      <c r="L93" s="152">
        <f t="shared" si="36"/>
        <v>1.5861618798955615</v>
      </c>
      <c r="M93" s="386">
        <f t="shared" si="43"/>
        <v>350</v>
      </c>
      <c r="N93" s="175">
        <f t="shared" si="37"/>
        <v>350</v>
      </c>
      <c r="O93" s="191">
        <f t="shared" si="38"/>
        <v>1.5068614933560318</v>
      </c>
      <c r="P93" s="153">
        <f t="shared" si="39"/>
        <v>1.770463895588027</v>
      </c>
      <c r="Q93" s="153">
        <f t="shared" si="40"/>
        <v>0.23343633859338733</v>
      </c>
      <c r="R93" s="153">
        <f t="shared" si="41"/>
        <v>0.96344647519582249</v>
      </c>
    </row>
    <row r="94" spans="3:18" x14ac:dyDescent="0.25">
      <c r="C94" s="150">
        <v>88</v>
      </c>
      <c r="D94" s="5">
        <f t="shared" si="42"/>
        <v>12.52</v>
      </c>
      <c r="E94" s="386">
        <f t="shared" si="29"/>
        <v>7.66</v>
      </c>
      <c r="F94" s="191">
        <f t="shared" si="30"/>
        <v>0.37958374628344899</v>
      </c>
      <c r="G94" s="152">
        <f t="shared" si="31"/>
        <v>8.7681567888999012</v>
      </c>
      <c r="H94" s="191">
        <f t="shared" si="32"/>
        <v>0.58454378592666012</v>
      </c>
      <c r="I94" s="386">
        <f t="shared" si="33"/>
        <v>20.18</v>
      </c>
      <c r="J94" s="152">
        <f t="shared" si="34"/>
        <v>1.35</v>
      </c>
      <c r="K94" s="152">
        <f t="shared" si="35"/>
        <v>0.97044728434504801</v>
      </c>
      <c r="L94" s="152">
        <f t="shared" si="36"/>
        <v>1.5861618798955615</v>
      </c>
      <c r="M94" s="386">
        <f t="shared" si="43"/>
        <v>350</v>
      </c>
      <c r="N94" s="175">
        <f t="shared" si="37"/>
        <v>350</v>
      </c>
      <c r="O94" s="191">
        <f t="shared" si="38"/>
        <v>1.5086947630059626</v>
      </c>
      <c r="P94" s="153">
        <f t="shared" si="39"/>
        <v>1.7726178677615749</v>
      </c>
      <c r="Q94" s="153">
        <f t="shared" si="40"/>
        <v>0.23400468821648487</v>
      </c>
      <c r="R94" s="153">
        <f t="shared" si="41"/>
        <v>0.96344647519582249</v>
      </c>
    </row>
    <row r="95" spans="3:18" x14ac:dyDescent="0.25">
      <c r="C95" s="150">
        <v>89</v>
      </c>
      <c r="D95" s="5">
        <f t="shared" si="42"/>
        <v>12.56</v>
      </c>
      <c r="E95" s="386">
        <f t="shared" si="29"/>
        <v>7.66</v>
      </c>
      <c r="F95" s="191">
        <f t="shared" si="30"/>
        <v>0.37883283877349161</v>
      </c>
      <c r="G95" s="152">
        <f t="shared" si="31"/>
        <v>8.7787691394658758</v>
      </c>
      <c r="H95" s="191">
        <f t="shared" si="32"/>
        <v>0.58525127596439175</v>
      </c>
      <c r="I95" s="386">
        <f t="shared" si="33"/>
        <v>20.22</v>
      </c>
      <c r="J95" s="152">
        <f t="shared" si="34"/>
        <v>1.35</v>
      </c>
      <c r="K95" s="152">
        <f t="shared" si="35"/>
        <v>0.96735668789808904</v>
      </c>
      <c r="L95" s="152">
        <f t="shared" si="36"/>
        <v>1.5861618798955615</v>
      </c>
      <c r="M95" s="386">
        <f t="shared" si="43"/>
        <v>350</v>
      </c>
      <c r="N95" s="175">
        <f t="shared" si="37"/>
        <v>350</v>
      </c>
      <c r="O95" s="191">
        <f t="shared" si="38"/>
        <v>1.5105207793635096</v>
      </c>
      <c r="P95" s="153">
        <f t="shared" si="39"/>
        <v>1.7747633177900244</v>
      </c>
      <c r="Q95" s="153">
        <f t="shared" si="40"/>
        <v>0.23457147612272111</v>
      </c>
      <c r="R95" s="153">
        <f t="shared" si="41"/>
        <v>0.96344647519582249</v>
      </c>
    </row>
    <row r="96" spans="3:18" x14ac:dyDescent="0.25">
      <c r="C96" s="150">
        <v>90</v>
      </c>
      <c r="D96" s="5">
        <f t="shared" si="42"/>
        <v>12.6</v>
      </c>
      <c r="E96" s="386">
        <f t="shared" si="29"/>
        <v>7.66</v>
      </c>
      <c r="F96" s="191">
        <f t="shared" si="30"/>
        <v>0.37808489634748277</v>
      </c>
      <c r="G96" s="152">
        <f t="shared" si="31"/>
        <v>8.7893395853899303</v>
      </c>
      <c r="H96" s="191">
        <f t="shared" si="32"/>
        <v>0.58595597235932873</v>
      </c>
      <c r="I96" s="386">
        <f t="shared" si="33"/>
        <v>20.259999999999998</v>
      </c>
      <c r="J96" s="152">
        <f t="shared" si="34"/>
        <v>1.35</v>
      </c>
      <c r="K96" s="152">
        <f t="shared" si="35"/>
        <v>0.96428571428571441</v>
      </c>
      <c r="L96" s="152">
        <f t="shared" si="36"/>
        <v>1.5861618798955615</v>
      </c>
      <c r="M96" s="386">
        <f t="shared" si="43"/>
        <v>350</v>
      </c>
      <c r="N96" s="175">
        <f t="shared" si="37"/>
        <v>350</v>
      </c>
      <c r="O96" s="191">
        <f t="shared" si="38"/>
        <v>1.5123395853899311</v>
      </c>
      <c r="P96" s="153">
        <f t="shared" si="39"/>
        <v>1.7769002961500497</v>
      </c>
      <c r="Q96" s="153">
        <f t="shared" si="40"/>
        <v>0.23513670750139604</v>
      </c>
      <c r="R96" s="153">
        <f t="shared" si="41"/>
        <v>0.96344647519582249</v>
      </c>
    </row>
    <row r="97" spans="3:18" x14ac:dyDescent="0.25">
      <c r="C97" s="150">
        <v>91</v>
      </c>
      <c r="D97" s="5">
        <f t="shared" si="42"/>
        <v>12.64</v>
      </c>
      <c r="E97" s="386">
        <f t="shared" si="29"/>
        <v>7.66</v>
      </c>
      <c r="F97" s="191">
        <f t="shared" si="30"/>
        <v>0.37733990147783253</v>
      </c>
      <c r="G97" s="152">
        <f t="shared" si="31"/>
        <v>8.7998683743842374</v>
      </c>
      <c r="H97" s="191">
        <f t="shared" si="32"/>
        <v>0.58665789162561588</v>
      </c>
      <c r="I97" s="386">
        <f t="shared" si="33"/>
        <v>20.3</v>
      </c>
      <c r="J97" s="152">
        <f t="shared" si="34"/>
        <v>1.35</v>
      </c>
      <c r="K97" s="152">
        <f t="shared" si="35"/>
        <v>0.96123417721518978</v>
      </c>
      <c r="L97" s="152">
        <f t="shared" si="36"/>
        <v>1.5861618798955615</v>
      </c>
      <c r="M97" s="386">
        <f t="shared" si="43"/>
        <v>350</v>
      </c>
      <c r="N97" s="175">
        <f t="shared" si="37"/>
        <v>350</v>
      </c>
      <c r="O97" s="191">
        <f t="shared" si="38"/>
        <v>1.5141512237078742</v>
      </c>
      <c r="P97" s="153">
        <f t="shared" si="39"/>
        <v>1.7790288529204787</v>
      </c>
      <c r="Q97" s="153">
        <f t="shared" si="40"/>
        <v>0.23570038753285139</v>
      </c>
      <c r="R97" s="153">
        <f t="shared" si="41"/>
        <v>0.96344647519582249</v>
      </c>
    </row>
    <row r="98" spans="3:18" x14ac:dyDescent="0.25">
      <c r="C98" s="150">
        <v>92</v>
      </c>
      <c r="D98" s="5">
        <f t="shared" si="42"/>
        <v>12.68</v>
      </c>
      <c r="E98" s="386">
        <f t="shared" si="29"/>
        <v>7.66</v>
      </c>
      <c r="F98" s="191">
        <f t="shared" si="30"/>
        <v>0.37659783677482794</v>
      </c>
      <c r="G98" s="152">
        <f t="shared" si="31"/>
        <v>8.8103557522123896</v>
      </c>
      <c r="H98" s="191">
        <f t="shared" si="32"/>
        <v>0.58735705014749262</v>
      </c>
      <c r="I98" s="386">
        <f t="shared" si="33"/>
        <v>20.34</v>
      </c>
      <c r="J98" s="152">
        <f t="shared" si="34"/>
        <v>1.35</v>
      </c>
      <c r="K98" s="152">
        <f t="shared" si="35"/>
        <v>0.95820189274447953</v>
      </c>
      <c r="L98" s="152">
        <f t="shared" si="36"/>
        <v>1.5861618798955615</v>
      </c>
      <c r="M98" s="386">
        <f t="shared" si="43"/>
        <v>350</v>
      </c>
      <c r="N98" s="175">
        <f t="shared" si="37"/>
        <v>350</v>
      </c>
      <c r="O98" s="191">
        <f t="shared" si="38"/>
        <v>1.5159557366047041</v>
      </c>
      <c r="P98" s="153">
        <f t="shared" si="39"/>
        <v>1.7811490377862056</v>
      </c>
      <c r="Q98" s="153">
        <f t="shared" si="40"/>
        <v>0.23626252138824538</v>
      </c>
      <c r="R98" s="153">
        <f t="shared" si="41"/>
        <v>0.96344647519582249</v>
      </c>
    </row>
    <row r="99" spans="3:18" x14ac:dyDescent="0.25">
      <c r="C99" s="150">
        <v>93</v>
      </c>
      <c r="D99" s="5">
        <f t="shared" si="42"/>
        <v>12.72</v>
      </c>
      <c r="E99" s="386">
        <f t="shared" si="29"/>
        <v>7.66</v>
      </c>
      <c r="F99" s="191">
        <f t="shared" si="30"/>
        <v>0.37585868498527963</v>
      </c>
      <c r="G99" s="152">
        <f t="shared" si="31"/>
        <v>8.8208019627085363</v>
      </c>
      <c r="H99" s="191">
        <f t="shared" si="32"/>
        <v>0.58805346418056914</v>
      </c>
      <c r="I99" s="386">
        <f t="shared" si="33"/>
        <v>20.380000000000003</v>
      </c>
      <c r="J99" s="152">
        <f t="shared" si="34"/>
        <v>1.35</v>
      </c>
      <c r="K99" s="152">
        <f t="shared" si="35"/>
        <v>0.95518867924528306</v>
      </c>
      <c r="L99" s="152">
        <f t="shared" si="36"/>
        <v>1.5861618798955615</v>
      </c>
      <c r="M99" s="386">
        <f t="shared" si="43"/>
        <v>350</v>
      </c>
      <c r="N99" s="175">
        <f t="shared" si="37"/>
        <v>350</v>
      </c>
      <c r="O99" s="191">
        <f t="shared" si="38"/>
        <v>1.5177531660357964</v>
      </c>
      <c r="P99" s="153">
        <f t="shared" si="39"/>
        <v>1.7832609000420583</v>
      </c>
      <c r="Q99" s="153">
        <f t="shared" si="40"/>
        <v>0.2368231142293343</v>
      </c>
      <c r="R99" s="153">
        <f t="shared" si="41"/>
        <v>0.96344647519582249</v>
      </c>
    </row>
    <row r="100" spans="3:18" x14ac:dyDescent="0.25">
      <c r="C100" s="150">
        <v>94</v>
      </c>
      <c r="D100" s="5">
        <f t="shared" si="42"/>
        <v>12.76</v>
      </c>
      <c r="E100" s="386">
        <f t="shared" si="29"/>
        <v>7.66</v>
      </c>
      <c r="F100" s="191">
        <f t="shared" si="30"/>
        <v>0.37512242899118509</v>
      </c>
      <c r="G100" s="152">
        <f t="shared" si="31"/>
        <v>8.8312072477962769</v>
      </c>
      <c r="H100" s="191">
        <f t="shared" si="32"/>
        <v>0.58874714985308507</v>
      </c>
      <c r="I100" s="386">
        <f t="shared" si="33"/>
        <v>20.420000000000002</v>
      </c>
      <c r="J100" s="152">
        <f t="shared" si="34"/>
        <v>1.35</v>
      </c>
      <c r="K100" s="152">
        <f t="shared" si="35"/>
        <v>0.95219435736677127</v>
      </c>
      <c r="L100" s="152">
        <f t="shared" si="36"/>
        <v>1.5861618798955615</v>
      </c>
      <c r="M100" s="386">
        <f t="shared" si="43"/>
        <v>350</v>
      </c>
      <c r="N100" s="175">
        <f t="shared" si="37"/>
        <v>350</v>
      </c>
      <c r="O100" s="191">
        <f t="shared" si="38"/>
        <v>1.5195435536277848</v>
      </c>
      <c r="P100" s="153">
        <f t="shared" si="39"/>
        <v>1.785364488596614</v>
      </c>
      <c r="Q100" s="153">
        <f t="shared" si="40"/>
        <v>0.23738217120825825</v>
      </c>
      <c r="R100" s="153">
        <f t="shared" si="41"/>
        <v>0.96344647519582249</v>
      </c>
    </row>
    <row r="101" spans="3:18" x14ac:dyDescent="0.25">
      <c r="C101" s="150">
        <v>95</v>
      </c>
      <c r="D101" s="5">
        <f t="shared" si="42"/>
        <v>12.8</v>
      </c>
      <c r="E101" s="386">
        <f t="shared" si="29"/>
        <v>7.66</v>
      </c>
      <c r="F101" s="191">
        <f t="shared" si="30"/>
        <v>0.37438905180840665</v>
      </c>
      <c r="G101" s="152">
        <f t="shared" si="31"/>
        <v>8.8415718475073302</v>
      </c>
      <c r="H101" s="191">
        <f t="shared" si="32"/>
        <v>0.58943812316715538</v>
      </c>
      <c r="I101" s="386">
        <f t="shared" si="33"/>
        <v>20.46</v>
      </c>
      <c r="J101" s="152">
        <f t="shared" si="34"/>
        <v>1.35</v>
      </c>
      <c r="K101" s="152">
        <f t="shared" si="35"/>
        <v>0.94921875</v>
      </c>
      <c r="L101" s="152">
        <f t="shared" si="36"/>
        <v>1.5861618798955615</v>
      </c>
      <c r="M101" s="386">
        <f t="shared" si="43"/>
        <v>350</v>
      </c>
      <c r="N101" s="175">
        <f t="shared" si="37"/>
        <v>350</v>
      </c>
      <c r="O101" s="191">
        <f t="shared" si="38"/>
        <v>1.5213269406817795</v>
      </c>
      <c r="P101" s="153">
        <f t="shared" si="39"/>
        <v>1.7874598519759812</v>
      </c>
      <c r="Q101" s="153">
        <f t="shared" si="40"/>
        <v>0.23793969746733604</v>
      </c>
      <c r="R101" s="153">
        <f t="shared" si="41"/>
        <v>0.96344647519582249</v>
      </c>
    </row>
    <row r="102" spans="3:18" x14ac:dyDescent="0.25">
      <c r="C102" s="150">
        <v>96</v>
      </c>
      <c r="D102" s="5">
        <f t="shared" si="42"/>
        <v>12.84</v>
      </c>
      <c r="E102" s="386">
        <f t="shared" si="29"/>
        <v>7.66</v>
      </c>
      <c r="F102" s="191">
        <f t="shared" si="30"/>
        <v>0.37365853658536585</v>
      </c>
      <c r="G102" s="152">
        <f t="shared" ref="G102:G106" si="44">F102*D102*Isw_max*0.5*Efficiency</f>
        <v>8.851896</v>
      </c>
      <c r="H102" s="191">
        <f t="shared" ref="H102:H106" si="45">G102/Vout</f>
        <v>0.59012640000000005</v>
      </c>
      <c r="I102" s="386">
        <f t="shared" si="33"/>
        <v>20.5</v>
      </c>
      <c r="J102" s="152">
        <f t="shared" si="34"/>
        <v>1.35</v>
      </c>
      <c r="K102" s="152">
        <f t="shared" ref="K102:K106" si="46">L*J102/D102*1000000</f>
        <v>0.94626168224299079</v>
      </c>
      <c r="L102" s="152">
        <f t="shared" si="36"/>
        <v>1.5861618798955615</v>
      </c>
      <c r="M102" s="386">
        <f t="shared" si="43"/>
        <v>350</v>
      </c>
      <c r="N102" s="175">
        <f t="shared" si="37"/>
        <v>350</v>
      </c>
      <c r="O102" s="191">
        <f t="shared" ref="O102:O106" si="47">1/((N102*1000*L)*(1/D102+1/E102))</f>
        <v>1.5231033681765391</v>
      </c>
      <c r="P102" s="153">
        <f t="shared" ref="P102:P106" si="48">L*O102/E102*1000000</f>
        <v>1.7895470383275265</v>
      </c>
      <c r="Q102" s="153">
        <f t="shared" ref="Q102:Q106" si="49">0.5*P102*O102*Nps*N102/1000</f>
        <v>0.23849569813886298</v>
      </c>
      <c r="R102" s="153">
        <f t="shared" si="41"/>
        <v>0.96344647519582249</v>
      </c>
    </row>
    <row r="103" spans="3:18" x14ac:dyDescent="0.25">
      <c r="C103" s="150">
        <v>97</v>
      </c>
      <c r="D103" s="5">
        <f t="shared" ref="D103:D106" si="50">C103/100*(VIN_max-VIN_min)+VIN_min</f>
        <v>12.879999999999999</v>
      </c>
      <c r="E103" s="386">
        <f t="shared" si="29"/>
        <v>7.66</v>
      </c>
      <c r="F103" s="191">
        <f t="shared" si="30"/>
        <v>0.37293086660175268</v>
      </c>
      <c r="G103" s="152">
        <f t="shared" si="44"/>
        <v>8.8621799415774092</v>
      </c>
      <c r="H103" s="191">
        <f t="shared" si="45"/>
        <v>0.59081199610516066</v>
      </c>
      <c r="I103" s="386">
        <f t="shared" si="33"/>
        <v>20.54</v>
      </c>
      <c r="J103" s="152">
        <f t="shared" si="34"/>
        <v>1.35</v>
      </c>
      <c r="K103" s="152">
        <f t="shared" si="46"/>
        <v>0.94332298136645976</v>
      </c>
      <c r="L103" s="152">
        <f t="shared" si="36"/>
        <v>1.5861618798955615</v>
      </c>
      <c r="M103" s="386">
        <f t="shared" si="43"/>
        <v>350</v>
      </c>
      <c r="N103" s="175">
        <f t="shared" si="37"/>
        <v>350</v>
      </c>
      <c r="O103" s="191">
        <f t="shared" si="47"/>
        <v>1.5248728767716111</v>
      </c>
      <c r="P103" s="153">
        <f t="shared" si="48"/>
        <v>1.7916260954235639</v>
      </c>
      <c r="Q103" s="153">
        <f t="shared" si="49"/>
        <v>0.23905017834491665</v>
      </c>
      <c r="R103" s="153">
        <f t="shared" si="41"/>
        <v>0.96344647519582249</v>
      </c>
    </row>
    <row r="104" spans="3:18" x14ac:dyDescent="0.25">
      <c r="C104" s="150">
        <v>98</v>
      </c>
      <c r="D104" s="5">
        <f t="shared" si="50"/>
        <v>12.92</v>
      </c>
      <c r="E104" s="386">
        <f t="shared" si="29"/>
        <v>7.66</v>
      </c>
      <c r="F104" s="191">
        <f t="shared" si="30"/>
        <v>0.37220602526724977</v>
      </c>
      <c r="G104" s="152">
        <f t="shared" si="44"/>
        <v>8.8724239067055404</v>
      </c>
      <c r="H104" s="191">
        <f t="shared" si="45"/>
        <v>0.59149492711370266</v>
      </c>
      <c r="I104" s="386">
        <f t="shared" si="33"/>
        <v>20.58</v>
      </c>
      <c r="J104" s="152">
        <f t="shared" si="34"/>
        <v>1.35</v>
      </c>
      <c r="K104" s="152">
        <f t="shared" si="46"/>
        <v>0.94040247678018585</v>
      </c>
      <c r="L104" s="152">
        <f t="shared" si="36"/>
        <v>1.5861618798955615</v>
      </c>
      <c r="M104" s="386">
        <f t="shared" si="43"/>
        <v>350</v>
      </c>
      <c r="N104" s="175">
        <f t="shared" si="37"/>
        <v>350</v>
      </c>
      <c r="O104" s="191">
        <f t="shared" si="47"/>
        <v>1.526635506810434</v>
      </c>
      <c r="P104" s="153">
        <f t="shared" si="48"/>
        <v>1.7936970706650008</v>
      </c>
      <c r="Q104" s="153">
        <f t="shared" si="49"/>
        <v>0.23960314319716727</v>
      </c>
      <c r="R104" s="153">
        <f t="shared" si="41"/>
        <v>0.96344647519582249</v>
      </c>
    </row>
    <row r="105" spans="3:18" x14ac:dyDescent="0.25">
      <c r="C105" s="150">
        <v>99</v>
      </c>
      <c r="D105" s="5">
        <f t="shared" si="50"/>
        <v>12.96</v>
      </c>
      <c r="E105" s="386">
        <f t="shared" si="29"/>
        <v>7.66</v>
      </c>
      <c r="F105" s="191">
        <f t="shared" si="30"/>
        <v>0.37148399612027155</v>
      </c>
      <c r="G105" s="152">
        <f t="shared" si="44"/>
        <v>8.8826281280310351</v>
      </c>
      <c r="H105" s="191">
        <f t="shared" si="45"/>
        <v>0.59217520853540229</v>
      </c>
      <c r="I105" s="386">
        <f t="shared" si="33"/>
        <v>20.62</v>
      </c>
      <c r="J105" s="152">
        <f t="shared" si="34"/>
        <v>1.35</v>
      </c>
      <c r="K105" s="152">
        <f t="shared" si="46"/>
        <v>0.9375</v>
      </c>
      <c r="L105" s="152">
        <f t="shared" si="36"/>
        <v>1.5861618798955615</v>
      </c>
      <c r="M105" s="386">
        <f t="shared" si="43"/>
        <v>350</v>
      </c>
      <c r="N105" s="175">
        <f t="shared" si="37"/>
        <v>350</v>
      </c>
      <c r="O105" s="191">
        <f t="shared" si="47"/>
        <v>1.5283912983234034</v>
      </c>
      <c r="P105" s="153">
        <f t="shared" si="48"/>
        <v>1.7957600110849388</v>
      </c>
      <c r="Q105" s="153">
        <f t="shared" si="49"/>
        <v>0.2401545977966939</v>
      </c>
      <c r="R105" s="153">
        <f t="shared" si="41"/>
        <v>0.96344647519582249</v>
      </c>
    </row>
    <row r="106" spans="3:18" x14ac:dyDescent="0.25">
      <c r="C106" s="150">
        <v>100</v>
      </c>
      <c r="D106" s="5">
        <f t="shared" si="50"/>
        <v>13</v>
      </c>
      <c r="E106" s="386">
        <f t="shared" si="29"/>
        <v>7.66</v>
      </c>
      <c r="F106" s="191">
        <f t="shared" si="30"/>
        <v>0.37076476282671827</v>
      </c>
      <c r="G106" s="152">
        <f t="shared" si="44"/>
        <v>8.8927928363988382</v>
      </c>
      <c r="H106" s="191">
        <f t="shared" si="45"/>
        <v>0.59285285575992253</v>
      </c>
      <c r="I106" s="386">
        <f t="shared" si="33"/>
        <v>20.66</v>
      </c>
      <c r="J106" s="152">
        <f t="shared" si="34"/>
        <v>1.35</v>
      </c>
      <c r="K106" s="152">
        <f t="shared" si="46"/>
        <v>0.93461538461538474</v>
      </c>
      <c r="L106" s="152">
        <f t="shared" si="36"/>
        <v>1.5861618798955615</v>
      </c>
      <c r="M106" s="386">
        <f t="shared" si="43"/>
        <v>350</v>
      </c>
      <c r="N106" s="175">
        <f t="shared" si="37"/>
        <v>350</v>
      </c>
      <c r="O106" s="191">
        <f t="shared" si="47"/>
        <v>1.530140291030901</v>
      </c>
      <c r="P106" s="153">
        <f t="shared" si="48"/>
        <v>1.7978149633522336</v>
      </c>
      <c r="Q106" s="153">
        <f t="shared" si="49"/>
        <v>0.24070454723380583</v>
      </c>
      <c r="R106" s="153">
        <f t="shared" si="41"/>
        <v>0.96344647519582249</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21875" defaultRowHeight="13.2" x14ac:dyDescent="0.25"/>
  <cols>
    <col min="1" max="1" width="15.77734375" style="150" customWidth="1"/>
    <col min="2" max="2" width="11.5546875" style="150" customWidth="1"/>
    <col min="3" max="3" width="9.21875" style="150"/>
    <col min="4" max="4" width="12.44140625" style="150" bestFit="1" customWidth="1"/>
    <col min="5" max="5" width="51.44140625" style="150" customWidth="1"/>
    <col min="6" max="6" width="13.44140625" style="150" customWidth="1"/>
    <col min="7" max="7" width="10" style="150" customWidth="1"/>
    <col min="8" max="8" width="6.77734375" style="150" customWidth="1"/>
    <col min="9" max="9" width="12.44140625" style="150" bestFit="1" customWidth="1"/>
    <col min="10" max="10" width="9.21875" style="190" customWidth="1"/>
    <col min="11" max="11" width="8.77734375"/>
    <col min="13" max="13" width="10.77734375" customWidth="1"/>
    <col min="14" max="14" width="12" style="150" customWidth="1"/>
    <col min="15" max="15" width="12.77734375" style="190" customWidth="1"/>
    <col min="16" max="16" width="11.44140625" style="190" customWidth="1"/>
    <col min="17" max="17" width="12.44140625" style="190" customWidth="1"/>
    <col min="18" max="19" width="10.5546875" style="175" customWidth="1"/>
    <col min="20" max="20" width="10" style="175" customWidth="1"/>
    <col min="21" max="21" width="10.5546875" style="175" customWidth="1"/>
    <col min="22" max="22" width="8.44140625" style="190" customWidth="1"/>
    <col min="23" max="23" width="9.21875" style="190" customWidth="1"/>
    <col min="24" max="24" width="9.44140625" style="150" customWidth="1"/>
    <col min="25" max="25" width="9.44140625" style="190" customWidth="1"/>
    <col min="26" max="26" width="8.21875" style="191" customWidth="1"/>
    <col min="27" max="27" width="9.5546875" style="190" customWidth="1"/>
    <col min="28" max="28" width="9.44140625" style="190" bestFit="1" customWidth="1"/>
    <col min="29" max="29" width="8.5546875" style="190" customWidth="1"/>
    <col min="30" max="30" width="9.77734375" style="192" customWidth="1"/>
    <col min="31" max="31" width="9.21875" style="192" customWidth="1"/>
    <col min="32" max="32" width="8.21875" style="190" customWidth="1"/>
    <col min="33" max="33" width="10.21875" style="190" customWidth="1"/>
    <col min="34" max="34" width="9.44140625" style="190" customWidth="1"/>
    <col min="35" max="35" width="8.77734375"/>
    <col min="36" max="36" width="9.77734375" style="190" customWidth="1"/>
    <col min="37" max="37" width="11.5546875" style="190" customWidth="1"/>
    <col min="38" max="38" width="10.21875" style="190" customWidth="1"/>
    <col min="39" max="39" width="11.21875" style="190" customWidth="1"/>
    <col min="40" max="40" width="9.21875" style="190"/>
    <col min="41" max="41" width="10.21875" style="190" customWidth="1"/>
    <col min="42" max="43" width="9.77734375" style="190" customWidth="1"/>
    <col min="44" max="45" width="10.21875" style="190" customWidth="1"/>
    <col min="46" max="46" width="10.44140625" style="190" customWidth="1"/>
    <col min="47" max="47" width="11.21875" style="190" customWidth="1"/>
    <col min="48" max="48" width="11.77734375" style="190" customWidth="1"/>
    <col min="49" max="49" width="10.44140625" style="190" customWidth="1"/>
    <col min="50" max="50" width="11.44140625" style="190" customWidth="1"/>
    <col min="51" max="51" width="10.21875" style="190" customWidth="1"/>
    <col min="52" max="52" width="10" style="152" bestFit="1" customWidth="1"/>
    <col min="53" max="55" width="12.77734375" style="299" customWidth="1"/>
    <col min="56" max="56" width="14" style="299" customWidth="1"/>
    <col min="57" max="57" width="12.77734375" style="299" customWidth="1"/>
    <col min="58" max="58" width="10.44140625" style="299" customWidth="1"/>
    <col min="59" max="59" width="9" style="299" customWidth="1"/>
    <col min="60" max="60" width="8.77734375" style="299" customWidth="1"/>
    <col min="61" max="61" width="10.77734375" style="299" customWidth="1"/>
    <col min="62" max="62" width="11.21875" style="299" customWidth="1"/>
    <col min="63" max="64" width="9.21875" style="299"/>
    <col min="65" max="65" width="8.77734375" style="152" customWidth="1"/>
    <col min="66" max="66" width="9.21875" style="191"/>
    <col min="67" max="67" width="12.5546875" style="150" customWidth="1"/>
    <col min="68" max="68" width="13.5546875" style="152" customWidth="1"/>
    <col min="69" max="69" width="12.77734375" style="175" customWidth="1"/>
    <col min="70" max="70" width="3.77734375" style="150" customWidth="1"/>
    <col min="71" max="71" width="12.44140625" style="150" bestFit="1" customWidth="1"/>
    <col min="72" max="72" width="3.5546875" style="150" customWidth="1"/>
    <col min="73" max="73" width="9.21875" style="152"/>
    <col min="74" max="74" width="11.21875" style="152" customWidth="1"/>
    <col min="75" max="75" width="9.21875" style="152"/>
    <col min="76" max="76" width="4.77734375" style="150" customWidth="1"/>
    <col min="77" max="77" width="3.77734375" style="150" customWidth="1"/>
    <col min="78" max="78" width="12.44140625" style="150" customWidth="1"/>
    <col min="79" max="79" width="11.77734375" style="150" customWidth="1"/>
    <col min="80" max="80" width="11.5546875" style="150" customWidth="1"/>
    <col min="81" max="81" width="11.77734375" style="150" customWidth="1"/>
    <col min="82" max="82" width="9.21875" style="150"/>
    <col min="83" max="83" width="9.21875" style="150" customWidth="1"/>
    <col min="84" max="16384" width="9.21875" style="150"/>
  </cols>
  <sheetData>
    <row r="1" spans="1:81" x14ac:dyDescent="0.25">
      <c r="A1" s="732" t="s">
        <v>515</v>
      </c>
      <c r="B1" s="732"/>
      <c r="C1" s="732"/>
      <c r="D1" s="732"/>
      <c r="E1" s="732"/>
    </row>
    <row r="2" spans="1:81" ht="15.6" x14ac:dyDescent="0.25">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8" thickBot="1" x14ac:dyDescent="0.3">
      <c r="A3" s="732"/>
      <c r="B3" s="732"/>
      <c r="C3" s="732"/>
      <c r="D3" s="732"/>
      <c r="E3" s="732"/>
    </row>
    <row r="4" spans="1:81" ht="13.8" thickBot="1" x14ac:dyDescent="0.3">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55000000000000004">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5">
      <c r="A6" s="234" t="s">
        <v>26</v>
      </c>
      <c r="B6" s="235" t="s">
        <v>43</v>
      </c>
      <c r="C6" s="236" t="s">
        <v>33</v>
      </c>
      <c r="D6" s="236" t="s">
        <v>90</v>
      </c>
      <c r="E6" s="237" t="s">
        <v>41</v>
      </c>
      <c r="F6" s="238"/>
      <c r="G6" s="238"/>
      <c r="H6" s="150">
        <v>0.1</v>
      </c>
      <c r="I6" s="397">
        <f t="shared" ref="I6:I37" si="0">IF(PLOT_TYPE=1, H6/100*Iout_max, min_I*EXP(H6*rr/100))</f>
        <v>5.0000000000000001E-4</v>
      </c>
      <c r="J6" s="191"/>
      <c r="K6" s="191"/>
      <c r="L6" s="191"/>
      <c r="M6" s="191"/>
      <c r="N6" s="239"/>
      <c r="O6" s="152"/>
      <c r="P6" s="191"/>
      <c r="Q6" s="386"/>
      <c r="S6" s="240"/>
      <c r="T6" s="240"/>
      <c r="U6" s="240"/>
      <c r="AJ6" s="386"/>
      <c r="AY6" s="190">
        <f>Vout*I6</f>
        <v>7.4999999999999997E-3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0.5</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5">
      <c r="A7" s="360"/>
      <c r="B7" s="235"/>
      <c r="C7" s="236"/>
      <c r="D7" s="236"/>
      <c r="E7" s="237"/>
      <c r="F7" s="238"/>
      <c r="G7" s="238"/>
      <c r="H7" s="150">
        <v>1</v>
      </c>
      <c r="I7" s="397">
        <f t="shared" si="0"/>
        <v>5.0000000000000001E-3</v>
      </c>
      <c r="J7" s="191"/>
      <c r="K7" s="191"/>
      <c r="L7" s="191"/>
      <c r="M7" s="191"/>
      <c r="N7" s="239"/>
      <c r="O7" s="152"/>
      <c r="P7" s="191"/>
      <c r="Q7" s="386"/>
      <c r="S7" s="240"/>
      <c r="T7" s="240"/>
      <c r="U7" s="240"/>
      <c r="AJ7" s="386"/>
      <c r="AY7" s="190">
        <f>Vout*I7</f>
        <v>7.4999999999999997E-2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5</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5">
      <c r="A8" s="244" t="s">
        <v>3</v>
      </c>
      <c r="B8" s="245">
        <f>Vin</f>
        <v>11.1</v>
      </c>
      <c r="C8" s="151" t="s">
        <v>0</v>
      </c>
      <c r="D8" s="172">
        <f>B8</f>
        <v>11.1</v>
      </c>
      <c r="E8" s="151" t="s">
        <v>3</v>
      </c>
      <c r="F8" s="238"/>
      <c r="G8" s="238"/>
      <c r="H8" s="150">
        <v>2</v>
      </c>
      <c r="I8" s="397">
        <f t="shared" si="0"/>
        <v>0.01</v>
      </c>
      <c r="J8" s="191"/>
      <c r="K8" s="191"/>
      <c r="L8" s="191"/>
      <c r="M8" s="191"/>
      <c r="N8" s="239"/>
      <c r="O8" s="152"/>
      <c r="P8" s="191"/>
      <c r="Q8" s="386"/>
      <c r="S8" s="240"/>
      <c r="T8" s="240"/>
      <c r="U8" s="240"/>
      <c r="AJ8" s="386"/>
      <c r="AY8" s="190">
        <f>Vout*I8</f>
        <v>0.15</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10</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5">
      <c r="A9" s="246" t="s">
        <v>4</v>
      </c>
      <c r="B9" s="245">
        <f>Vout</f>
        <v>15</v>
      </c>
      <c r="C9" s="151" t="s">
        <v>0</v>
      </c>
      <c r="D9" s="172">
        <f>B9</f>
        <v>15</v>
      </c>
      <c r="E9" s="151" t="s">
        <v>4</v>
      </c>
      <c r="F9" s="238"/>
      <c r="G9" s="238"/>
      <c r="H9" s="150">
        <v>3</v>
      </c>
      <c r="I9" s="397">
        <f t="shared" si="0"/>
        <v>1.4999999999999999E-2</v>
      </c>
      <c r="J9" s="191"/>
      <c r="K9" s="191"/>
      <c r="L9" s="191"/>
      <c r="M9" s="191"/>
      <c r="N9" s="239"/>
      <c r="O9" s="152"/>
      <c r="P9" s="191"/>
      <c r="Q9" s="386"/>
      <c r="S9" s="240"/>
      <c r="T9" s="240"/>
      <c r="U9" s="240"/>
      <c r="AJ9" s="386"/>
      <c r="AY9" s="190">
        <f>Vout*I9</f>
        <v>0.22499999999999998</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15</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5">
      <c r="A10" s="246" t="s">
        <v>5</v>
      </c>
      <c r="B10" s="245">
        <f>Iout</f>
        <v>0.5</v>
      </c>
      <c r="C10" s="151" t="s">
        <v>1</v>
      </c>
      <c r="D10" s="172">
        <f>B10</f>
        <v>0.5</v>
      </c>
      <c r="E10" s="151" t="s">
        <v>241</v>
      </c>
      <c r="F10" s="238"/>
      <c r="G10" s="238"/>
      <c r="H10" s="150">
        <v>4</v>
      </c>
      <c r="I10" s="397">
        <f t="shared" si="0"/>
        <v>0.02</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5">
      <c r="A11" s="246" t="s">
        <v>139</v>
      </c>
      <c r="B11" s="310">
        <f>Vout/(Fsw/1000)*100000/16</f>
        <v>-937500</v>
      </c>
      <c r="C11" s="247" t="s">
        <v>242</v>
      </c>
      <c r="D11" s="258">
        <f>B11*1000</f>
        <v>-937500000</v>
      </c>
      <c r="E11" s="151"/>
      <c r="F11" s="238"/>
      <c r="G11" s="238"/>
      <c r="H11" s="150">
        <v>5</v>
      </c>
      <c r="I11" s="397">
        <f t="shared" si="0"/>
        <v>2.5000000000000001E-2</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5">
      <c r="A12" s="246" t="s">
        <v>243</v>
      </c>
      <c r="B12" s="245">
        <v>25</v>
      </c>
      <c r="C12" s="151" t="s">
        <v>102</v>
      </c>
      <c r="D12" s="172">
        <f>B12</f>
        <v>25</v>
      </c>
      <c r="E12" s="151" t="s">
        <v>244</v>
      </c>
      <c r="F12" s="238">
        <f>Turns_Ratio</f>
        <v>13</v>
      </c>
      <c r="H12" s="150">
        <v>6</v>
      </c>
      <c r="I12" s="397">
        <f t="shared" si="0"/>
        <v>0.03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5">
      <c r="A13" s="248" t="s">
        <v>245</v>
      </c>
      <c r="B13" s="249">
        <v>5</v>
      </c>
      <c r="C13" s="151" t="s">
        <v>0</v>
      </c>
      <c r="D13" s="172">
        <f>B13</f>
        <v>5</v>
      </c>
      <c r="E13" s="151"/>
      <c r="F13" s="238"/>
      <c r="G13" s="238"/>
      <c r="H13" s="150">
        <v>7</v>
      </c>
      <c r="I13" s="397">
        <f t="shared" si="0"/>
        <v>3.5000000000000003E-2</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5">
      <c r="F14" s="238"/>
      <c r="G14" s="238"/>
      <c r="H14" s="150">
        <v>8</v>
      </c>
      <c r="I14" s="397">
        <f t="shared" si="0"/>
        <v>0.04</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5">
      <c r="A15" s="250" t="s">
        <v>34</v>
      </c>
      <c r="B15" s="212"/>
      <c r="C15" s="212"/>
      <c r="D15" s="212"/>
      <c r="E15" s="213"/>
      <c r="F15" s="238"/>
      <c r="G15" s="238"/>
      <c r="H15" s="150">
        <v>9</v>
      </c>
      <c r="I15" s="397">
        <f t="shared" si="0"/>
        <v>4.4999999999999998E-2</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5">
      <c r="A16" s="234" t="s">
        <v>26</v>
      </c>
      <c r="B16" s="235" t="s">
        <v>6</v>
      </c>
      <c r="C16" s="235" t="s">
        <v>33</v>
      </c>
      <c r="D16" s="251" t="s">
        <v>90</v>
      </c>
      <c r="E16" s="237" t="s">
        <v>41</v>
      </c>
      <c r="F16" s="238"/>
      <c r="G16" s="238"/>
      <c r="H16" s="150">
        <v>10</v>
      </c>
      <c r="I16" s="397">
        <f t="shared" si="0"/>
        <v>0.05</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5">
      <c r="A17" s="248" t="s">
        <v>246</v>
      </c>
      <c r="B17" s="252">
        <f>Vout/Vin/Fsw*1000000</f>
        <v>-13513.513513513513</v>
      </c>
      <c r="C17" s="253" t="s">
        <v>247</v>
      </c>
      <c r="D17" s="254">
        <f>B17/1000000</f>
        <v>-1.3513513513513513E-2</v>
      </c>
      <c r="E17" s="151" t="s">
        <v>248</v>
      </c>
      <c r="F17" s="238"/>
      <c r="G17" s="238"/>
      <c r="H17" s="150">
        <v>11</v>
      </c>
      <c r="I17" s="397">
        <f t="shared" si="0"/>
        <v>5.5E-2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5">
      <c r="A18" s="248" t="s">
        <v>249</v>
      </c>
      <c r="B18" s="252"/>
      <c r="C18" s="253" t="s">
        <v>247</v>
      </c>
      <c r="D18" s="255">
        <f>B18/1000000</f>
        <v>0</v>
      </c>
      <c r="E18" s="151" t="s">
        <v>250</v>
      </c>
      <c r="F18" s="238"/>
      <c r="G18" s="238"/>
      <c r="H18" s="150">
        <v>12</v>
      </c>
      <c r="I18" s="397">
        <f t="shared" si="0"/>
        <v>0.06</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6" x14ac:dyDescent="0.35">
      <c r="A19" s="248" t="s">
        <v>251</v>
      </c>
      <c r="B19" s="256">
        <f>(Vin-Vout-(Rdcr_pri+Rdson)*Iout)/L*OnTime*1000</f>
        <v>6002252.2522522518</v>
      </c>
      <c r="C19" s="151" t="s">
        <v>30</v>
      </c>
      <c r="D19" s="168">
        <f>B19/1000</f>
        <v>6002.2522522522522</v>
      </c>
      <c r="E19" s="151" t="s">
        <v>252</v>
      </c>
      <c r="F19" s="238"/>
      <c r="G19" s="238"/>
      <c r="H19" s="150">
        <v>13</v>
      </c>
      <c r="I19" s="397">
        <f t="shared" si="0"/>
        <v>6.5000000000000002E-2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5">
      <c r="A20" s="248" t="s">
        <v>253</v>
      </c>
      <c r="B20" s="257">
        <f>'LM(2)518x PSR flyback converter'!E13</f>
        <v>-0.1</v>
      </c>
      <c r="C20" s="151" t="s">
        <v>2</v>
      </c>
      <c r="D20" s="258">
        <f>B20*1000</f>
        <v>-100</v>
      </c>
      <c r="E20" s="151" t="s">
        <v>254</v>
      </c>
      <c r="F20" s="292"/>
      <c r="G20" s="238"/>
      <c r="H20" s="150">
        <v>14</v>
      </c>
      <c r="I20" s="397">
        <f t="shared" si="0"/>
        <v>7.0000000000000007E-2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5">
      <c r="A21" s="248" t="s">
        <v>417</v>
      </c>
      <c r="B21" s="256">
        <v>350</v>
      </c>
      <c r="C21" s="151" t="s">
        <v>2</v>
      </c>
      <c r="D21" s="258">
        <f>B21*1000</f>
        <v>350000</v>
      </c>
      <c r="E21" s="151" t="s">
        <v>418</v>
      </c>
      <c r="F21" s="238"/>
      <c r="G21" s="238"/>
      <c r="H21" s="150">
        <v>15</v>
      </c>
      <c r="I21" s="397">
        <f t="shared" si="0"/>
        <v>7.4999999999999997E-2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5">
      <c r="A22" s="259" t="s">
        <v>38</v>
      </c>
      <c r="B22" s="260">
        <v>10</v>
      </c>
      <c r="C22" s="151" t="s">
        <v>32</v>
      </c>
      <c r="D22" s="261">
        <f>B22/1000000000</f>
        <v>1E-8</v>
      </c>
      <c r="E22" s="151" t="s">
        <v>255</v>
      </c>
      <c r="F22" s="238"/>
      <c r="G22" s="238"/>
      <c r="H22" s="150">
        <v>16</v>
      </c>
      <c r="I22" s="397">
        <f t="shared" si="0"/>
        <v>0.08</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5">
      <c r="A23" s="259" t="s">
        <v>39</v>
      </c>
      <c r="B23" s="260">
        <v>10</v>
      </c>
      <c r="C23" s="151" t="s">
        <v>32</v>
      </c>
      <c r="D23" s="261">
        <f>B23/1000000000</f>
        <v>1E-8</v>
      </c>
      <c r="E23" s="151" t="s">
        <v>256</v>
      </c>
      <c r="F23" s="238"/>
      <c r="G23" s="238"/>
      <c r="H23" s="150">
        <v>17</v>
      </c>
      <c r="I23" s="397">
        <f t="shared" si="0"/>
        <v>8.5000000000000006E-2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5">
      <c r="A24" s="213"/>
      <c r="B24" s="213"/>
      <c r="C24" s="213"/>
      <c r="D24" s="213"/>
      <c r="E24" s="213"/>
      <c r="F24" s="238"/>
      <c r="G24" s="238"/>
      <c r="H24" s="150">
        <v>18</v>
      </c>
      <c r="I24" s="397">
        <f t="shared" si="0"/>
        <v>0.09</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5">
      <c r="A25" s="234" t="s">
        <v>29</v>
      </c>
      <c r="B25" s="236" t="s">
        <v>43</v>
      </c>
      <c r="C25" s="235" t="s">
        <v>33</v>
      </c>
      <c r="D25" s="251" t="s">
        <v>90</v>
      </c>
      <c r="E25" s="237" t="s">
        <v>41</v>
      </c>
      <c r="F25" s="238"/>
      <c r="G25" s="238"/>
      <c r="H25" s="150">
        <v>19</v>
      </c>
      <c r="I25" s="397">
        <f t="shared" si="0"/>
        <v>9.5000000000000001E-2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8" thickBot="1" x14ac:dyDescent="0.3">
      <c r="A26" s="262" t="s">
        <v>27</v>
      </c>
      <c r="B26" s="151">
        <f>'LM(2)518x PSR flyback converter'!L7</f>
        <v>9</v>
      </c>
      <c r="C26" s="253" t="s">
        <v>96</v>
      </c>
      <c r="D26" s="172">
        <f>B26/1000000</f>
        <v>9.0000000000000002E-6</v>
      </c>
      <c r="E26" s="151" t="s">
        <v>257</v>
      </c>
      <c r="F26" s="263"/>
      <c r="G26" s="238"/>
      <c r="H26" s="150">
        <v>20</v>
      </c>
      <c r="I26" s="397">
        <f t="shared" si="0"/>
        <v>0.1</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8" thickBot="1" x14ac:dyDescent="0.3">
      <c r="A27" s="264" t="s">
        <v>392</v>
      </c>
      <c r="B27" s="265">
        <f>'LM(2)518x PSR flyback converter'!L8</f>
        <v>85</v>
      </c>
      <c r="C27" s="266" t="s">
        <v>258</v>
      </c>
      <c r="D27" s="172">
        <f>B27/1000</f>
        <v>8.5000000000000006E-2</v>
      </c>
      <c r="E27" s="151" t="s">
        <v>487</v>
      </c>
      <c r="F27" s="238"/>
      <c r="G27" s="238"/>
      <c r="H27" s="150">
        <v>21</v>
      </c>
      <c r="I27" s="397">
        <f t="shared" si="0"/>
        <v>0.105</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8" thickBot="1" x14ac:dyDescent="0.3">
      <c r="A28" s="264" t="s">
        <v>455</v>
      </c>
      <c r="B28" s="265">
        <f>'LM(2)518x PSR flyback converter'!L9</f>
        <v>190</v>
      </c>
      <c r="C28" s="266" t="s">
        <v>258</v>
      </c>
      <c r="D28" s="172">
        <f>B28/1000</f>
        <v>0.19</v>
      </c>
      <c r="E28" s="151" t="s">
        <v>661</v>
      </c>
      <c r="F28" s="238"/>
      <c r="G28" s="238"/>
      <c r="H28" s="150">
        <v>22</v>
      </c>
      <c r="I28" s="397">
        <f t="shared" si="0"/>
        <v>0.11</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8" thickBot="1" x14ac:dyDescent="0.3">
      <c r="A29" s="264" t="s">
        <v>259</v>
      </c>
      <c r="B29" s="267">
        <v>0</v>
      </c>
      <c r="C29" s="266"/>
      <c r="D29" s="261">
        <f>B29</f>
        <v>0</v>
      </c>
      <c r="E29" s="268" t="s">
        <v>486</v>
      </c>
      <c r="F29" s="238"/>
      <c r="G29" s="238"/>
      <c r="H29" s="150">
        <v>23</v>
      </c>
      <c r="I29" s="397">
        <f t="shared" si="0"/>
        <v>0.115</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8" thickBot="1" x14ac:dyDescent="0.3">
      <c r="A30" s="269" t="s">
        <v>28</v>
      </c>
      <c r="B30" s="265">
        <f>'LM(2)518x PSR flyback converter'!E18</f>
        <v>22</v>
      </c>
      <c r="C30" s="270" t="s">
        <v>97</v>
      </c>
      <c r="D30" s="271">
        <f>B30/1000000</f>
        <v>2.1999999999999999E-5</v>
      </c>
      <c r="E30" s="272" t="s">
        <v>60</v>
      </c>
      <c r="F30" s="238"/>
      <c r="G30" s="238"/>
      <c r="H30" s="150">
        <v>24</v>
      </c>
      <c r="I30" s="397">
        <f t="shared" si="0"/>
        <v>0.12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8" thickBot="1" x14ac:dyDescent="0.3">
      <c r="A31" s="264" t="s">
        <v>260</v>
      </c>
      <c r="B31" s="265">
        <f>'LM(2)518x PSR flyback converter'!E19</f>
        <v>3</v>
      </c>
      <c r="C31" s="266" t="s">
        <v>258</v>
      </c>
      <c r="D31" s="172">
        <f>B31/1000</f>
        <v>3.0000000000000001E-3</v>
      </c>
      <c r="E31" s="151" t="s">
        <v>261</v>
      </c>
      <c r="F31" s="238"/>
      <c r="G31" s="238"/>
      <c r="H31" s="150">
        <v>25</v>
      </c>
      <c r="I31" s="397">
        <f t="shared" si="0"/>
        <v>0.125</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8" thickBot="1" x14ac:dyDescent="0.3">
      <c r="A32" s="262" t="s">
        <v>14</v>
      </c>
      <c r="B32" s="311">
        <f>'LM(2)518x PSR flyback converter'!E22</f>
        <v>100</v>
      </c>
      <c r="C32" s="253" t="s">
        <v>97</v>
      </c>
      <c r="D32" s="254">
        <f>B32/1000000</f>
        <v>1E-4</v>
      </c>
      <c r="E32" s="151" t="s">
        <v>262</v>
      </c>
      <c r="F32" s="238"/>
      <c r="G32" s="238"/>
      <c r="H32" s="150">
        <v>26</v>
      </c>
      <c r="I32" s="397">
        <f t="shared" si="0"/>
        <v>0.13</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5">
      <c r="A33" s="264" t="s">
        <v>263</v>
      </c>
      <c r="B33" s="311">
        <f>'LM(2)518x PSR flyback converter'!E23</f>
        <v>3</v>
      </c>
      <c r="C33" s="266" t="s">
        <v>258</v>
      </c>
      <c r="D33" s="172">
        <f>B33/1000</f>
        <v>3.0000000000000001E-3</v>
      </c>
      <c r="E33" s="151" t="s">
        <v>264</v>
      </c>
      <c r="F33" s="238"/>
      <c r="G33" s="238"/>
      <c r="H33" s="150">
        <v>27</v>
      </c>
      <c r="I33" s="397">
        <f t="shared" si="0"/>
        <v>0.13500000000000001</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5">
      <c r="A34" s="273" t="s">
        <v>401</v>
      </c>
      <c r="B34" s="236"/>
      <c r="C34" s="273" t="s">
        <v>33</v>
      </c>
      <c r="D34" s="273" t="s">
        <v>90</v>
      </c>
      <c r="E34" s="274" t="s">
        <v>41</v>
      </c>
      <c r="F34" s="238"/>
      <c r="G34" s="238"/>
      <c r="H34" s="150">
        <v>28</v>
      </c>
      <c r="I34" s="397">
        <f t="shared" si="0"/>
        <v>0.14000000000000001</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5">
      <c r="A35" s="264" t="s">
        <v>406</v>
      </c>
      <c r="B35" s="275">
        <f>CHOOSE(VARIANT, 1.5, 0.75, 1.5, 2.5, 4.1)</f>
        <v>4.0999999999999996</v>
      </c>
      <c r="C35" s="253" t="s">
        <v>1</v>
      </c>
      <c r="D35" s="241">
        <f>B35</f>
        <v>4.0999999999999996</v>
      </c>
      <c r="E35" s="151" t="s">
        <v>405</v>
      </c>
      <c r="F35" s="238"/>
      <c r="G35" s="238"/>
      <c r="H35" s="150">
        <v>29</v>
      </c>
      <c r="I35" s="397">
        <f t="shared" si="0"/>
        <v>0.14499999999999999</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5">
      <c r="A36" s="264" t="s">
        <v>414</v>
      </c>
      <c r="B36" s="275">
        <f>B35/5</f>
        <v>0.82</v>
      </c>
      <c r="C36" s="253" t="s">
        <v>1</v>
      </c>
      <c r="D36" s="241">
        <f>B36</f>
        <v>0.82</v>
      </c>
      <c r="E36" s="151" t="s">
        <v>415</v>
      </c>
      <c r="F36" s="238"/>
      <c r="G36" s="238"/>
      <c r="H36" s="150">
        <v>30</v>
      </c>
      <c r="I36" s="397">
        <f t="shared" si="0"/>
        <v>0.15</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8" thickBot="1" x14ac:dyDescent="0.3">
      <c r="A37" s="264" t="s">
        <v>693</v>
      </c>
      <c r="B37" s="555">
        <v>30</v>
      </c>
      <c r="C37" s="150" t="s">
        <v>32</v>
      </c>
      <c r="D37" s="150">
        <f>B37*0.000000001</f>
        <v>3.0000000000000004E-8</v>
      </c>
      <c r="E37" s="150" t="s">
        <v>694</v>
      </c>
      <c r="F37" s="238"/>
      <c r="G37" s="238"/>
      <c r="H37" s="150">
        <v>31</v>
      </c>
      <c r="I37" s="397">
        <f t="shared" si="0"/>
        <v>0.155</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8" thickBot="1" x14ac:dyDescent="0.3">
      <c r="A38" s="276" t="s">
        <v>47</v>
      </c>
      <c r="B38" s="461">
        <v>1</v>
      </c>
      <c r="C38" s="253"/>
      <c r="D38" s="241">
        <f>B38</f>
        <v>1</v>
      </c>
      <c r="E38" s="151" t="s">
        <v>416</v>
      </c>
      <c r="H38" s="150">
        <v>32</v>
      </c>
      <c r="I38" s="397">
        <f t="shared" ref="I38:I69" si="24">IF(PLOT_TYPE=1, H38/100*Iout_max, min_I*EXP(H38*rr/100))</f>
        <v>0.16</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5">
      <c r="A39" s="264" t="s">
        <v>24</v>
      </c>
      <c r="B39" s="277">
        <v>290</v>
      </c>
      <c r="C39" s="253" t="s">
        <v>265</v>
      </c>
      <c r="D39" s="255">
        <f>B39/1000000</f>
        <v>2.9E-4</v>
      </c>
      <c r="E39" s="151" t="s">
        <v>488</v>
      </c>
      <c r="H39" s="150">
        <v>33</v>
      </c>
      <c r="I39" s="397">
        <f t="shared" si="24"/>
        <v>0.16500000000000001</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8" thickBot="1" x14ac:dyDescent="0.3">
      <c r="A40" s="273" t="s">
        <v>398</v>
      </c>
      <c r="B40" s="278"/>
      <c r="C40" s="273" t="s">
        <v>33</v>
      </c>
      <c r="D40" s="273" t="s">
        <v>90</v>
      </c>
      <c r="E40" s="279" t="s">
        <v>41</v>
      </c>
      <c r="H40" s="150">
        <v>34</v>
      </c>
      <c r="I40" s="397">
        <f t="shared" si="24"/>
        <v>0.17</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5">
      <c r="A41" s="280" t="s">
        <v>399</v>
      </c>
      <c r="B41" s="281">
        <f>CHOOSE(VARIANT, 350, 350, 350, 110, 110)</f>
        <v>110</v>
      </c>
      <c r="C41" s="247" t="s">
        <v>258</v>
      </c>
      <c r="D41" s="151">
        <f>B41/1000</f>
        <v>0.11</v>
      </c>
      <c r="E41" s="151" t="s">
        <v>403</v>
      </c>
      <c r="H41" s="150">
        <v>35</v>
      </c>
      <c r="I41" s="397">
        <f t="shared" si="24"/>
        <v>0.17499999999999999</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8" thickBot="1" x14ac:dyDescent="0.3">
      <c r="A42" s="150" t="s">
        <v>687</v>
      </c>
      <c r="B42" s="150">
        <v>4500</v>
      </c>
      <c r="C42" s="552" t="s">
        <v>688</v>
      </c>
      <c r="D42" s="151">
        <f>B42/1000000</f>
        <v>4.4999999999999997E-3</v>
      </c>
      <c r="E42" s="553" t="s">
        <v>689</v>
      </c>
      <c r="H42" s="150">
        <v>36</v>
      </c>
      <c r="I42" s="397">
        <f t="shared" si="24"/>
        <v>0.18</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8" thickBot="1" x14ac:dyDescent="0.3">
      <c r="A43" s="264" t="s">
        <v>266</v>
      </c>
      <c r="B43" s="282"/>
      <c r="C43" s="150" t="s">
        <v>267</v>
      </c>
      <c r="D43" s="151"/>
      <c r="E43" s="151" t="s">
        <v>266</v>
      </c>
      <c r="H43" s="150">
        <v>37</v>
      </c>
      <c r="I43" s="397">
        <f t="shared" si="24"/>
        <v>0.185</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8" thickBot="1" x14ac:dyDescent="0.3">
      <c r="A44" s="264" t="s">
        <v>400</v>
      </c>
      <c r="B44" s="281">
        <f>CHOOSE(VARIANT, 2.5, 2.5, 2.5, 10, 10)</f>
        <v>10</v>
      </c>
      <c r="C44" s="253" t="s">
        <v>31</v>
      </c>
      <c r="D44" s="151">
        <f>B44/1000000000</f>
        <v>1E-8</v>
      </c>
      <c r="E44" s="151" t="s">
        <v>402</v>
      </c>
      <c r="H44" s="150">
        <v>38</v>
      </c>
      <c r="I44" s="397">
        <f t="shared" si="24"/>
        <v>0.19</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8" thickBot="1" x14ac:dyDescent="0.3">
      <c r="A45" s="264" t="s">
        <v>240</v>
      </c>
      <c r="B45" s="281">
        <f>CHOOSE(VARIANT, 50, 50, 50, 200, 200)</f>
        <v>200</v>
      </c>
      <c r="C45" s="253" t="s">
        <v>15</v>
      </c>
      <c r="D45" s="283">
        <f>B45/1000000000000</f>
        <v>2.0000000000000001E-10</v>
      </c>
      <c r="E45" s="151" t="s">
        <v>327</v>
      </c>
      <c r="H45" s="150">
        <v>39</v>
      </c>
      <c r="I45" s="397">
        <f t="shared" si="24"/>
        <v>0.19500000000000001</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5">
      <c r="A46" s="280" t="s">
        <v>326</v>
      </c>
      <c r="B46" s="281">
        <f>CHOOSE(VARIANT, 50, 50, 50, 250, 250)</f>
        <v>250</v>
      </c>
      <c r="C46" s="253" t="s">
        <v>15</v>
      </c>
      <c r="D46" s="255">
        <f>B46/1000000000000</f>
        <v>2.5000000000000002E-10</v>
      </c>
      <c r="E46" s="151" t="s">
        <v>479</v>
      </c>
      <c r="H46" s="150">
        <v>40</v>
      </c>
      <c r="I46" s="397">
        <f t="shared" si="24"/>
        <v>0.2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8" thickBot="1" x14ac:dyDescent="0.3">
      <c r="A47" s="273" t="s">
        <v>404</v>
      </c>
      <c r="B47" s="284"/>
      <c r="C47" s="273" t="s">
        <v>33</v>
      </c>
      <c r="D47" s="273" t="s">
        <v>90</v>
      </c>
      <c r="E47" s="285" t="s">
        <v>41</v>
      </c>
      <c r="H47" s="150">
        <v>41</v>
      </c>
      <c r="I47" s="397">
        <f t="shared" si="24"/>
        <v>0.20499999999999999</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8" thickBot="1" x14ac:dyDescent="0.3">
      <c r="A48" s="280" t="s">
        <v>659</v>
      </c>
      <c r="B48" s="281">
        <f>'LM(2)518x PSR flyback converter'!E42</f>
        <v>0.32</v>
      </c>
      <c r="C48" s="151" t="s">
        <v>0</v>
      </c>
      <c r="D48" s="151">
        <f>B48</f>
        <v>0.32</v>
      </c>
      <c r="E48" s="151" t="s">
        <v>658</v>
      </c>
      <c r="H48" s="150">
        <v>42</v>
      </c>
      <c r="I48" s="397">
        <f t="shared" si="24"/>
        <v>0.21</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8" thickBot="1" x14ac:dyDescent="0.3">
      <c r="A49" s="280" t="s">
        <v>660</v>
      </c>
      <c r="B49" s="281">
        <f>'LM(2)518x PSR flyback converter'!E43</f>
        <v>0.4</v>
      </c>
      <c r="C49" s="151" t="s">
        <v>0</v>
      </c>
      <c r="D49" s="151">
        <f>B49</f>
        <v>0.4</v>
      </c>
      <c r="E49" s="151" t="s">
        <v>657</v>
      </c>
      <c r="H49" s="150">
        <v>43</v>
      </c>
      <c r="I49" s="397">
        <f t="shared" si="24"/>
        <v>0.215</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8" thickBot="1" x14ac:dyDescent="0.3">
      <c r="A50" s="280" t="s">
        <v>268</v>
      </c>
      <c r="B50" s="281">
        <f>(B49-B48)/Iout</f>
        <v>0.16000000000000003</v>
      </c>
      <c r="C50" s="247" t="s">
        <v>45</v>
      </c>
      <c r="D50" s="151">
        <f>B50</f>
        <v>0.16000000000000003</v>
      </c>
      <c r="E50" s="151" t="s">
        <v>811</v>
      </c>
      <c r="H50" s="150">
        <v>44</v>
      </c>
      <c r="I50" s="397">
        <f t="shared" si="24"/>
        <v>0.22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8" thickBot="1" x14ac:dyDescent="0.3">
      <c r="A51" s="264" t="s">
        <v>407</v>
      </c>
      <c r="B51" s="281">
        <v>2</v>
      </c>
      <c r="C51" s="253" t="s">
        <v>31</v>
      </c>
      <c r="D51" s="255">
        <f>B51*0.000000001</f>
        <v>2.0000000000000001E-9</v>
      </c>
      <c r="E51" s="151" t="s">
        <v>269</v>
      </c>
      <c r="H51" s="150">
        <v>45</v>
      </c>
      <c r="I51" s="397">
        <f t="shared" si="24"/>
        <v>0.22500000000000001</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8" thickBot="1" x14ac:dyDescent="0.3">
      <c r="A52" s="264" t="s">
        <v>408</v>
      </c>
      <c r="B52" s="281">
        <v>10</v>
      </c>
      <c r="C52" s="253" t="s">
        <v>32</v>
      </c>
      <c r="D52" s="255">
        <f>B52*0.000000001</f>
        <v>1E-8</v>
      </c>
      <c r="E52" s="151" t="s">
        <v>270</v>
      </c>
      <c r="H52" s="150">
        <v>46</v>
      </c>
      <c r="I52" s="397">
        <f t="shared" si="24"/>
        <v>0.23</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5">
      <c r="A53" s="280" t="s">
        <v>497</v>
      </c>
      <c r="B53" s="281">
        <v>0</v>
      </c>
      <c r="C53" s="151" t="s">
        <v>271</v>
      </c>
      <c r="D53" s="255">
        <f>B53/1000000</f>
        <v>0</v>
      </c>
      <c r="E53" s="151" t="s">
        <v>272</v>
      </c>
      <c r="H53" s="150">
        <v>47</v>
      </c>
      <c r="I53" s="397">
        <f t="shared" si="24"/>
        <v>0.23499999999999999</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5">
      <c r="A54" s="150" t="s">
        <v>691</v>
      </c>
      <c r="B54" s="175">
        <f>'LM(2)518x PSR flyback converter'!E44</f>
        <v>41</v>
      </c>
      <c r="C54" s="552" t="s">
        <v>84</v>
      </c>
      <c r="D54" s="175">
        <f>B54</f>
        <v>41</v>
      </c>
      <c r="E54" s="150" t="s">
        <v>690</v>
      </c>
      <c r="H54" s="150">
        <v>48</v>
      </c>
      <c r="I54" s="397">
        <f t="shared" si="24"/>
        <v>0.24</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5">
      <c r="H55" s="150">
        <v>49</v>
      </c>
      <c r="I55" s="397">
        <f t="shared" si="24"/>
        <v>0.245</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5">
      <c r="H56" s="150">
        <v>50</v>
      </c>
      <c r="I56" s="397">
        <f t="shared" si="24"/>
        <v>0.25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5">
      <c r="H57" s="150">
        <v>51</v>
      </c>
      <c r="I57" s="397">
        <f t="shared" si="24"/>
        <v>0.255</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5">
      <c r="H58" s="150">
        <v>52</v>
      </c>
      <c r="I58" s="397">
        <f t="shared" si="24"/>
        <v>0.26</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5">
      <c r="H59" s="150">
        <v>53</v>
      </c>
      <c r="I59" s="397">
        <f t="shared" si="24"/>
        <v>0.26500000000000001</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5">
      <c r="H60" s="150">
        <v>54</v>
      </c>
      <c r="I60" s="397">
        <f t="shared" si="24"/>
        <v>0.27</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5">
      <c r="H61" s="150">
        <v>55</v>
      </c>
      <c r="I61" s="397">
        <f t="shared" si="24"/>
        <v>0.27500000000000002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5">
      <c r="H62" s="150">
        <v>56</v>
      </c>
      <c r="I62" s="397">
        <f t="shared" si="24"/>
        <v>0.28000000000000003</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5">
      <c r="F63" s="263" t="s">
        <v>273</v>
      </c>
      <c r="G63" s="263" t="s">
        <v>274</v>
      </c>
      <c r="H63" s="150">
        <v>57</v>
      </c>
      <c r="I63" s="397">
        <f t="shared" si="24"/>
        <v>0.28499999999999998</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5">
      <c r="F64" s="286">
        <f>BM56</f>
        <v>0</v>
      </c>
      <c r="G64" s="287">
        <f>I56*1000</f>
        <v>250</v>
      </c>
      <c r="H64" s="150">
        <v>58</v>
      </c>
      <c r="I64" s="397">
        <f t="shared" si="24"/>
        <v>0.28999999999999998</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5">
      <c r="F65" s="286">
        <f>BM81</f>
        <v>0</v>
      </c>
      <c r="G65" s="287">
        <f>I81*1000</f>
        <v>375</v>
      </c>
      <c r="H65" s="150">
        <v>59</v>
      </c>
      <c r="I65" s="397">
        <f t="shared" si="24"/>
        <v>0.29499999999999998</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5">
      <c r="F66" s="286">
        <f>BM106</f>
        <v>100</v>
      </c>
      <c r="G66" s="287">
        <f>I106*1000</f>
        <v>500</v>
      </c>
      <c r="H66" s="150">
        <v>60</v>
      </c>
      <c r="I66" s="397">
        <f t="shared" si="24"/>
        <v>0.3</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5">
      <c r="H67" s="150">
        <v>61</v>
      </c>
      <c r="I67" s="397">
        <f t="shared" si="24"/>
        <v>0.30499999999999999</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5">
      <c r="H68" s="150">
        <v>62</v>
      </c>
      <c r="I68" s="397">
        <f t="shared" si="24"/>
        <v>0.31</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5">
      <c r="H69" s="150">
        <v>63</v>
      </c>
      <c r="I69" s="397">
        <f t="shared" si="24"/>
        <v>0.315</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5">
      <c r="H70" s="150">
        <v>64</v>
      </c>
      <c r="I70" s="397">
        <f t="shared" ref="I70:I101" si="25">IF(PLOT_TYPE=1, H70/100*Iout_max, min_I*EXP(H70*rr/100))</f>
        <v>0.32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5">
      <c r="H71" s="150">
        <v>65</v>
      </c>
      <c r="I71" s="397">
        <f t="shared" si="25"/>
        <v>0.32500000000000001</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5">
      <c r="H72" s="150">
        <v>66</v>
      </c>
      <c r="I72" s="397">
        <f t="shared" si="25"/>
        <v>0.33</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5">
      <c r="H73" s="150">
        <v>67</v>
      </c>
      <c r="I73" s="397">
        <f t="shared" si="25"/>
        <v>0.33500000000000002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5">
      <c r="H74" s="150">
        <v>68</v>
      </c>
      <c r="I74" s="397">
        <f t="shared" si="25"/>
        <v>0.34</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5">
      <c r="H75" s="150">
        <v>69</v>
      </c>
      <c r="I75" s="397">
        <f t="shared" si="25"/>
        <v>0.34499999999999997</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5">
      <c r="H76" s="150">
        <v>70</v>
      </c>
      <c r="I76" s="397">
        <f t="shared" si="25"/>
        <v>0.35</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5">
      <c r="H77" s="150">
        <v>71</v>
      </c>
      <c r="I77" s="397">
        <f t="shared" si="25"/>
        <v>0.35499999999999998</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5">
      <c r="H78" s="150">
        <v>72</v>
      </c>
      <c r="I78" s="397">
        <f t="shared" si="25"/>
        <v>0.36</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5">
      <c r="H79" s="150">
        <v>73</v>
      </c>
      <c r="I79" s="397">
        <f t="shared" si="25"/>
        <v>0.36499999999999999</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5">
      <c r="H80" s="150">
        <v>74</v>
      </c>
      <c r="I80" s="397">
        <f t="shared" si="25"/>
        <v>0.37</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5">
      <c r="H81" s="150">
        <v>75</v>
      </c>
      <c r="I81" s="397">
        <f t="shared" si="25"/>
        <v>0.375</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5">
      <c r="H82" s="150">
        <v>76</v>
      </c>
      <c r="I82" s="397">
        <f t="shared" si="25"/>
        <v>0.38</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5">
      <c r="H83" s="150">
        <v>77</v>
      </c>
      <c r="I83" s="397">
        <f t="shared" si="25"/>
        <v>0.38500000000000001</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5">
      <c r="H84" s="150">
        <v>78</v>
      </c>
      <c r="I84" s="397">
        <f t="shared" si="25"/>
        <v>0.39</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5">
      <c r="H85" s="150">
        <v>79</v>
      </c>
      <c r="I85" s="397">
        <f t="shared" si="25"/>
        <v>0.39500000000000002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5">
      <c r="H86" s="150">
        <v>80</v>
      </c>
      <c r="I86" s="397">
        <f t="shared" si="25"/>
        <v>0.4</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5">
      <c r="H87" s="150">
        <v>81</v>
      </c>
      <c r="I87" s="397">
        <f t="shared" si="25"/>
        <v>0.40500000000000003</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5">
      <c r="F88" s="263" t="s">
        <v>273</v>
      </c>
      <c r="G88" s="263" t="s">
        <v>274</v>
      </c>
      <c r="H88" s="150">
        <v>82</v>
      </c>
      <c r="I88" s="397">
        <f t="shared" si="25"/>
        <v>0.41</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5">
      <c r="F89" s="286">
        <f>BO51</f>
        <v>0</v>
      </c>
      <c r="G89" s="287">
        <f>I56*1000</f>
        <v>250</v>
      </c>
      <c r="H89" s="150">
        <v>83</v>
      </c>
      <c r="I89" s="397">
        <f t="shared" si="25"/>
        <v>0.41499999999999998</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5">
      <c r="F90" s="286">
        <f>BO81</f>
        <v>0</v>
      </c>
      <c r="G90" s="287">
        <f>I81*1000</f>
        <v>375</v>
      </c>
      <c r="H90" s="150">
        <v>84</v>
      </c>
      <c r="I90" s="397">
        <f t="shared" si="25"/>
        <v>0.42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5">
      <c r="F91" s="286">
        <f>BO106</f>
        <v>88.698181382326453</v>
      </c>
      <c r="G91" s="287">
        <f>I106*1000</f>
        <v>500</v>
      </c>
      <c r="H91" s="150">
        <v>85</v>
      </c>
      <c r="I91" s="397">
        <f t="shared" si="25"/>
        <v>0.42499999999999999</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5">
      <c r="H92" s="150">
        <v>86</v>
      </c>
      <c r="I92" s="397">
        <f t="shared" si="25"/>
        <v>0.43</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5">
      <c r="H93" s="150">
        <v>87</v>
      </c>
      <c r="I93" s="397">
        <f t="shared" si="25"/>
        <v>0.435</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5">
      <c r="H94" s="150">
        <v>88</v>
      </c>
      <c r="I94" s="397">
        <f t="shared" si="25"/>
        <v>0.44</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5">
      <c r="H95" s="150">
        <v>89</v>
      </c>
      <c r="I95" s="397">
        <f t="shared" si="25"/>
        <v>0.44500000000000001</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5">
      <c r="H96" s="150">
        <v>90</v>
      </c>
      <c r="I96" s="397">
        <f t="shared" si="25"/>
        <v>0.45</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5">
      <c r="H97" s="150">
        <v>91</v>
      </c>
      <c r="I97" s="397">
        <f t="shared" si="25"/>
        <v>0.45500000000000002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5">
      <c r="H98" s="150">
        <v>92</v>
      </c>
      <c r="I98" s="397">
        <f t="shared" si="25"/>
        <v>0.46</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5">
      <c r="H99" s="150">
        <v>93</v>
      </c>
      <c r="I99" s="397">
        <f t="shared" si="25"/>
        <v>0.46500000000000002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5">
      <c r="H100" s="150">
        <v>94</v>
      </c>
      <c r="I100" s="397">
        <f t="shared" si="25"/>
        <v>0.47</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5">
      <c r="H101" s="150">
        <v>95</v>
      </c>
      <c r="I101" s="397">
        <f t="shared" si="25"/>
        <v>0.47499999999999998</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5">
      <c r="H102" s="150">
        <v>96</v>
      </c>
      <c r="I102" s="397">
        <f t="shared" ref="I102:I106" si="26">IF(PLOT_TYPE=1, H102/100*Iout_max, min_I*EXP(H102*rr/100))</f>
        <v>0.48</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5">
      <c r="H103" s="150">
        <v>97</v>
      </c>
      <c r="I103" s="397">
        <f t="shared" si="26"/>
        <v>0.48499999999999999</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5">
      <c r="H104" s="150">
        <v>98</v>
      </c>
      <c r="I104" s="397">
        <f t="shared" si="26"/>
        <v>0.49</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5">
      <c r="H105" s="150">
        <v>99</v>
      </c>
      <c r="I105" s="397">
        <f t="shared" si="26"/>
        <v>0.495</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5">
      <c r="H106" s="150">
        <v>100</v>
      </c>
      <c r="I106" s="397">
        <f t="shared" si="26"/>
        <v>0.5</v>
      </c>
      <c r="J106" s="191"/>
      <c r="K106" s="191"/>
      <c r="L106" s="191"/>
      <c r="M106" s="191"/>
      <c r="N106" s="239"/>
      <c r="O106" s="152"/>
      <c r="P106" s="191"/>
      <c r="Q106" s="386"/>
      <c r="S106" s="240"/>
      <c r="T106" s="240"/>
      <c r="U106" s="240"/>
      <c r="AJ106" s="386"/>
      <c r="AY106" s="190">
        <f>Vout*I106</f>
        <v>7.5</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500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5">
      <c r="BQ107" s="242"/>
      <c r="BR107" s="243"/>
      <c r="BS107" s="243"/>
      <c r="BT107" s="243"/>
      <c r="BX107" s="193"/>
      <c r="BY107" s="193"/>
    </row>
    <row r="108" spans="8:81" x14ac:dyDescent="0.25">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5">
      <c r="H109" s="238">
        <f>Iout_max</f>
        <v>0.5</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5">
      <c r="H110" s="238">
        <f>LOG(max_I/min_I,EXP(1))</f>
        <v>10.819778284410283</v>
      </c>
      <c r="I110" s="191"/>
      <c r="J110" s="190" t="s">
        <v>278</v>
      </c>
    </row>
    <row r="111" spans="8:81" x14ac:dyDescent="0.25">
      <c r="AZ111" s="289"/>
      <c r="BA111" s="306"/>
      <c r="BB111" s="306"/>
      <c r="BC111" s="306"/>
      <c r="BD111" s="306"/>
      <c r="BE111" s="306"/>
      <c r="BF111" s="306"/>
      <c r="BG111" s="306"/>
      <c r="BH111" s="306"/>
      <c r="BI111" s="306"/>
      <c r="BJ111" s="306"/>
    </row>
    <row r="112" spans="8:81" x14ac:dyDescent="0.25">
      <c r="J112" s="290"/>
      <c r="R112" s="291"/>
      <c r="S112" s="291"/>
      <c r="T112" s="291"/>
      <c r="U112" s="291"/>
      <c r="V112" s="292"/>
    </row>
    <row r="113" spans="10:22" x14ac:dyDescent="0.25">
      <c r="J113" s="290"/>
      <c r="R113" s="291"/>
      <c r="S113" s="291"/>
      <c r="T113" s="291"/>
      <c r="U113" s="291"/>
      <c r="V113" s="292"/>
    </row>
    <row r="114" spans="10:22" x14ac:dyDescent="0.25">
      <c r="R114" s="291"/>
      <c r="S114" s="291"/>
      <c r="T114" s="291"/>
      <c r="U114" s="291"/>
      <c r="V114" s="292"/>
    </row>
    <row r="116" spans="10:22" x14ac:dyDescent="0.25">
      <c r="R116" s="291"/>
      <c r="S116" s="291"/>
      <c r="T116" s="291"/>
      <c r="U116" s="291"/>
      <c r="V116" s="292"/>
    </row>
    <row r="126" spans="10:22" x14ac:dyDescent="0.25">
      <c r="J126" s="150"/>
    </row>
    <row r="127" spans="10:22" x14ac:dyDescent="0.25">
      <c r="J127" s="150"/>
    </row>
    <row r="128" spans="10:22" x14ac:dyDescent="0.25">
      <c r="J128" s="150"/>
    </row>
    <row r="129" spans="10:10" x14ac:dyDescent="0.25">
      <c r="J129" s="191"/>
    </row>
    <row r="130" spans="10:10" x14ac:dyDescent="0.25">
      <c r="J130" s="191"/>
    </row>
    <row r="131" spans="10:10" x14ac:dyDescent="0.25">
      <c r="J131" s="191"/>
    </row>
    <row r="132" spans="10:10" x14ac:dyDescent="0.25">
      <c r="J132" s="191"/>
    </row>
    <row r="133" spans="10:10" x14ac:dyDescent="0.25">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182880</xdr:colOff>
                <xdr:row>111</xdr:row>
                <xdr:rowOff>144780</xdr:rowOff>
              </from>
              <to>
                <xdr:col>36</xdr:col>
                <xdr:colOff>15240</xdr:colOff>
                <xdr:row>125</xdr:row>
                <xdr:rowOff>144780</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3.2" x14ac:dyDescent="0.25"/>
  <cols>
    <col min="2" max="2" width="126.44140625" customWidth="1"/>
  </cols>
  <sheetData>
    <row r="2" spans="1:2" ht="17.25" customHeight="1" x14ac:dyDescent="0.25">
      <c r="A2" s="59" t="str">
        <f>CHOOSE(MODE, "EFF_SINGLE", "EFF_DUAL")</f>
        <v>EFF_SINGLE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3.2" x14ac:dyDescent="0.25"/>
  <cols>
    <col min="2" max="2" width="126.44140625" customWidth="1"/>
  </cols>
  <sheetData>
    <row r="2" spans="1:2" ht="17.25" customHeight="1" x14ac:dyDescent="0.25">
      <c r="A2" s="59" t="str">
        <f>CHOOSE(MODE, "Fsw_SINGLE", "Fsw_DUAL")</f>
        <v>Fsw_SINGLE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3.2" x14ac:dyDescent="0.25"/>
  <cols>
    <col min="1" max="1" width="12.77734375" style="312" customWidth="1"/>
    <col min="2" max="2" width="124.77734375" customWidth="1"/>
    <col min="3" max="4" width="9.21875" style="312"/>
    <col min="5" max="5" width="124.77734375" customWidth="1"/>
    <col min="8" max="8" width="124.77734375" style="312" customWidth="1"/>
  </cols>
  <sheetData>
    <row r="2" spans="1:6" x14ac:dyDescent="0.25">
      <c r="A2" s="312" t="str">
        <f>'Variable Mgmt'!K52</f>
        <v>SCH_SINGLE_UVLOadj_SSadj_TCyes</v>
      </c>
    </row>
    <row r="5" spans="1:6" s="312" customFormat="1" ht="13.5" customHeight="1" x14ac:dyDescent="0.25"/>
    <row r="6" spans="1:6" s="312" customFormat="1" ht="16.5" customHeight="1" x14ac:dyDescent="0.25"/>
    <row r="7" spans="1:6" ht="357" customHeight="1" x14ac:dyDescent="0.25">
      <c r="E7" s="331"/>
    </row>
    <row r="8" spans="1:6" s="312" customFormat="1" ht="17.25" customHeight="1" x14ac:dyDescent="0.25"/>
    <row r="9" spans="1:6" ht="357" customHeight="1" x14ac:dyDescent="0.25">
      <c r="B9" s="59"/>
      <c r="E9" s="331"/>
      <c r="F9" s="312"/>
    </row>
    <row r="10" spans="1:6" s="312" customFormat="1" x14ac:dyDescent="0.25"/>
    <row r="11" spans="1:6" ht="357" customHeight="1" x14ac:dyDescent="0.25">
      <c r="B11" s="331"/>
      <c r="E11" s="312"/>
      <c r="F11" s="312"/>
    </row>
    <row r="12" spans="1:6" x14ac:dyDescent="0.25">
      <c r="B12" s="312"/>
      <c r="E12" s="312"/>
      <c r="F12" s="312"/>
    </row>
    <row r="13" spans="1:6" ht="357" customHeight="1" x14ac:dyDescent="0.25">
      <c r="B13" s="331"/>
      <c r="E13" s="312"/>
      <c r="F13" s="312"/>
    </row>
    <row r="14" spans="1:6" x14ac:dyDescent="0.25">
      <c r="B14" s="312"/>
      <c r="E14" s="312"/>
      <c r="F14" s="312"/>
    </row>
    <row r="15" spans="1:6" ht="357" customHeight="1" x14ac:dyDescent="0.25">
      <c r="E15" s="312"/>
      <c r="F15" s="312"/>
    </row>
    <row r="16" spans="1:6" x14ac:dyDescent="0.25">
      <c r="B16" s="312"/>
      <c r="E16" s="312"/>
    </row>
    <row r="17" spans="2:6" ht="357" customHeight="1" x14ac:dyDescent="0.25">
      <c r="B17" s="331"/>
      <c r="E17" s="312"/>
      <c r="F17" s="312"/>
    </row>
    <row r="18" spans="2:6" ht="12" customHeight="1" x14ac:dyDescent="0.25">
      <c r="B18" s="312"/>
      <c r="E18" s="312"/>
    </row>
    <row r="19" spans="2:6" ht="357" customHeight="1" x14ac:dyDescent="0.25">
      <c r="B19" s="312"/>
      <c r="E19" s="312"/>
    </row>
    <row r="20" spans="2:6" ht="13.5" customHeight="1" x14ac:dyDescent="0.25">
      <c r="B20" s="312"/>
      <c r="E20" s="312"/>
    </row>
    <row r="21" spans="2:6" ht="357" customHeight="1" x14ac:dyDescent="0.25">
      <c r="B21" s="312"/>
      <c r="E21" s="312"/>
    </row>
    <row r="22" spans="2:6" x14ac:dyDescent="0.25">
      <c r="B22" s="312"/>
      <c r="E22" s="312"/>
    </row>
    <row r="23" spans="2:6" ht="357" customHeight="1" x14ac:dyDescent="0.25">
      <c r="B23" s="312"/>
      <c r="E23" s="312"/>
    </row>
    <row r="24" spans="2:6" x14ac:dyDescent="0.25">
      <c r="B24" s="312"/>
      <c r="E24" s="312"/>
    </row>
    <row r="25" spans="2:6" ht="327.75" customHeight="1" x14ac:dyDescent="0.25">
      <c r="B25" s="312"/>
      <c r="E25" s="312"/>
    </row>
    <row r="26" spans="2:6" x14ac:dyDescent="0.25">
      <c r="E26" s="312"/>
    </row>
    <row r="27" spans="2:6" ht="327.60000000000002" customHeight="1" x14ac:dyDescent="0.25">
      <c r="B27" s="312"/>
      <c r="E27" s="312"/>
    </row>
    <row r="28" spans="2:6" x14ac:dyDescent="0.25">
      <c r="B28" s="312"/>
      <c r="E28" s="312"/>
    </row>
    <row r="29" spans="2:6" ht="327.75" customHeight="1" x14ac:dyDescent="0.25">
      <c r="B29" s="312"/>
      <c r="E29" s="312"/>
    </row>
    <row r="30" spans="2:6" ht="13.5" customHeight="1" x14ac:dyDescent="0.25">
      <c r="B30" s="312"/>
      <c r="E30" s="312"/>
    </row>
    <row r="31" spans="2:6" ht="327.75" customHeight="1" x14ac:dyDescent="0.25">
      <c r="B31" s="312"/>
      <c r="E31" s="312"/>
    </row>
    <row r="32" spans="2:6" ht="13.5" customHeight="1" x14ac:dyDescent="0.25">
      <c r="B32" s="312"/>
      <c r="E32" s="312"/>
    </row>
    <row r="33" spans="2:20" ht="327.75" customHeight="1" x14ac:dyDescent="0.25">
      <c r="B33" s="312"/>
      <c r="E33" s="312"/>
    </row>
    <row r="34" spans="2:20" ht="13.5" customHeight="1" x14ac:dyDescent="0.25">
      <c r="B34" s="312"/>
      <c r="E34" s="312"/>
    </row>
    <row r="35" spans="2:20" ht="327.60000000000002" customHeight="1" x14ac:dyDescent="0.25">
      <c r="B35" s="312"/>
      <c r="E35" s="312"/>
    </row>
    <row r="36" spans="2:20" ht="13.5" customHeight="1" x14ac:dyDescent="0.25">
      <c r="B36" s="312"/>
      <c r="E36" s="312"/>
    </row>
    <row r="37" spans="2:20" ht="327.75" customHeight="1" x14ac:dyDescent="0.25">
      <c r="B37" s="312"/>
      <c r="E37" s="312"/>
    </row>
    <row r="38" spans="2:20" ht="13.5" customHeight="1" x14ac:dyDescent="0.4">
      <c r="B38" s="312"/>
      <c r="E38" s="312"/>
      <c r="G38" s="313"/>
    </row>
    <row r="39" spans="2:20" ht="327.75" customHeight="1" x14ac:dyDescent="0.25">
      <c r="B39" s="312"/>
      <c r="E39" s="312"/>
    </row>
    <row r="40" spans="2:20" x14ac:dyDescent="0.25">
      <c r="B40" s="312"/>
      <c r="E40" s="312"/>
      <c r="Q40" s="9"/>
      <c r="S40" s="9"/>
      <c r="T40" s="9"/>
    </row>
    <row r="41" spans="2:20" ht="327.75" customHeight="1" x14ac:dyDescent="0.25">
      <c r="B41" s="312"/>
      <c r="E41" s="312"/>
      <c r="Q41" s="9"/>
      <c r="S41" s="9"/>
    </row>
    <row r="42" spans="2:20" x14ac:dyDescent="0.25">
      <c r="B42" s="312"/>
      <c r="E42" s="312"/>
      <c r="Q42" s="9"/>
      <c r="S42" s="9"/>
    </row>
    <row r="43" spans="2:20" ht="327.75" customHeight="1" x14ac:dyDescent="0.25">
      <c r="B43" s="312"/>
      <c r="E43" s="312"/>
      <c r="Q43" s="9"/>
      <c r="S43" s="9"/>
    </row>
    <row r="44" spans="2:20" x14ac:dyDescent="0.25">
      <c r="B44" s="312"/>
      <c r="E44" s="312"/>
      <c r="Q44" s="9"/>
      <c r="S44" s="9"/>
    </row>
    <row r="45" spans="2:20" ht="327.75" customHeight="1" x14ac:dyDescent="0.25">
      <c r="B45" s="312"/>
      <c r="E45" s="312"/>
      <c r="Q45" s="9"/>
      <c r="S45" s="9"/>
    </row>
    <row r="46" spans="2:20" x14ac:dyDescent="0.25">
      <c r="B46" s="312"/>
      <c r="E46" s="312"/>
      <c r="Q46" s="9"/>
      <c r="S46" s="9"/>
    </row>
    <row r="47" spans="2:20" ht="327.75" customHeight="1" x14ac:dyDescent="0.25">
      <c r="B47" s="312"/>
      <c r="E47" s="312"/>
      <c r="Q47" s="9"/>
      <c r="S47" s="314"/>
    </row>
    <row r="48" spans="2:20" x14ac:dyDescent="0.25">
      <c r="B48" s="312"/>
      <c r="E48" s="312"/>
      <c r="Q48" s="9"/>
      <c r="S48" s="9"/>
    </row>
    <row r="49" spans="2:19" ht="327.75" customHeight="1" x14ac:dyDescent="0.25">
      <c r="B49" s="312"/>
      <c r="E49" s="312"/>
      <c r="Q49" s="9"/>
      <c r="S49" s="9"/>
    </row>
    <row r="50" spans="2:19" x14ac:dyDescent="0.25">
      <c r="B50" s="312"/>
      <c r="E50" s="312"/>
      <c r="Q50" s="9"/>
      <c r="S50" s="9"/>
    </row>
    <row r="51" spans="2:19" x14ac:dyDescent="0.25">
      <c r="B51" s="312"/>
      <c r="E51" s="312"/>
      <c r="Q51" s="9"/>
      <c r="S51" s="9"/>
    </row>
    <row r="52" spans="2:19" x14ac:dyDescent="0.25">
      <c r="B52" s="312"/>
      <c r="E52" s="312"/>
      <c r="Q52" s="9"/>
      <c r="S52" s="9"/>
    </row>
    <row r="53" spans="2:19" x14ac:dyDescent="0.25">
      <c r="B53" s="312"/>
      <c r="E53" s="312"/>
    </row>
    <row r="54" spans="2:19" x14ac:dyDescent="0.25">
      <c r="B54" s="312"/>
      <c r="E54" s="312"/>
    </row>
    <row r="55" spans="2:19" x14ac:dyDescent="0.25">
      <c r="B55" s="312"/>
      <c r="E55" s="312"/>
      <c r="R55" s="3"/>
    </row>
    <row r="56" spans="2:19" x14ac:dyDescent="0.25">
      <c r="B56" s="312"/>
      <c r="E56" s="312"/>
    </row>
    <row r="57" spans="2:19" x14ac:dyDescent="0.25">
      <c r="B57" s="312"/>
      <c r="E57" s="312"/>
    </row>
    <row r="66" spans="18:18" x14ac:dyDescent="0.25">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3.2" x14ac:dyDescent="0.25"/>
  <cols>
    <col min="1" max="1" width="17.21875" customWidth="1"/>
    <col min="2" max="2" width="12" bestFit="1" customWidth="1"/>
    <col min="8" max="8" width="12.21875" customWidth="1"/>
    <col min="9" max="9" width="12.44140625" bestFit="1" customWidth="1"/>
    <col min="10" max="10" width="15.44140625" customWidth="1"/>
  </cols>
  <sheetData>
    <row r="2" spans="1:11" x14ac:dyDescent="0.25">
      <c r="A2" t="s">
        <v>68</v>
      </c>
      <c r="B2" t="s">
        <v>66</v>
      </c>
      <c r="C2" t="s">
        <v>14</v>
      </c>
      <c r="D2" t="s">
        <v>28</v>
      </c>
      <c r="E2" t="s">
        <v>75</v>
      </c>
    </row>
    <row r="3" spans="1:11" x14ac:dyDescent="0.25">
      <c r="A3" t="s">
        <v>71</v>
      </c>
      <c r="B3">
        <f>Css</f>
        <v>1.0000000000000001E-7</v>
      </c>
      <c r="C3">
        <f>Cout</f>
        <v>100</v>
      </c>
      <c r="D3">
        <f>Cin</f>
        <v>22</v>
      </c>
      <c r="E3">
        <f>Cb</f>
        <v>0</v>
      </c>
      <c r="H3" t="s">
        <v>73</v>
      </c>
      <c r="I3" t="s">
        <v>74</v>
      </c>
      <c r="J3" s="3" t="s">
        <v>70</v>
      </c>
    </row>
    <row r="4" spans="1:11" ht="13.8" x14ac:dyDescent="0.3">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ht="13.8" x14ac:dyDescent="0.3">
      <c r="A5" t="s">
        <v>69</v>
      </c>
      <c r="J5" s="3"/>
      <c r="K5" s="12"/>
    </row>
    <row r="6" spans="1:11" ht="13.8" x14ac:dyDescent="0.3">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ht="13.8" x14ac:dyDescent="0.3">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ht="13.8" x14ac:dyDescent="0.3">
      <c r="A8">
        <v>0.68</v>
      </c>
      <c r="B8">
        <f t="shared" si="3"/>
        <v>0</v>
      </c>
      <c r="C8">
        <f t="shared" si="4"/>
        <v>0</v>
      </c>
      <c r="D8">
        <f t="shared" si="5"/>
        <v>0</v>
      </c>
      <c r="E8">
        <f t="shared" si="6"/>
        <v>0</v>
      </c>
      <c r="J8" s="3"/>
      <c r="K8" s="12"/>
    </row>
    <row r="9" spans="1:11" ht="13.8" x14ac:dyDescent="0.3">
      <c r="A9">
        <v>0.82</v>
      </c>
      <c r="B9">
        <f t="shared" si="3"/>
        <v>0</v>
      </c>
      <c r="C9">
        <f t="shared" si="4"/>
        <v>0</v>
      </c>
      <c r="D9">
        <f t="shared" si="5"/>
        <v>0</v>
      </c>
      <c r="E9">
        <f t="shared" si="6"/>
        <v>0</v>
      </c>
      <c r="H9" t="s">
        <v>383</v>
      </c>
      <c r="I9">
        <f>RTC_1</f>
        <v>784000</v>
      </c>
      <c r="J9" s="3">
        <f t="shared" si="1"/>
        <v>787000</v>
      </c>
      <c r="K9" s="12" t="s">
        <v>136</v>
      </c>
    </row>
    <row r="10" spans="1:11" ht="13.8" x14ac:dyDescent="0.3">
      <c r="A10">
        <v>1</v>
      </c>
      <c r="B10">
        <f t="shared" si="3"/>
        <v>0</v>
      </c>
      <c r="C10">
        <f t="shared" si="4"/>
        <v>0</v>
      </c>
      <c r="D10">
        <f t="shared" si="5"/>
        <v>0</v>
      </c>
      <c r="E10">
        <f t="shared" si="6"/>
        <v>0</v>
      </c>
      <c r="H10" t="s">
        <v>17</v>
      </c>
      <c r="I10">
        <f>Rfb</f>
        <v>196000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196000</v>
      </c>
      <c r="K10" s="12" t="s">
        <v>136</v>
      </c>
    </row>
    <row r="11" spans="1:11" x14ac:dyDescent="0.25">
      <c r="A11">
        <v>1.2</v>
      </c>
      <c r="B11">
        <f t="shared" si="3"/>
        <v>0</v>
      </c>
      <c r="C11">
        <f t="shared" si="4"/>
        <v>0</v>
      </c>
      <c r="D11">
        <f t="shared" si="5"/>
        <v>0</v>
      </c>
      <c r="E11">
        <f t="shared" si="6"/>
        <v>0</v>
      </c>
      <c r="J11" s="3"/>
    </row>
    <row r="12" spans="1:11" x14ac:dyDescent="0.25">
      <c r="A12">
        <v>1.5</v>
      </c>
      <c r="B12">
        <f t="shared" si="3"/>
        <v>0</v>
      </c>
      <c r="C12">
        <f t="shared" si="4"/>
        <v>0</v>
      </c>
      <c r="D12">
        <f t="shared" si="5"/>
        <v>0</v>
      </c>
      <c r="E12">
        <f t="shared" si="6"/>
        <v>0</v>
      </c>
      <c r="J12" s="3"/>
    </row>
    <row r="13" spans="1:11" ht="13.8" x14ac:dyDescent="0.3">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5">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5">
      <c r="A15">
        <v>2.7</v>
      </c>
      <c r="B15">
        <f t="shared" si="3"/>
        <v>0</v>
      </c>
      <c r="C15">
        <f t="shared" si="4"/>
        <v>0</v>
      </c>
      <c r="D15">
        <f t="shared" si="5"/>
        <v>0</v>
      </c>
      <c r="E15">
        <f t="shared" si="6"/>
        <v>0</v>
      </c>
    </row>
    <row r="16" spans="1:11" ht="13.8" x14ac:dyDescent="0.3">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ht="13.8" x14ac:dyDescent="0.3">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ht="13.8" x14ac:dyDescent="0.3">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5">
      <c r="A19">
        <v>5.6</v>
      </c>
      <c r="B19">
        <f t="shared" si="3"/>
        <v>0</v>
      </c>
      <c r="C19">
        <f t="shared" si="4"/>
        <v>0</v>
      </c>
      <c r="D19">
        <f t="shared" si="5"/>
        <v>0</v>
      </c>
      <c r="E19">
        <f t="shared" si="6"/>
        <v>0</v>
      </c>
    </row>
    <row r="20" spans="1:11" x14ac:dyDescent="0.25">
      <c r="A20">
        <v>6.8</v>
      </c>
      <c r="B20">
        <f t="shared" si="3"/>
        <v>0</v>
      </c>
      <c r="C20">
        <f t="shared" si="4"/>
        <v>0</v>
      </c>
      <c r="D20">
        <f t="shared" si="5"/>
        <v>0</v>
      </c>
      <c r="E20">
        <f t="shared" si="6"/>
        <v>0</v>
      </c>
      <c r="H20" s="59"/>
      <c r="J20" s="3"/>
    </row>
    <row r="21" spans="1:11" x14ac:dyDescent="0.25">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ht="13.8" x14ac:dyDescent="0.3">
      <c r="A22">
        <v>10</v>
      </c>
      <c r="B22">
        <f t="shared" si="3"/>
        <v>0</v>
      </c>
      <c r="C22">
        <f t="shared" si="4"/>
        <v>0</v>
      </c>
      <c r="D22">
        <f t="shared" si="5"/>
        <v>0</v>
      </c>
      <c r="E22">
        <f t="shared" si="6"/>
        <v>0</v>
      </c>
      <c r="H22" s="59"/>
      <c r="J22" s="3"/>
      <c r="K22" s="12"/>
    </row>
    <row r="23" spans="1:11" ht="13.8" x14ac:dyDescent="0.3">
      <c r="A23">
        <v>12</v>
      </c>
      <c r="B23">
        <f t="shared" si="3"/>
        <v>0</v>
      </c>
      <c r="C23">
        <f t="shared" si="4"/>
        <v>0</v>
      </c>
      <c r="D23">
        <f t="shared" si="5"/>
        <v>0</v>
      </c>
      <c r="E23">
        <f t="shared" si="6"/>
        <v>0</v>
      </c>
      <c r="H23" t="s">
        <v>838</v>
      </c>
      <c r="I23">
        <f>'Calculations - Single'!H329</f>
        <v>-1725.7633341922187</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5">
      <c r="A24">
        <v>15</v>
      </c>
      <c r="B24">
        <f t="shared" si="3"/>
        <v>0</v>
      </c>
      <c r="C24">
        <f t="shared" si="4"/>
        <v>0</v>
      </c>
      <c r="D24">
        <f t="shared" si="5"/>
        <v>0</v>
      </c>
      <c r="E24">
        <f t="shared" si="6"/>
        <v>0</v>
      </c>
      <c r="H24" t="s">
        <v>849</v>
      </c>
      <c r="I24">
        <f>'Calculations - Dual'!H329</f>
        <v>-1725.7633341922187</v>
      </c>
      <c r="J24" s="3" t="e">
        <f t="shared" si="8"/>
        <v>#NUM!</v>
      </c>
    </row>
    <row r="25" spans="1:11" ht="13.8" x14ac:dyDescent="0.3">
      <c r="A25">
        <v>18</v>
      </c>
      <c r="B25">
        <f t="shared" si="3"/>
        <v>0</v>
      </c>
      <c r="C25">
        <f t="shared" si="4"/>
        <v>0</v>
      </c>
      <c r="D25">
        <f t="shared" si="5"/>
        <v>0</v>
      </c>
      <c r="E25">
        <f t="shared" si="6"/>
        <v>0</v>
      </c>
      <c r="H25" s="59" t="s">
        <v>848</v>
      </c>
      <c r="I25">
        <f>'Calculations - Dual'!O329</f>
        <v>-3827.4635861376191</v>
      </c>
      <c r="J25" s="3" t="e">
        <f t="shared" si="8"/>
        <v>#NUM!</v>
      </c>
      <c r="K25" s="12"/>
    </row>
    <row r="26" spans="1:11" x14ac:dyDescent="0.25">
      <c r="A26">
        <v>22</v>
      </c>
      <c r="B26">
        <f t="shared" si="3"/>
        <v>0</v>
      </c>
      <c r="C26">
        <f t="shared" si="4"/>
        <v>0</v>
      </c>
      <c r="D26">
        <f t="shared" si="5"/>
        <v>0</v>
      </c>
      <c r="E26">
        <f t="shared" si="6"/>
        <v>0</v>
      </c>
    </row>
    <row r="27" spans="1:11" x14ac:dyDescent="0.25">
      <c r="A27">
        <v>27</v>
      </c>
      <c r="B27">
        <f t="shared" si="3"/>
        <v>0</v>
      </c>
      <c r="C27">
        <f t="shared" si="4"/>
        <v>0</v>
      </c>
      <c r="D27">
        <f t="shared" si="5"/>
        <v>0</v>
      </c>
      <c r="E27">
        <f t="shared" si="6"/>
        <v>0</v>
      </c>
      <c r="H27" t="s">
        <v>859</v>
      </c>
      <c r="I27">
        <f>'Calculations - Single'!G327</f>
        <v>6.2592592592592596E-3</v>
      </c>
    </row>
    <row r="28" spans="1:11" ht="13.8" x14ac:dyDescent="0.3">
      <c r="A28">
        <v>33</v>
      </c>
      <c r="B28">
        <f t="shared" si="3"/>
        <v>0</v>
      </c>
      <c r="C28">
        <f t="shared" si="4"/>
        <v>0</v>
      </c>
      <c r="D28">
        <f t="shared" si="5"/>
        <v>0</v>
      </c>
      <c r="E28">
        <f t="shared" si="6"/>
        <v>0</v>
      </c>
      <c r="H28" s="59" t="s">
        <v>860</v>
      </c>
      <c r="I28">
        <f>'Calculations - Dual'!G327</f>
        <v>6.2592592592592596E-3</v>
      </c>
      <c r="K28" s="12"/>
    </row>
    <row r="29" spans="1:11" x14ac:dyDescent="0.25">
      <c r="A29">
        <v>39</v>
      </c>
      <c r="B29">
        <f t="shared" si="3"/>
        <v>0</v>
      </c>
      <c r="C29">
        <f t="shared" si="4"/>
        <v>0</v>
      </c>
      <c r="D29">
        <f t="shared" si="5"/>
        <v>0</v>
      </c>
      <c r="E29">
        <f t="shared" si="6"/>
        <v>0</v>
      </c>
      <c r="H29" s="59" t="s">
        <v>861</v>
      </c>
      <c r="I29">
        <f>'Calculations - Dual'!N327</f>
        <v>6.2592592592592596E-3</v>
      </c>
      <c r="K29" s="59"/>
    </row>
    <row r="30" spans="1:11" x14ac:dyDescent="0.25">
      <c r="A30">
        <v>47</v>
      </c>
      <c r="B30">
        <f t="shared" si="3"/>
        <v>0</v>
      </c>
      <c r="C30">
        <f t="shared" si="4"/>
        <v>0</v>
      </c>
      <c r="D30">
        <f t="shared" si="5"/>
        <v>0</v>
      </c>
      <c r="E30">
        <f t="shared" si="6"/>
        <v>0</v>
      </c>
      <c r="H30" s="4"/>
      <c r="K30" s="59"/>
    </row>
    <row r="31" spans="1:11" ht="13.8" x14ac:dyDescent="0.3">
      <c r="A31">
        <v>56</v>
      </c>
      <c r="B31">
        <f t="shared" si="3"/>
        <v>0</v>
      </c>
      <c r="C31">
        <f t="shared" si="4"/>
        <v>0</v>
      </c>
      <c r="D31">
        <f t="shared" si="5"/>
        <v>0</v>
      </c>
      <c r="E31">
        <f t="shared" si="6"/>
        <v>0</v>
      </c>
      <c r="H31" s="4">
        <f>Npri_sec2</f>
        <v>0.46936274509803921</v>
      </c>
      <c r="K31" s="12"/>
    </row>
    <row r="32" spans="1:11" x14ac:dyDescent="0.25">
      <c r="A32">
        <v>68</v>
      </c>
      <c r="B32">
        <f t="shared" si="3"/>
        <v>0</v>
      </c>
      <c r="C32">
        <f t="shared" si="4"/>
        <v>0</v>
      </c>
      <c r="D32">
        <f t="shared" si="5"/>
        <v>0</v>
      </c>
      <c r="E32">
        <f t="shared" si="6"/>
        <v>0</v>
      </c>
      <c r="H32" s="4"/>
      <c r="K32" s="59"/>
    </row>
    <row r="33" spans="1:8" x14ac:dyDescent="0.25">
      <c r="A33">
        <v>82</v>
      </c>
      <c r="B33">
        <f t="shared" si="3"/>
        <v>0</v>
      </c>
      <c r="C33">
        <f t="shared" si="4"/>
        <v>0</v>
      </c>
      <c r="D33">
        <f t="shared" si="5"/>
        <v>0</v>
      </c>
      <c r="E33">
        <f t="shared" si="6"/>
        <v>0</v>
      </c>
    </row>
    <row r="34" spans="1:8" x14ac:dyDescent="0.25">
      <c r="A34">
        <f>A22*10</f>
        <v>100</v>
      </c>
      <c r="B34">
        <f t="shared" si="3"/>
        <v>0</v>
      </c>
      <c r="C34">
        <f t="shared" si="4"/>
        <v>0</v>
      </c>
      <c r="D34">
        <f t="shared" si="5"/>
        <v>0</v>
      </c>
      <c r="E34">
        <f t="shared" si="6"/>
        <v>0</v>
      </c>
      <c r="H34" s="59"/>
    </row>
    <row r="35" spans="1:8" x14ac:dyDescent="0.25">
      <c r="A35">
        <f t="shared" ref="A35:A98" si="9">A23*10</f>
        <v>120</v>
      </c>
      <c r="B35">
        <f t="shared" si="3"/>
        <v>0</v>
      </c>
      <c r="C35">
        <f t="shared" si="4"/>
        <v>0</v>
      </c>
      <c r="D35">
        <f t="shared" si="5"/>
        <v>0</v>
      </c>
      <c r="E35">
        <f t="shared" si="6"/>
        <v>0</v>
      </c>
      <c r="H35" s="59"/>
    </row>
    <row r="36" spans="1:8" x14ac:dyDescent="0.25">
      <c r="A36">
        <f t="shared" si="9"/>
        <v>150</v>
      </c>
      <c r="B36">
        <f t="shared" si="3"/>
        <v>0</v>
      </c>
      <c r="C36">
        <f t="shared" si="4"/>
        <v>0</v>
      </c>
      <c r="D36">
        <f t="shared" si="5"/>
        <v>0</v>
      </c>
      <c r="E36">
        <f t="shared" si="6"/>
        <v>0</v>
      </c>
    </row>
    <row r="37" spans="1:8" x14ac:dyDescent="0.25">
      <c r="A37">
        <f t="shared" si="9"/>
        <v>180</v>
      </c>
      <c r="B37">
        <f t="shared" si="3"/>
        <v>0</v>
      </c>
      <c r="C37">
        <f t="shared" si="4"/>
        <v>0</v>
      </c>
      <c r="D37">
        <f t="shared" si="5"/>
        <v>0</v>
      </c>
      <c r="E37">
        <f t="shared" si="6"/>
        <v>0</v>
      </c>
    </row>
    <row r="38" spans="1:8" x14ac:dyDescent="0.25">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5">
      <c r="A39">
        <f t="shared" si="9"/>
        <v>270</v>
      </c>
      <c r="B39">
        <f t="shared" si="3"/>
        <v>0</v>
      </c>
      <c r="C39">
        <f t="shared" si="4"/>
        <v>0</v>
      </c>
      <c r="D39">
        <f t="shared" si="5"/>
        <v>0</v>
      </c>
      <c r="E39">
        <f t="shared" si="10"/>
        <v>0</v>
      </c>
    </row>
    <row r="40" spans="1:8" x14ac:dyDescent="0.25">
      <c r="A40">
        <f t="shared" si="9"/>
        <v>330</v>
      </c>
      <c r="B40">
        <f t="shared" si="3"/>
        <v>0</v>
      </c>
      <c r="C40">
        <f t="shared" si="4"/>
        <v>0</v>
      </c>
      <c r="D40">
        <f t="shared" si="5"/>
        <v>0</v>
      </c>
      <c r="E40">
        <f t="shared" si="10"/>
        <v>0</v>
      </c>
    </row>
    <row r="41" spans="1:8" x14ac:dyDescent="0.25">
      <c r="A41">
        <f t="shared" si="9"/>
        <v>390</v>
      </c>
      <c r="B41">
        <f t="shared" si="3"/>
        <v>0</v>
      </c>
      <c r="C41">
        <f t="shared" si="4"/>
        <v>0</v>
      </c>
      <c r="D41">
        <f t="shared" si="5"/>
        <v>0</v>
      </c>
      <c r="E41">
        <f t="shared" si="10"/>
        <v>0</v>
      </c>
    </row>
    <row r="42" spans="1:8" x14ac:dyDescent="0.25">
      <c r="A42">
        <f t="shared" si="9"/>
        <v>470</v>
      </c>
      <c r="B42">
        <f t="shared" si="3"/>
        <v>0</v>
      </c>
      <c r="C42">
        <f t="shared" si="4"/>
        <v>0</v>
      </c>
      <c r="D42">
        <f t="shared" si="5"/>
        <v>0</v>
      </c>
      <c r="E42">
        <f t="shared" si="10"/>
        <v>0</v>
      </c>
    </row>
    <row r="43" spans="1:8" x14ac:dyDescent="0.25">
      <c r="A43">
        <f t="shared" si="9"/>
        <v>560</v>
      </c>
      <c r="B43">
        <f t="shared" si="3"/>
        <v>0</v>
      </c>
      <c r="C43">
        <f t="shared" si="4"/>
        <v>0</v>
      </c>
      <c r="D43">
        <f t="shared" si="5"/>
        <v>0</v>
      </c>
      <c r="E43">
        <f t="shared" si="10"/>
        <v>0</v>
      </c>
    </row>
    <row r="44" spans="1:8" x14ac:dyDescent="0.25">
      <c r="A44">
        <f t="shared" si="9"/>
        <v>680</v>
      </c>
      <c r="B44">
        <f t="shared" si="3"/>
        <v>0</v>
      </c>
      <c r="C44">
        <f t="shared" si="4"/>
        <v>0</v>
      </c>
      <c r="D44">
        <f t="shared" si="5"/>
        <v>0</v>
      </c>
      <c r="E44">
        <f t="shared" si="10"/>
        <v>0</v>
      </c>
    </row>
    <row r="45" spans="1:8" x14ac:dyDescent="0.25">
      <c r="A45">
        <f>A33*10</f>
        <v>820</v>
      </c>
      <c r="B45">
        <f t="shared" si="3"/>
        <v>0</v>
      </c>
      <c r="C45">
        <f t="shared" si="4"/>
        <v>0</v>
      </c>
      <c r="D45">
        <f t="shared" si="5"/>
        <v>0</v>
      </c>
      <c r="E45">
        <f t="shared" si="10"/>
        <v>0</v>
      </c>
    </row>
    <row r="46" spans="1:8" x14ac:dyDescent="0.25">
      <c r="A46">
        <f t="shared" si="9"/>
        <v>1000</v>
      </c>
      <c r="B46">
        <f t="shared" si="3"/>
        <v>0</v>
      </c>
      <c r="C46">
        <f t="shared" si="4"/>
        <v>0</v>
      </c>
      <c r="D46">
        <f t="shared" si="5"/>
        <v>0</v>
      </c>
      <c r="E46">
        <f t="shared" si="10"/>
        <v>0</v>
      </c>
    </row>
    <row r="47" spans="1:8" x14ac:dyDescent="0.25">
      <c r="A47">
        <f t="shared" si="9"/>
        <v>1200</v>
      </c>
      <c r="B47">
        <f t="shared" si="3"/>
        <v>0</v>
      </c>
      <c r="C47">
        <f t="shared" si="4"/>
        <v>0</v>
      </c>
      <c r="D47">
        <f t="shared" si="5"/>
        <v>0</v>
      </c>
      <c r="E47">
        <f t="shared" si="10"/>
        <v>0</v>
      </c>
    </row>
    <row r="48" spans="1:8" x14ac:dyDescent="0.25">
      <c r="A48">
        <f t="shared" si="9"/>
        <v>1500</v>
      </c>
      <c r="B48">
        <f t="shared" si="3"/>
        <v>0</v>
      </c>
      <c r="C48">
        <f t="shared" si="4"/>
        <v>0</v>
      </c>
      <c r="D48">
        <f t="shared" si="5"/>
        <v>0</v>
      </c>
      <c r="E48">
        <f t="shared" si="10"/>
        <v>0</v>
      </c>
    </row>
    <row r="49" spans="1:5" x14ac:dyDescent="0.25">
      <c r="A49">
        <f t="shared" si="9"/>
        <v>1800</v>
      </c>
      <c r="B49">
        <f t="shared" si="3"/>
        <v>0</v>
      </c>
      <c r="C49">
        <f t="shared" si="4"/>
        <v>0</v>
      </c>
      <c r="D49">
        <f t="shared" si="5"/>
        <v>0</v>
      </c>
      <c r="E49">
        <f t="shared" si="10"/>
        <v>0</v>
      </c>
    </row>
    <row r="50" spans="1:5" x14ac:dyDescent="0.25">
      <c r="A50">
        <f t="shared" si="9"/>
        <v>2200</v>
      </c>
      <c r="B50">
        <f t="shared" si="3"/>
        <v>0</v>
      </c>
      <c r="C50">
        <f t="shared" si="4"/>
        <v>0</v>
      </c>
      <c r="D50">
        <f t="shared" si="5"/>
        <v>0</v>
      </c>
      <c r="E50">
        <f t="shared" si="10"/>
        <v>0</v>
      </c>
    </row>
    <row r="51" spans="1:5" x14ac:dyDescent="0.25">
      <c r="A51">
        <f t="shared" si="9"/>
        <v>2700</v>
      </c>
      <c r="B51">
        <f t="shared" si="3"/>
        <v>0</v>
      </c>
      <c r="C51">
        <f t="shared" si="4"/>
        <v>0</v>
      </c>
      <c r="D51">
        <f t="shared" si="5"/>
        <v>0</v>
      </c>
      <c r="E51">
        <f t="shared" si="10"/>
        <v>0</v>
      </c>
    </row>
    <row r="52" spans="1:5" x14ac:dyDescent="0.25">
      <c r="A52">
        <f t="shared" si="9"/>
        <v>3300</v>
      </c>
      <c r="B52">
        <f t="shared" si="3"/>
        <v>0</v>
      </c>
      <c r="C52">
        <f t="shared" si="4"/>
        <v>0</v>
      </c>
      <c r="D52">
        <f t="shared" si="5"/>
        <v>0</v>
      </c>
      <c r="E52">
        <f t="shared" si="10"/>
        <v>0</v>
      </c>
    </row>
    <row r="53" spans="1:5" x14ac:dyDescent="0.25">
      <c r="A53">
        <f t="shared" si="9"/>
        <v>3900</v>
      </c>
      <c r="B53">
        <f t="shared" si="3"/>
        <v>0</v>
      </c>
      <c r="C53">
        <f t="shared" si="4"/>
        <v>0</v>
      </c>
      <c r="D53">
        <f t="shared" si="5"/>
        <v>0</v>
      </c>
      <c r="E53">
        <f t="shared" si="10"/>
        <v>0</v>
      </c>
    </row>
    <row r="54" spans="1:5" x14ac:dyDescent="0.25">
      <c r="A54">
        <f t="shared" si="9"/>
        <v>4700</v>
      </c>
      <c r="B54">
        <f t="shared" si="3"/>
        <v>0</v>
      </c>
      <c r="C54">
        <f t="shared" si="4"/>
        <v>0</v>
      </c>
      <c r="D54">
        <f t="shared" si="5"/>
        <v>0</v>
      </c>
      <c r="E54">
        <f t="shared" si="10"/>
        <v>0</v>
      </c>
    </row>
    <row r="55" spans="1:5" x14ac:dyDescent="0.25">
      <c r="A55">
        <f t="shared" si="9"/>
        <v>5600</v>
      </c>
      <c r="B55">
        <f t="shared" si="3"/>
        <v>0</v>
      </c>
      <c r="C55">
        <f t="shared" si="4"/>
        <v>0</v>
      </c>
      <c r="D55">
        <f t="shared" si="5"/>
        <v>0</v>
      </c>
      <c r="E55">
        <f t="shared" si="10"/>
        <v>0</v>
      </c>
    </row>
    <row r="56" spans="1:5" x14ac:dyDescent="0.25">
      <c r="A56">
        <f t="shared" si="9"/>
        <v>6800</v>
      </c>
      <c r="B56">
        <f t="shared" si="3"/>
        <v>0</v>
      </c>
      <c r="C56">
        <f t="shared" si="4"/>
        <v>0</v>
      </c>
      <c r="D56">
        <f t="shared" si="5"/>
        <v>0</v>
      </c>
      <c r="E56">
        <f t="shared" si="10"/>
        <v>0</v>
      </c>
    </row>
    <row r="57" spans="1:5" x14ac:dyDescent="0.25">
      <c r="A57">
        <f t="shared" si="9"/>
        <v>8200</v>
      </c>
      <c r="B57">
        <f t="shared" si="3"/>
        <v>0</v>
      </c>
      <c r="C57">
        <f t="shared" si="4"/>
        <v>0</v>
      </c>
      <c r="D57">
        <f t="shared" si="5"/>
        <v>0</v>
      </c>
      <c r="E57">
        <f t="shared" si="10"/>
        <v>0</v>
      </c>
    </row>
    <row r="58" spans="1:5" x14ac:dyDescent="0.25">
      <c r="A58">
        <f t="shared" si="9"/>
        <v>10000</v>
      </c>
      <c r="B58">
        <f t="shared" si="3"/>
        <v>0</v>
      </c>
      <c r="C58">
        <f t="shared" si="4"/>
        <v>0</v>
      </c>
      <c r="D58">
        <f t="shared" si="5"/>
        <v>0</v>
      </c>
      <c r="E58">
        <f t="shared" si="10"/>
        <v>0</v>
      </c>
    </row>
    <row r="59" spans="1:5" x14ac:dyDescent="0.25">
      <c r="A59">
        <f t="shared" si="9"/>
        <v>12000</v>
      </c>
      <c r="B59">
        <f t="shared" si="3"/>
        <v>0</v>
      </c>
      <c r="C59">
        <f t="shared" si="4"/>
        <v>0</v>
      </c>
      <c r="D59">
        <f t="shared" si="5"/>
        <v>0</v>
      </c>
      <c r="E59">
        <f t="shared" si="10"/>
        <v>0</v>
      </c>
    </row>
    <row r="60" spans="1:5" x14ac:dyDescent="0.25">
      <c r="A60">
        <f t="shared" si="9"/>
        <v>15000</v>
      </c>
      <c r="B60">
        <f t="shared" si="3"/>
        <v>0</v>
      </c>
      <c r="C60">
        <f t="shared" si="4"/>
        <v>0</v>
      </c>
      <c r="D60">
        <f t="shared" si="5"/>
        <v>0</v>
      </c>
      <c r="E60">
        <f t="shared" si="10"/>
        <v>0</v>
      </c>
    </row>
    <row r="61" spans="1:5" x14ac:dyDescent="0.25">
      <c r="A61">
        <f t="shared" si="9"/>
        <v>18000</v>
      </c>
      <c r="B61">
        <f t="shared" si="3"/>
        <v>0</v>
      </c>
      <c r="C61">
        <f t="shared" si="4"/>
        <v>0</v>
      </c>
      <c r="D61">
        <f t="shared" si="5"/>
        <v>0</v>
      </c>
      <c r="E61">
        <f t="shared" si="10"/>
        <v>0</v>
      </c>
    </row>
    <row r="62" spans="1:5" x14ac:dyDescent="0.25">
      <c r="A62">
        <f t="shared" si="9"/>
        <v>22000</v>
      </c>
      <c r="B62">
        <f t="shared" si="3"/>
        <v>0</v>
      </c>
      <c r="C62">
        <f t="shared" si="4"/>
        <v>0</v>
      </c>
      <c r="D62">
        <f t="shared" si="5"/>
        <v>0</v>
      </c>
      <c r="E62">
        <f t="shared" si="10"/>
        <v>0</v>
      </c>
    </row>
    <row r="63" spans="1:5" x14ac:dyDescent="0.25">
      <c r="A63">
        <f t="shared" si="9"/>
        <v>27000</v>
      </c>
      <c r="B63">
        <f t="shared" si="3"/>
        <v>0</v>
      </c>
      <c r="C63">
        <f t="shared" si="4"/>
        <v>0</v>
      </c>
      <c r="D63">
        <f t="shared" si="5"/>
        <v>0</v>
      </c>
      <c r="E63">
        <f t="shared" si="10"/>
        <v>0</v>
      </c>
    </row>
    <row r="64" spans="1:5" x14ac:dyDescent="0.25">
      <c r="A64">
        <f t="shared" si="9"/>
        <v>33000</v>
      </c>
      <c r="B64">
        <f t="shared" si="3"/>
        <v>0</v>
      </c>
      <c r="C64">
        <f t="shared" si="4"/>
        <v>0</v>
      </c>
      <c r="D64">
        <f t="shared" si="5"/>
        <v>0</v>
      </c>
      <c r="E64">
        <f t="shared" si="10"/>
        <v>0</v>
      </c>
    </row>
    <row r="65" spans="1:5" x14ac:dyDescent="0.25">
      <c r="A65">
        <f t="shared" si="9"/>
        <v>39000</v>
      </c>
      <c r="B65">
        <f t="shared" si="3"/>
        <v>0</v>
      </c>
      <c r="C65">
        <f t="shared" si="4"/>
        <v>0</v>
      </c>
      <c r="D65">
        <f t="shared" si="5"/>
        <v>0</v>
      </c>
      <c r="E65">
        <f t="shared" si="10"/>
        <v>0</v>
      </c>
    </row>
    <row r="66" spans="1:5" x14ac:dyDescent="0.25">
      <c r="A66">
        <f t="shared" si="9"/>
        <v>47000</v>
      </c>
      <c r="B66">
        <f t="shared" si="3"/>
        <v>0</v>
      </c>
      <c r="C66">
        <f t="shared" si="4"/>
        <v>0</v>
      </c>
      <c r="D66">
        <f t="shared" si="5"/>
        <v>0</v>
      </c>
      <c r="E66">
        <f t="shared" si="10"/>
        <v>0</v>
      </c>
    </row>
    <row r="67" spans="1:5" x14ac:dyDescent="0.25">
      <c r="A67">
        <f t="shared" si="9"/>
        <v>56000</v>
      </c>
      <c r="B67">
        <f t="shared" si="3"/>
        <v>0</v>
      </c>
      <c r="C67">
        <f t="shared" si="4"/>
        <v>0</v>
      </c>
      <c r="D67">
        <f t="shared" si="5"/>
        <v>0</v>
      </c>
      <c r="E67">
        <f t="shared" si="10"/>
        <v>0</v>
      </c>
    </row>
    <row r="68" spans="1:5" x14ac:dyDescent="0.25">
      <c r="A68">
        <f t="shared" si="9"/>
        <v>68000</v>
      </c>
      <c r="B68">
        <f t="shared" si="3"/>
        <v>0</v>
      </c>
      <c r="C68">
        <f t="shared" si="4"/>
        <v>0</v>
      </c>
      <c r="D68">
        <f t="shared" si="5"/>
        <v>0</v>
      </c>
      <c r="E68">
        <f t="shared" si="10"/>
        <v>0</v>
      </c>
    </row>
    <row r="69" spans="1:5" x14ac:dyDescent="0.25">
      <c r="A69">
        <f t="shared" si="9"/>
        <v>82000</v>
      </c>
      <c r="B69">
        <f t="shared" si="3"/>
        <v>0</v>
      </c>
      <c r="C69">
        <f t="shared" si="4"/>
        <v>0</v>
      </c>
      <c r="D69">
        <f t="shared" si="5"/>
        <v>0</v>
      </c>
      <c r="E69">
        <f t="shared" si="10"/>
        <v>0</v>
      </c>
    </row>
    <row r="70" spans="1:5" x14ac:dyDescent="0.25">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5">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5">
      <c r="A72">
        <f t="shared" si="9"/>
        <v>150000</v>
      </c>
      <c r="B72">
        <f t="shared" si="13"/>
        <v>0</v>
      </c>
      <c r="C72">
        <f t="shared" si="14"/>
        <v>0</v>
      </c>
      <c r="D72">
        <f t="shared" si="15"/>
        <v>0</v>
      </c>
      <c r="E72">
        <f t="shared" si="12"/>
        <v>0</v>
      </c>
    </row>
    <row r="73" spans="1:5" x14ac:dyDescent="0.25">
      <c r="A73">
        <f t="shared" si="9"/>
        <v>180000</v>
      </c>
      <c r="B73">
        <f t="shared" si="13"/>
        <v>0</v>
      </c>
      <c r="C73">
        <f t="shared" si="14"/>
        <v>0</v>
      </c>
      <c r="D73">
        <f t="shared" si="15"/>
        <v>0</v>
      </c>
      <c r="E73">
        <f t="shared" si="12"/>
        <v>0</v>
      </c>
    </row>
    <row r="74" spans="1:5" x14ac:dyDescent="0.25">
      <c r="A74">
        <f t="shared" si="9"/>
        <v>220000</v>
      </c>
      <c r="B74">
        <f t="shared" si="13"/>
        <v>0</v>
      </c>
      <c r="C74">
        <f t="shared" si="14"/>
        <v>0</v>
      </c>
      <c r="D74">
        <f t="shared" si="15"/>
        <v>0</v>
      </c>
      <c r="E74">
        <f t="shared" si="12"/>
        <v>0</v>
      </c>
    </row>
    <row r="75" spans="1:5" x14ac:dyDescent="0.25">
      <c r="A75">
        <f t="shared" si="9"/>
        <v>270000</v>
      </c>
      <c r="B75">
        <f t="shared" si="13"/>
        <v>0</v>
      </c>
      <c r="C75">
        <f t="shared" si="14"/>
        <v>0</v>
      </c>
      <c r="D75">
        <f t="shared" si="15"/>
        <v>0</v>
      </c>
      <c r="E75">
        <f t="shared" si="12"/>
        <v>0</v>
      </c>
    </row>
    <row r="76" spans="1:5" x14ac:dyDescent="0.25">
      <c r="A76">
        <f t="shared" si="9"/>
        <v>330000</v>
      </c>
      <c r="B76">
        <f t="shared" si="13"/>
        <v>0</v>
      </c>
      <c r="C76">
        <f t="shared" si="14"/>
        <v>0</v>
      </c>
      <c r="D76">
        <f t="shared" si="15"/>
        <v>0</v>
      </c>
      <c r="E76">
        <f t="shared" si="12"/>
        <v>0</v>
      </c>
    </row>
    <row r="77" spans="1:5" x14ac:dyDescent="0.25">
      <c r="A77">
        <f t="shared" si="9"/>
        <v>390000</v>
      </c>
      <c r="B77">
        <f t="shared" si="13"/>
        <v>0</v>
      </c>
      <c r="C77">
        <f t="shared" si="14"/>
        <v>0</v>
      </c>
      <c r="D77">
        <f t="shared" si="15"/>
        <v>0</v>
      </c>
      <c r="E77">
        <f t="shared" si="12"/>
        <v>0</v>
      </c>
    </row>
    <row r="78" spans="1:5" x14ac:dyDescent="0.25">
      <c r="A78">
        <f t="shared" si="9"/>
        <v>470000</v>
      </c>
      <c r="B78">
        <f t="shared" si="13"/>
        <v>0</v>
      </c>
      <c r="C78">
        <f t="shared" si="14"/>
        <v>0</v>
      </c>
      <c r="D78">
        <f t="shared" si="15"/>
        <v>0</v>
      </c>
      <c r="E78">
        <f t="shared" si="12"/>
        <v>0</v>
      </c>
    </row>
    <row r="79" spans="1:5" x14ac:dyDescent="0.25">
      <c r="A79">
        <f t="shared" si="9"/>
        <v>560000</v>
      </c>
      <c r="B79">
        <f t="shared" si="13"/>
        <v>0</v>
      </c>
      <c r="C79">
        <f t="shared" si="14"/>
        <v>0</v>
      </c>
      <c r="D79">
        <f t="shared" si="15"/>
        <v>0</v>
      </c>
      <c r="E79">
        <f t="shared" si="12"/>
        <v>0</v>
      </c>
    </row>
    <row r="80" spans="1:5" x14ac:dyDescent="0.25">
      <c r="A80">
        <f t="shared" si="9"/>
        <v>680000</v>
      </c>
      <c r="B80">
        <f t="shared" si="13"/>
        <v>0</v>
      </c>
      <c r="C80">
        <f t="shared" si="14"/>
        <v>0</v>
      </c>
      <c r="D80">
        <f t="shared" si="15"/>
        <v>0</v>
      </c>
      <c r="E80">
        <f t="shared" si="12"/>
        <v>0</v>
      </c>
    </row>
    <row r="81" spans="1:5" x14ac:dyDescent="0.25">
      <c r="A81">
        <f t="shared" si="9"/>
        <v>820000</v>
      </c>
      <c r="B81">
        <f t="shared" si="13"/>
        <v>0</v>
      </c>
      <c r="C81">
        <f t="shared" si="14"/>
        <v>0</v>
      </c>
      <c r="D81">
        <f t="shared" si="15"/>
        <v>0</v>
      </c>
      <c r="E81">
        <f t="shared" si="12"/>
        <v>0</v>
      </c>
    </row>
    <row r="82" spans="1:5" x14ac:dyDescent="0.25">
      <c r="A82">
        <f t="shared" si="9"/>
        <v>1000000</v>
      </c>
      <c r="B82">
        <f t="shared" si="13"/>
        <v>0</v>
      </c>
      <c r="C82">
        <f t="shared" si="14"/>
        <v>0</v>
      </c>
      <c r="D82">
        <f t="shared" si="15"/>
        <v>0</v>
      </c>
      <c r="E82">
        <f t="shared" si="12"/>
        <v>0</v>
      </c>
    </row>
    <row r="83" spans="1:5" x14ac:dyDescent="0.25">
      <c r="A83">
        <f t="shared" si="9"/>
        <v>1200000</v>
      </c>
      <c r="B83">
        <f t="shared" si="13"/>
        <v>0</v>
      </c>
      <c r="C83">
        <f t="shared" si="14"/>
        <v>0</v>
      </c>
      <c r="D83">
        <f t="shared" si="15"/>
        <v>0</v>
      </c>
      <c r="E83">
        <f t="shared" si="12"/>
        <v>0</v>
      </c>
    </row>
    <row r="84" spans="1:5" x14ac:dyDescent="0.25">
      <c r="A84">
        <f t="shared" si="9"/>
        <v>1500000</v>
      </c>
      <c r="B84">
        <f t="shared" si="13"/>
        <v>0</v>
      </c>
      <c r="C84">
        <f t="shared" si="14"/>
        <v>0</v>
      </c>
      <c r="D84">
        <f t="shared" si="15"/>
        <v>0</v>
      </c>
      <c r="E84">
        <f t="shared" si="12"/>
        <v>0</v>
      </c>
    </row>
    <row r="85" spans="1:5" x14ac:dyDescent="0.25">
      <c r="A85">
        <f t="shared" si="9"/>
        <v>1800000</v>
      </c>
      <c r="B85">
        <f t="shared" si="13"/>
        <v>0</v>
      </c>
      <c r="C85">
        <f t="shared" si="14"/>
        <v>0</v>
      </c>
      <c r="D85">
        <f t="shared" si="15"/>
        <v>0</v>
      </c>
      <c r="E85">
        <f t="shared" si="12"/>
        <v>0</v>
      </c>
    </row>
    <row r="86" spans="1:5" x14ac:dyDescent="0.25">
      <c r="A86">
        <f t="shared" si="9"/>
        <v>2200000</v>
      </c>
      <c r="B86">
        <f t="shared" si="13"/>
        <v>0</v>
      </c>
      <c r="C86">
        <f t="shared" si="14"/>
        <v>0</v>
      </c>
      <c r="D86">
        <f t="shared" si="15"/>
        <v>0</v>
      </c>
      <c r="E86">
        <f t="shared" si="12"/>
        <v>0</v>
      </c>
    </row>
    <row r="87" spans="1:5" x14ac:dyDescent="0.25">
      <c r="A87">
        <f t="shared" si="9"/>
        <v>2700000</v>
      </c>
      <c r="B87">
        <f t="shared" si="13"/>
        <v>0</v>
      </c>
      <c r="C87">
        <f t="shared" si="14"/>
        <v>0</v>
      </c>
      <c r="D87">
        <f t="shared" si="15"/>
        <v>0</v>
      </c>
      <c r="E87">
        <f t="shared" si="12"/>
        <v>0</v>
      </c>
    </row>
    <row r="88" spans="1:5" x14ac:dyDescent="0.25">
      <c r="A88">
        <f t="shared" si="9"/>
        <v>3300000</v>
      </c>
      <c r="B88">
        <f t="shared" si="13"/>
        <v>0</v>
      </c>
      <c r="C88">
        <f t="shared" si="14"/>
        <v>0</v>
      </c>
      <c r="D88">
        <f t="shared" si="15"/>
        <v>0</v>
      </c>
      <c r="E88">
        <f t="shared" si="12"/>
        <v>0</v>
      </c>
    </row>
    <row r="89" spans="1:5" x14ac:dyDescent="0.25">
      <c r="A89">
        <f t="shared" si="9"/>
        <v>3900000</v>
      </c>
      <c r="B89">
        <f t="shared" si="13"/>
        <v>0</v>
      </c>
      <c r="C89">
        <f t="shared" si="14"/>
        <v>0</v>
      </c>
      <c r="D89">
        <f t="shared" si="15"/>
        <v>0</v>
      </c>
      <c r="E89">
        <f t="shared" si="12"/>
        <v>0</v>
      </c>
    </row>
    <row r="90" spans="1:5" x14ac:dyDescent="0.25">
      <c r="A90">
        <f t="shared" si="9"/>
        <v>4700000</v>
      </c>
      <c r="B90">
        <f t="shared" si="13"/>
        <v>0</v>
      </c>
      <c r="C90">
        <f t="shared" si="14"/>
        <v>0</v>
      </c>
      <c r="D90">
        <f t="shared" si="15"/>
        <v>0</v>
      </c>
      <c r="E90">
        <f t="shared" si="12"/>
        <v>0</v>
      </c>
    </row>
    <row r="91" spans="1:5" x14ac:dyDescent="0.25">
      <c r="A91">
        <f t="shared" si="9"/>
        <v>5600000</v>
      </c>
      <c r="B91">
        <f t="shared" si="13"/>
        <v>0</v>
      </c>
      <c r="C91">
        <f t="shared" si="14"/>
        <v>0</v>
      </c>
      <c r="D91">
        <f t="shared" si="15"/>
        <v>0</v>
      </c>
      <c r="E91">
        <f t="shared" si="12"/>
        <v>0</v>
      </c>
    </row>
    <row r="92" spans="1:5" x14ac:dyDescent="0.25">
      <c r="A92">
        <f t="shared" si="9"/>
        <v>6800000</v>
      </c>
      <c r="B92">
        <f t="shared" si="13"/>
        <v>0</v>
      </c>
      <c r="C92">
        <f t="shared" si="14"/>
        <v>0</v>
      </c>
      <c r="D92">
        <f t="shared" si="15"/>
        <v>0</v>
      </c>
      <c r="E92">
        <f t="shared" si="12"/>
        <v>0</v>
      </c>
    </row>
    <row r="93" spans="1:5" x14ac:dyDescent="0.25">
      <c r="A93">
        <f t="shared" si="9"/>
        <v>8200000</v>
      </c>
      <c r="B93">
        <f t="shared" si="13"/>
        <v>0</v>
      </c>
      <c r="C93">
        <f t="shared" si="14"/>
        <v>0</v>
      </c>
      <c r="D93">
        <f t="shared" si="15"/>
        <v>0</v>
      </c>
      <c r="E93">
        <f t="shared" si="12"/>
        <v>0</v>
      </c>
    </row>
    <row r="94" spans="1:5" x14ac:dyDescent="0.25">
      <c r="A94">
        <f t="shared" si="9"/>
        <v>10000000</v>
      </c>
      <c r="B94">
        <f t="shared" si="13"/>
        <v>0</v>
      </c>
      <c r="C94">
        <f t="shared" si="14"/>
        <v>0</v>
      </c>
      <c r="D94">
        <f t="shared" si="15"/>
        <v>0</v>
      </c>
      <c r="E94">
        <f t="shared" si="12"/>
        <v>0</v>
      </c>
    </row>
    <row r="95" spans="1:5" x14ac:dyDescent="0.25">
      <c r="A95">
        <f t="shared" si="9"/>
        <v>12000000</v>
      </c>
      <c r="B95">
        <f t="shared" si="13"/>
        <v>0</v>
      </c>
      <c r="C95">
        <f t="shared" si="14"/>
        <v>0</v>
      </c>
      <c r="D95">
        <f t="shared" si="15"/>
        <v>0</v>
      </c>
      <c r="E95">
        <f t="shared" si="12"/>
        <v>0</v>
      </c>
    </row>
    <row r="96" spans="1:5" x14ac:dyDescent="0.25">
      <c r="A96">
        <f t="shared" si="9"/>
        <v>15000000</v>
      </c>
      <c r="B96">
        <f t="shared" si="13"/>
        <v>0</v>
      </c>
      <c r="C96">
        <f t="shared" si="14"/>
        <v>0</v>
      </c>
      <c r="D96">
        <f t="shared" si="15"/>
        <v>0</v>
      </c>
      <c r="E96">
        <f t="shared" si="12"/>
        <v>0</v>
      </c>
    </row>
    <row r="97" spans="1:5" x14ac:dyDescent="0.25">
      <c r="A97">
        <f t="shared" si="9"/>
        <v>18000000</v>
      </c>
      <c r="B97">
        <f t="shared" si="13"/>
        <v>0</v>
      </c>
      <c r="C97">
        <f t="shared" si="14"/>
        <v>0</v>
      </c>
      <c r="D97">
        <f t="shared" si="15"/>
        <v>0</v>
      </c>
      <c r="E97">
        <f t="shared" si="12"/>
        <v>0</v>
      </c>
    </row>
    <row r="98" spans="1:5" x14ac:dyDescent="0.25">
      <c r="A98">
        <f t="shared" si="9"/>
        <v>22000000</v>
      </c>
      <c r="B98">
        <f t="shared" si="13"/>
        <v>0</v>
      </c>
      <c r="C98">
        <f t="shared" si="14"/>
        <v>0</v>
      </c>
      <c r="D98">
        <f t="shared" si="15"/>
        <v>0</v>
      </c>
      <c r="E98">
        <f t="shared" si="12"/>
        <v>0</v>
      </c>
    </row>
    <row r="99" spans="1:5" x14ac:dyDescent="0.25">
      <c r="A99">
        <f t="shared" ref="A99:A159" si="16">A87*10</f>
        <v>27000000</v>
      </c>
      <c r="B99">
        <f t="shared" si="13"/>
        <v>0</v>
      </c>
      <c r="C99">
        <f t="shared" si="14"/>
        <v>0</v>
      </c>
      <c r="D99">
        <f t="shared" si="15"/>
        <v>0</v>
      </c>
      <c r="E99">
        <f t="shared" si="12"/>
        <v>0</v>
      </c>
    </row>
    <row r="100" spans="1:5" x14ac:dyDescent="0.25">
      <c r="A100">
        <f t="shared" si="16"/>
        <v>33000000</v>
      </c>
      <c r="B100">
        <f t="shared" si="13"/>
        <v>0</v>
      </c>
      <c r="C100">
        <f t="shared" si="14"/>
        <v>0</v>
      </c>
      <c r="D100">
        <f t="shared" si="15"/>
        <v>0</v>
      </c>
      <c r="E100">
        <f t="shared" si="12"/>
        <v>0</v>
      </c>
    </row>
    <row r="101" spans="1:5" x14ac:dyDescent="0.25">
      <c r="A101">
        <f t="shared" si="16"/>
        <v>39000000</v>
      </c>
      <c r="B101">
        <f t="shared" si="13"/>
        <v>0</v>
      </c>
      <c r="C101">
        <f t="shared" si="14"/>
        <v>0</v>
      </c>
      <c r="D101">
        <f t="shared" si="15"/>
        <v>0</v>
      </c>
      <c r="E101">
        <f t="shared" si="12"/>
        <v>0</v>
      </c>
    </row>
    <row r="102" spans="1:5" x14ac:dyDescent="0.25">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5">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5">
      <c r="A104">
        <f t="shared" si="16"/>
        <v>68000000</v>
      </c>
      <c r="B104">
        <f t="shared" si="13"/>
        <v>0</v>
      </c>
      <c r="C104">
        <f t="shared" si="14"/>
        <v>0</v>
      </c>
      <c r="D104">
        <f t="shared" si="18"/>
        <v>0</v>
      </c>
      <c r="E104">
        <f t="shared" si="17"/>
        <v>0</v>
      </c>
    </row>
    <row r="105" spans="1:5" x14ac:dyDescent="0.25">
      <c r="A105">
        <f t="shared" si="16"/>
        <v>82000000</v>
      </c>
      <c r="B105">
        <f t="shared" si="13"/>
        <v>0</v>
      </c>
      <c r="C105">
        <f t="shared" si="14"/>
        <v>0</v>
      </c>
      <c r="D105">
        <f t="shared" si="18"/>
        <v>0</v>
      </c>
      <c r="E105">
        <f t="shared" si="17"/>
        <v>0</v>
      </c>
    </row>
    <row r="106" spans="1:5" x14ac:dyDescent="0.25">
      <c r="A106">
        <f t="shared" si="16"/>
        <v>100000000</v>
      </c>
      <c r="B106">
        <f t="shared" si="13"/>
        <v>0</v>
      </c>
      <c r="C106">
        <f t="shared" si="14"/>
        <v>0</v>
      </c>
      <c r="D106">
        <f t="shared" si="18"/>
        <v>0</v>
      </c>
      <c r="E106">
        <f t="shared" si="17"/>
        <v>0</v>
      </c>
    </row>
    <row r="107" spans="1:5" x14ac:dyDescent="0.25">
      <c r="A107">
        <f t="shared" si="16"/>
        <v>120000000</v>
      </c>
      <c r="B107">
        <f t="shared" si="13"/>
        <v>0</v>
      </c>
      <c r="C107">
        <f t="shared" si="14"/>
        <v>0</v>
      </c>
      <c r="D107">
        <f t="shared" si="18"/>
        <v>0</v>
      </c>
      <c r="E107">
        <f t="shared" si="17"/>
        <v>0</v>
      </c>
    </row>
    <row r="108" spans="1:5" x14ac:dyDescent="0.25">
      <c r="A108">
        <f t="shared" si="16"/>
        <v>150000000</v>
      </c>
      <c r="B108">
        <f t="shared" si="13"/>
        <v>0</v>
      </c>
      <c r="C108">
        <f t="shared" si="14"/>
        <v>0</v>
      </c>
      <c r="D108">
        <f t="shared" si="18"/>
        <v>0</v>
      </c>
      <c r="E108">
        <f t="shared" si="17"/>
        <v>0</v>
      </c>
    </row>
    <row r="109" spans="1:5" x14ac:dyDescent="0.25">
      <c r="A109">
        <f t="shared" si="16"/>
        <v>180000000</v>
      </c>
      <c r="B109">
        <f t="shared" si="13"/>
        <v>0</v>
      </c>
      <c r="C109">
        <f t="shared" si="14"/>
        <v>0</v>
      </c>
      <c r="D109">
        <f t="shared" si="18"/>
        <v>0</v>
      </c>
      <c r="E109">
        <f t="shared" si="17"/>
        <v>0</v>
      </c>
    </row>
    <row r="110" spans="1:5" x14ac:dyDescent="0.25">
      <c r="A110">
        <f t="shared" si="16"/>
        <v>220000000</v>
      </c>
      <c r="B110">
        <f t="shared" si="13"/>
        <v>0</v>
      </c>
      <c r="C110">
        <f t="shared" si="14"/>
        <v>0</v>
      </c>
      <c r="D110">
        <f t="shared" si="18"/>
        <v>0</v>
      </c>
      <c r="E110">
        <f t="shared" si="17"/>
        <v>0</v>
      </c>
    </row>
    <row r="111" spans="1:5" x14ac:dyDescent="0.25">
      <c r="A111">
        <f t="shared" si="16"/>
        <v>270000000</v>
      </c>
      <c r="B111">
        <f t="shared" si="13"/>
        <v>0</v>
      </c>
      <c r="C111">
        <f t="shared" si="14"/>
        <v>0</v>
      </c>
      <c r="D111">
        <f t="shared" si="18"/>
        <v>0</v>
      </c>
      <c r="E111">
        <f t="shared" si="17"/>
        <v>0</v>
      </c>
    </row>
    <row r="112" spans="1:5" x14ac:dyDescent="0.25">
      <c r="A112">
        <f t="shared" si="16"/>
        <v>330000000</v>
      </c>
      <c r="B112">
        <f t="shared" si="13"/>
        <v>0</v>
      </c>
      <c r="C112">
        <f t="shared" si="14"/>
        <v>0</v>
      </c>
      <c r="D112">
        <f t="shared" si="18"/>
        <v>0</v>
      </c>
      <c r="E112">
        <f t="shared" si="17"/>
        <v>0</v>
      </c>
    </row>
    <row r="113" spans="1:5" x14ac:dyDescent="0.25">
      <c r="A113">
        <f t="shared" si="16"/>
        <v>390000000</v>
      </c>
      <c r="B113">
        <f t="shared" si="13"/>
        <v>0</v>
      </c>
      <c r="C113">
        <f t="shared" si="14"/>
        <v>0</v>
      </c>
      <c r="D113">
        <f t="shared" si="18"/>
        <v>0</v>
      </c>
      <c r="E113">
        <f t="shared" si="17"/>
        <v>0</v>
      </c>
    </row>
    <row r="114" spans="1:5" x14ac:dyDescent="0.25">
      <c r="A114">
        <f t="shared" si="16"/>
        <v>470000000</v>
      </c>
      <c r="B114">
        <f t="shared" si="13"/>
        <v>0</v>
      </c>
      <c r="C114">
        <f t="shared" si="14"/>
        <v>0</v>
      </c>
      <c r="D114">
        <f t="shared" si="18"/>
        <v>0</v>
      </c>
      <c r="E114">
        <f t="shared" si="17"/>
        <v>0</v>
      </c>
    </row>
    <row r="115" spans="1:5" x14ac:dyDescent="0.25">
      <c r="A115">
        <f t="shared" si="16"/>
        <v>560000000</v>
      </c>
      <c r="B115">
        <f t="shared" si="13"/>
        <v>0</v>
      </c>
      <c r="C115">
        <f t="shared" si="14"/>
        <v>0</v>
      </c>
      <c r="D115">
        <f t="shared" si="18"/>
        <v>0</v>
      </c>
      <c r="E115">
        <f t="shared" si="17"/>
        <v>0</v>
      </c>
    </row>
    <row r="116" spans="1:5" x14ac:dyDescent="0.25">
      <c r="A116">
        <f t="shared" si="16"/>
        <v>680000000</v>
      </c>
      <c r="B116">
        <f t="shared" si="13"/>
        <v>0</v>
      </c>
      <c r="C116">
        <f t="shared" si="14"/>
        <v>0</v>
      </c>
      <c r="D116">
        <f t="shared" si="18"/>
        <v>0</v>
      </c>
      <c r="E116">
        <f t="shared" si="17"/>
        <v>0</v>
      </c>
    </row>
    <row r="117" spans="1:5" x14ac:dyDescent="0.25">
      <c r="A117">
        <f t="shared" si="16"/>
        <v>820000000</v>
      </c>
      <c r="B117">
        <f t="shared" si="13"/>
        <v>0</v>
      </c>
      <c r="C117">
        <f t="shared" si="14"/>
        <v>0</v>
      </c>
      <c r="D117">
        <f t="shared" si="18"/>
        <v>0</v>
      </c>
      <c r="E117">
        <f t="shared" si="17"/>
        <v>0</v>
      </c>
    </row>
    <row r="118" spans="1:5" x14ac:dyDescent="0.25">
      <c r="A118">
        <f t="shared" si="16"/>
        <v>1000000000</v>
      </c>
      <c r="B118">
        <f t="shared" si="13"/>
        <v>0</v>
      </c>
      <c r="C118">
        <f t="shared" si="14"/>
        <v>0</v>
      </c>
      <c r="D118">
        <f t="shared" si="18"/>
        <v>0</v>
      </c>
      <c r="E118">
        <f t="shared" si="17"/>
        <v>0</v>
      </c>
    </row>
    <row r="119" spans="1:5" x14ac:dyDescent="0.25">
      <c r="A119">
        <f t="shared" si="16"/>
        <v>1200000000</v>
      </c>
      <c r="B119">
        <f t="shared" si="13"/>
        <v>0</v>
      </c>
      <c r="C119">
        <f t="shared" si="14"/>
        <v>0</v>
      </c>
      <c r="D119">
        <f t="shared" si="18"/>
        <v>0</v>
      </c>
      <c r="E119">
        <f t="shared" si="17"/>
        <v>0</v>
      </c>
    </row>
    <row r="120" spans="1:5" x14ac:dyDescent="0.25">
      <c r="A120">
        <f t="shared" si="16"/>
        <v>1500000000</v>
      </c>
      <c r="B120">
        <f t="shared" si="13"/>
        <v>0</v>
      </c>
      <c r="C120">
        <f t="shared" si="14"/>
        <v>0</v>
      </c>
      <c r="D120">
        <f t="shared" si="18"/>
        <v>0</v>
      </c>
      <c r="E120">
        <f t="shared" si="17"/>
        <v>0</v>
      </c>
    </row>
    <row r="121" spans="1:5" x14ac:dyDescent="0.25">
      <c r="A121">
        <f t="shared" si="16"/>
        <v>1800000000</v>
      </c>
      <c r="B121">
        <f t="shared" si="13"/>
        <v>0</v>
      </c>
      <c r="C121">
        <f t="shared" si="14"/>
        <v>0</v>
      </c>
      <c r="D121">
        <f t="shared" si="18"/>
        <v>0</v>
      </c>
      <c r="E121">
        <f t="shared" si="17"/>
        <v>0</v>
      </c>
    </row>
    <row r="122" spans="1:5" x14ac:dyDescent="0.25">
      <c r="A122">
        <f t="shared" si="16"/>
        <v>2200000000</v>
      </c>
      <c r="B122">
        <f t="shared" si="13"/>
        <v>0</v>
      </c>
      <c r="C122">
        <f t="shared" si="14"/>
        <v>0</v>
      </c>
      <c r="D122">
        <f t="shared" si="18"/>
        <v>0</v>
      </c>
      <c r="E122">
        <f t="shared" si="17"/>
        <v>0</v>
      </c>
    </row>
    <row r="123" spans="1:5" x14ac:dyDescent="0.25">
      <c r="A123">
        <f t="shared" si="16"/>
        <v>2700000000</v>
      </c>
      <c r="B123">
        <f t="shared" si="13"/>
        <v>0</v>
      </c>
      <c r="C123">
        <f t="shared" si="14"/>
        <v>0</v>
      </c>
      <c r="D123">
        <f t="shared" si="18"/>
        <v>0</v>
      </c>
      <c r="E123">
        <f t="shared" si="17"/>
        <v>0</v>
      </c>
    </row>
    <row r="124" spans="1:5" x14ac:dyDescent="0.25">
      <c r="A124">
        <f t="shared" si="16"/>
        <v>3300000000</v>
      </c>
      <c r="B124">
        <f t="shared" si="13"/>
        <v>0</v>
      </c>
      <c r="C124">
        <f t="shared" si="14"/>
        <v>0</v>
      </c>
      <c r="D124">
        <f t="shared" si="18"/>
        <v>0</v>
      </c>
      <c r="E124">
        <f t="shared" si="17"/>
        <v>0</v>
      </c>
    </row>
    <row r="125" spans="1:5" x14ac:dyDescent="0.25">
      <c r="A125">
        <f t="shared" si="16"/>
        <v>3900000000</v>
      </c>
      <c r="B125">
        <f t="shared" si="13"/>
        <v>0</v>
      </c>
      <c r="C125">
        <f t="shared" si="14"/>
        <v>0</v>
      </c>
      <c r="D125">
        <f t="shared" si="18"/>
        <v>0</v>
      </c>
      <c r="E125">
        <f t="shared" si="17"/>
        <v>0</v>
      </c>
    </row>
    <row r="126" spans="1:5" x14ac:dyDescent="0.25">
      <c r="A126">
        <f t="shared" si="16"/>
        <v>4700000000</v>
      </c>
      <c r="B126">
        <f t="shared" si="13"/>
        <v>0</v>
      </c>
      <c r="C126">
        <f t="shared" si="14"/>
        <v>0</v>
      </c>
      <c r="D126">
        <f t="shared" si="18"/>
        <v>0</v>
      </c>
      <c r="E126">
        <f t="shared" si="17"/>
        <v>0</v>
      </c>
    </row>
    <row r="127" spans="1:5" x14ac:dyDescent="0.25">
      <c r="A127">
        <f t="shared" si="16"/>
        <v>5600000000</v>
      </c>
      <c r="B127">
        <f t="shared" si="13"/>
        <v>0</v>
      </c>
      <c r="C127">
        <f t="shared" si="14"/>
        <v>0</v>
      </c>
      <c r="D127">
        <f t="shared" si="18"/>
        <v>0</v>
      </c>
      <c r="E127">
        <f t="shared" si="17"/>
        <v>0</v>
      </c>
    </row>
    <row r="128" spans="1:5" x14ac:dyDescent="0.25">
      <c r="A128">
        <f t="shared" si="16"/>
        <v>6800000000</v>
      </c>
      <c r="B128">
        <f t="shared" si="13"/>
        <v>0</v>
      </c>
      <c r="C128">
        <f t="shared" si="14"/>
        <v>0</v>
      </c>
      <c r="D128">
        <f t="shared" si="18"/>
        <v>0</v>
      </c>
      <c r="E128">
        <f t="shared" si="17"/>
        <v>0</v>
      </c>
    </row>
    <row r="129" spans="1:5" x14ac:dyDescent="0.25">
      <c r="A129">
        <f t="shared" si="16"/>
        <v>8200000000</v>
      </c>
      <c r="B129">
        <f t="shared" si="13"/>
        <v>0</v>
      </c>
      <c r="C129">
        <f t="shared" si="14"/>
        <v>0</v>
      </c>
      <c r="D129">
        <f t="shared" si="18"/>
        <v>0</v>
      </c>
      <c r="E129">
        <f t="shared" si="17"/>
        <v>0</v>
      </c>
    </row>
    <row r="130" spans="1:5" x14ac:dyDescent="0.25">
      <c r="A130">
        <f t="shared" si="16"/>
        <v>10000000000</v>
      </c>
      <c r="B130">
        <f t="shared" si="13"/>
        <v>0</v>
      </c>
      <c r="C130">
        <f t="shared" si="14"/>
        <v>0</v>
      </c>
      <c r="D130">
        <f t="shared" si="18"/>
        <v>0</v>
      </c>
      <c r="E130">
        <f t="shared" si="17"/>
        <v>0</v>
      </c>
    </row>
    <row r="131" spans="1:5" x14ac:dyDescent="0.25">
      <c r="A131">
        <f t="shared" si="16"/>
        <v>12000000000</v>
      </c>
      <c r="B131">
        <f t="shared" si="13"/>
        <v>0</v>
      </c>
      <c r="C131">
        <f t="shared" si="14"/>
        <v>0</v>
      </c>
      <c r="D131">
        <f t="shared" si="18"/>
        <v>0</v>
      </c>
      <c r="E131">
        <f t="shared" si="17"/>
        <v>0</v>
      </c>
    </row>
    <row r="132" spans="1:5" x14ac:dyDescent="0.25">
      <c r="A132">
        <f t="shared" si="16"/>
        <v>15000000000</v>
      </c>
      <c r="B132">
        <f t="shared" si="13"/>
        <v>0</v>
      </c>
      <c r="C132">
        <f t="shared" si="14"/>
        <v>0</v>
      </c>
      <c r="D132">
        <f t="shared" si="18"/>
        <v>0</v>
      </c>
      <c r="E132">
        <f t="shared" si="17"/>
        <v>0</v>
      </c>
    </row>
    <row r="133" spans="1:5" x14ac:dyDescent="0.25">
      <c r="A133">
        <f t="shared" si="16"/>
        <v>18000000000</v>
      </c>
      <c r="B133">
        <f t="shared" si="13"/>
        <v>0</v>
      </c>
      <c r="C133">
        <f t="shared" si="14"/>
        <v>0</v>
      </c>
      <c r="D133">
        <f t="shared" si="18"/>
        <v>0</v>
      </c>
      <c r="E133">
        <f t="shared" si="17"/>
        <v>0</v>
      </c>
    </row>
    <row r="134" spans="1:5" x14ac:dyDescent="0.25">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5">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5">
      <c r="A136">
        <f t="shared" si="16"/>
        <v>33000000000</v>
      </c>
      <c r="B136">
        <f t="shared" si="21"/>
        <v>0</v>
      </c>
      <c r="C136">
        <f t="shared" si="19"/>
        <v>0</v>
      </c>
      <c r="D136">
        <f t="shared" si="19"/>
        <v>0</v>
      </c>
      <c r="E136">
        <f t="shared" si="20"/>
        <v>0</v>
      </c>
    </row>
    <row r="137" spans="1:5" x14ac:dyDescent="0.25">
      <c r="A137">
        <f t="shared" si="16"/>
        <v>39000000000</v>
      </c>
      <c r="B137">
        <f t="shared" si="21"/>
        <v>0</v>
      </c>
      <c r="C137">
        <f t="shared" si="19"/>
        <v>0</v>
      </c>
      <c r="D137">
        <f t="shared" si="19"/>
        <v>0</v>
      </c>
      <c r="E137">
        <f t="shared" si="20"/>
        <v>0</v>
      </c>
    </row>
    <row r="138" spans="1:5" x14ac:dyDescent="0.25">
      <c r="A138">
        <f t="shared" si="16"/>
        <v>47000000000</v>
      </c>
      <c r="B138">
        <f t="shared" si="21"/>
        <v>0</v>
      </c>
      <c r="C138">
        <f t="shared" si="19"/>
        <v>0</v>
      </c>
      <c r="D138">
        <f t="shared" si="19"/>
        <v>0</v>
      </c>
      <c r="E138">
        <f t="shared" si="20"/>
        <v>0</v>
      </c>
    </row>
    <row r="139" spans="1:5" x14ac:dyDescent="0.25">
      <c r="A139">
        <f t="shared" si="16"/>
        <v>56000000000</v>
      </c>
      <c r="B139">
        <f t="shared" si="21"/>
        <v>0</v>
      </c>
      <c r="C139">
        <f t="shared" si="19"/>
        <v>0</v>
      </c>
      <c r="D139">
        <f t="shared" si="19"/>
        <v>0</v>
      </c>
      <c r="E139">
        <f t="shared" si="20"/>
        <v>0</v>
      </c>
    </row>
    <row r="140" spans="1:5" x14ac:dyDescent="0.25">
      <c r="A140">
        <f t="shared" si="16"/>
        <v>68000000000</v>
      </c>
      <c r="B140">
        <f t="shared" si="21"/>
        <v>0</v>
      </c>
      <c r="C140">
        <f t="shared" si="19"/>
        <v>0</v>
      </c>
      <c r="D140">
        <f t="shared" si="19"/>
        <v>0</v>
      </c>
      <c r="E140">
        <f t="shared" si="20"/>
        <v>0</v>
      </c>
    </row>
    <row r="141" spans="1:5" x14ac:dyDescent="0.25">
      <c r="A141">
        <f t="shared" si="16"/>
        <v>82000000000</v>
      </c>
      <c r="B141">
        <f t="shared" si="21"/>
        <v>0</v>
      </c>
      <c r="C141">
        <f t="shared" si="19"/>
        <v>0</v>
      </c>
      <c r="D141">
        <f t="shared" si="19"/>
        <v>0</v>
      </c>
      <c r="E141">
        <f t="shared" si="20"/>
        <v>0</v>
      </c>
    </row>
    <row r="142" spans="1:5" x14ac:dyDescent="0.25">
      <c r="A142">
        <f t="shared" si="16"/>
        <v>100000000000</v>
      </c>
      <c r="B142">
        <f t="shared" si="21"/>
        <v>0</v>
      </c>
      <c r="C142">
        <f t="shared" si="19"/>
        <v>0</v>
      </c>
      <c r="D142">
        <f t="shared" si="19"/>
        <v>0</v>
      </c>
      <c r="E142">
        <f t="shared" si="20"/>
        <v>0</v>
      </c>
    </row>
    <row r="143" spans="1:5" x14ac:dyDescent="0.25">
      <c r="A143">
        <f t="shared" si="16"/>
        <v>120000000000</v>
      </c>
      <c r="B143">
        <f t="shared" si="21"/>
        <v>0</v>
      </c>
      <c r="C143">
        <f t="shared" si="19"/>
        <v>0</v>
      </c>
      <c r="D143">
        <f t="shared" si="19"/>
        <v>0</v>
      </c>
      <c r="E143">
        <f t="shared" si="20"/>
        <v>0</v>
      </c>
    </row>
    <row r="144" spans="1:5" x14ac:dyDescent="0.25">
      <c r="A144">
        <f t="shared" si="16"/>
        <v>150000000000</v>
      </c>
      <c r="B144">
        <f t="shared" si="21"/>
        <v>0</v>
      </c>
      <c r="C144">
        <f t="shared" si="19"/>
        <v>0</v>
      </c>
      <c r="D144">
        <f t="shared" si="19"/>
        <v>0</v>
      </c>
      <c r="E144">
        <f t="shared" si="20"/>
        <v>0</v>
      </c>
    </row>
    <row r="145" spans="1:5" x14ac:dyDescent="0.25">
      <c r="A145">
        <f t="shared" si="16"/>
        <v>180000000000</v>
      </c>
      <c r="B145">
        <f t="shared" si="21"/>
        <v>0</v>
      </c>
      <c r="C145">
        <f t="shared" si="19"/>
        <v>0</v>
      </c>
      <c r="D145">
        <f t="shared" si="19"/>
        <v>0</v>
      </c>
      <c r="E145">
        <f t="shared" si="20"/>
        <v>0</v>
      </c>
    </row>
    <row r="146" spans="1:5" x14ac:dyDescent="0.25">
      <c r="A146">
        <f t="shared" si="16"/>
        <v>220000000000</v>
      </c>
      <c r="B146">
        <f t="shared" si="21"/>
        <v>0</v>
      </c>
      <c r="C146">
        <f t="shared" si="19"/>
        <v>0</v>
      </c>
      <c r="D146">
        <f t="shared" si="19"/>
        <v>0</v>
      </c>
      <c r="E146">
        <f t="shared" si="20"/>
        <v>0</v>
      </c>
    </row>
    <row r="147" spans="1:5" x14ac:dyDescent="0.25">
      <c r="A147">
        <f t="shared" si="16"/>
        <v>270000000000</v>
      </c>
      <c r="B147">
        <f t="shared" si="21"/>
        <v>0</v>
      </c>
      <c r="C147">
        <f t="shared" si="19"/>
        <v>0</v>
      </c>
      <c r="D147">
        <f t="shared" si="19"/>
        <v>0</v>
      </c>
      <c r="E147">
        <f t="shared" si="20"/>
        <v>0</v>
      </c>
    </row>
    <row r="148" spans="1:5" x14ac:dyDescent="0.25">
      <c r="A148">
        <f t="shared" si="16"/>
        <v>330000000000</v>
      </c>
      <c r="B148">
        <f t="shared" si="21"/>
        <v>0</v>
      </c>
      <c r="C148">
        <f t="shared" si="19"/>
        <v>0</v>
      </c>
      <c r="D148">
        <f t="shared" si="19"/>
        <v>0</v>
      </c>
      <c r="E148">
        <f t="shared" si="20"/>
        <v>0</v>
      </c>
    </row>
    <row r="149" spans="1:5" x14ac:dyDescent="0.25">
      <c r="A149">
        <f t="shared" si="16"/>
        <v>390000000000</v>
      </c>
      <c r="B149">
        <f t="shared" si="21"/>
        <v>0</v>
      </c>
      <c r="C149">
        <f t="shared" si="19"/>
        <v>0</v>
      </c>
      <c r="D149">
        <f t="shared" si="19"/>
        <v>0</v>
      </c>
      <c r="E149">
        <f t="shared" si="20"/>
        <v>0</v>
      </c>
    </row>
    <row r="150" spans="1:5" x14ac:dyDescent="0.25">
      <c r="A150">
        <f t="shared" si="16"/>
        <v>470000000000</v>
      </c>
      <c r="B150">
        <f t="shared" si="21"/>
        <v>0</v>
      </c>
      <c r="C150">
        <f t="shared" si="19"/>
        <v>0</v>
      </c>
      <c r="D150">
        <f t="shared" si="19"/>
        <v>0</v>
      </c>
      <c r="E150">
        <f t="shared" si="20"/>
        <v>0</v>
      </c>
    </row>
    <row r="151" spans="1:5" x14ac:dyDescent="0.25">
      <c r="A151">
        <f t="shared" si="16"/>
        <v>560000000000</v>
      </c>
      <c r="B151">
        <f t="shared" si="21"/>
        <v>0</v>
      </c>
      <c r="C151">
        <f t="shared" si="19"/>
        <v>0</v>
      </c>
      <c r="D151">
        <f t="shared" si="19"/>
        <v>0</v>
      </c>
      <c r="E151">
        <f t="shared" si="20"/>
        <v>0</v>
      </c>
    </row>
    <row r="152" spans="1:5" x14ac:dyDescent="0.25">
      <c r="A152">
        <f t="shared" si="16"/>
        <v>680000000000</v>
      </c>
      <c r="B152">
        <f t="shared" si="21"/>
        <v>0</v>
      </c>
      <c r="C152">
        <f t="shared" si="19"/>
        <v>0</v>
      </c>
      <c r="D152">
        <f t="shared" si="19"/>
        <v>0</v>
      </c>
      <c r="E152">
        <f t="shared" si="20"/>
        <v>0</v>
      </c>
    </row>
    <row r="153" spans="1:5" x14ac:dyDescent="0.25">
      <c r="A153">
        <f t="shared" si="16"/>
        <v>820000000000</v>
      </c>
      <c r="B153">
        <f t="shared" si="21"/>
        <v>0</v>
      </c>
      <c r="C153">
        <f t="shared" si="19"/>
        <v>0</v>
      </c>
      <c r="D153">
        <f t="shared" si="19"/>
        <v>0</v>
      </c>
      <c r="E153">
        <f t="shared" si="20"/>
        <v>0</v>
      </c>
    </row>
    <row r="154" spans="1:5" x14ac:dyDescent="0.25">
      <c r="A154">
        <f t="shared" si="16"/>
        <v>1000000000000</v>
      </c>
      <c r="B154">
        <f t="shared" si="21"/>
        <v>0</v>
      </c>
      <c r="C154">
        <f t="shared" si="19"/>
        <v>0</v>
      </c>
      <c r="D154">
        <f t="shared" si="19"/>
        <v>0</v>
      </c>
      <c r="E154">
        <f t="shared" si="20"/>
        <v>0</v>
      </c>
    </row>
    <row r="155" spans="1:5" x14ac:dyDescent="0.25">
      <c r="A155">
        <f t="shared" si="16"/>
        <v>1200000000000</v>
      </c>
      <c r="B155">
        <f t="shared" si="21"/>
        <v>0</v>
      </c>
      <c r="C155">
        <f t="shared" si="19"/>
        <v>0</v>
      </c>
      <c r="D155">
        <f t="shared" si="19"/>
        <v>0</v>
      </c>
      <c r="E155">
        <f t="shared" si="20"/>
        <v>0</v>
      </c>
    </row>
    <row r="156" spans="1:5" x14ac:dyDescent="0.25">
      <c r="A156">
        <f t="shared" si="16"/>
        <v>1500000000000</v>
      </c>
      <c r="B156">
        <f t="shared" si="21"/>
        <v>0</v>
      </c>
      <c r="C156">
        <f t="shared" si="19"/>
        <v>0</v>
      </c>
      <c r="D156">
        <f t="shared" si="19"/>
        <v>0</v>
      </c>
      <c r="E156">
        <f t="shared" si="20"/>
        <v>0</v>
      </c>
    </row>
    <row r="157" spans="1:5" x14ac:dyDescent="0.25">
      <c r="A157">
        <f t="shared" si="16"/>
        <v>1800000000000</v>
      </c>
      <c r="B157">
        <f t="shared" si="21"/>
        <v>0</v>
      </c>
      <c r="C157">
        <f t="shared" si="19"/>
        <v>0</v>
      </c>
      <c r="D157">
        <f t="shared" si="19"/>
        <v>0</v>
      </c>
      <c r="E157">
        <f t="shared" si="20"/>
        <v>0</v>
      </c>
    </row>
    <row r="158" spans="1:5" x14ac:dyDescent="0.25">
      <c r="A158">
        <f t="shared" si="16"/>
        <v>2200000000000</v>
      </c>
      <c r="B158">
        <f t="shared" si="21"/>
        <v>0</v>
      </c>
      <c r="C158">
        <f t="shared" si="19"/>
        <v>0</v>
      </c>
      <c r="D158">
        <f t="shared" si="19"/>
        <v>0</v>
      </c>
      <c r="E158">
        <f t="shared" si="20"/>
        <v>0</v>
      </c>
    </row>
    <row r="159" spans="1:5" x14ac:dyDescent="0.25">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2024-09-19T20:06:08Z</dcterms:modified>
</cp:coreProperties>
</file>