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</workbook>
</file>

<file path=xl/sharedStrings.xml><?xml version="1.0" encoding="utf-8"?>
<sst xmlns="http://schemas.openxmlformats.org/spreadsheetml/2006/main" count="6973" uniqueCount="6972">
  <si>
    <r>
      <rPr>
        <rFont val="Myanmar Sangam MN"/>
        <b/>
        <color theme="1"/>
        <sz val="12.0"/>
      </rPr>
      <t>အမျးိ သားလတ်ေတာကယ်စုိ်            ားလှယ်ေလာငး်   တစ်ဦးချငး် ၏ ဆမဲရရမိှ   အေြခအေန(၂၀၂၀ ြပည့်   ှစ် အေထွေထွေရး  ေကာကပ)်   ွဲ</t>
    </r>
  </si>
  <si>
    <r>
      <rPr>
        <rFont val="Myanmar Sangam MN"/>
        <b/>
        <color theme="1"/>
        <sz val="10.0"/>
      </rPr>
      <t>စဉ်</t>
    </r>
  </si>
  <si>
    <r>
      <rPr>
        <rFont val="Myanmar Sangam MN"/>
        <b/>
        <color theme="1"/>
        <sz val="10.0"/>
      </rPr>
      <t>မဲဆနယ်</t>
    </r>
  </si>
  <si>
    <r>
      <rPr>
        <rFont val="Myanmar Sangam MN"/>
        <b/>
        <color theme="1"/>
        <sz val="10.0"/>
      </rPr>
      <t>မဲဆရှင် ဦးေရ</t>
    </r>
  </si>
  <si>
    <r>
      <rPr>
        <rFont val="Myanmar Sangam MN"/>
        <b/>
        <color theme="1"/>
        <sz val="10.0"/>
      </rPr>
      <t>မဲေပးသူဦးေရ</t>
    </r>
  </si>
  <si>
    <r>
      <rPr>
        <rFont val="Myanmar Sangam MN"/>
        <b/>
        <color theme="1"/>
        <sz val="10.0"/>
      </rPr>
      <t>မဲေပးသူ ရာခိုင်န်း</t>
    </r>
  </si>
  <si>
    <r>
      <rPr>
        <rFont val="Myanmar Sangam MN"/>
        <b/>
        <color theme="1"/>
        <sz val="10.0"/>
      </rPr>
      <t>ပယ်မဲ/ေပျာက်မဲအေရအတွက်</t>
    </r>
  </si>
  <si>
    <r>
      <rPr>
        <rFont val="Myanmar Sangam MN"/>
        <b/>
        <color theme="1"/>
        <sz val="10.0"/>
      </rPr>
      <t>ကိုယ်စားလှယ်ေလာင်း အမည်</t>
    </r>
  </si>
  <si>
    <r>
      <rPr>
        <rFont val="Myanmar Sangam MN"/>
        <b/>
        <color theme="1"/>
        <sz val="10.0"/>
      </rPr>
      <t>ပါတီ/  တစ်သီးပုဂလ</t>
    </r>
  </si>
  <si>
    <r>
      <rPr>
        <rFont val="Myanmar Sangam MN"/>
        <b/>
        <color theme="1"/>
        <sz val="10.0"/>
      </rPr>
      <t>ရရှိသည့်ခိုင်လုံမဲ</t>
    </r>
  </si>
  <si>
    <r>
      <rPr>
        <rFont val="Myanmar Sangam MN"/>
        <b/>
        <color theme="1"/>
        <sz val="9.0"/>
      </rPr>
      <t>ခုိင်လံုမဲ ရာခုိင်န်း</t>
    </r>
  </si>
  <si>
    <t>No.</t>
  </si>
  <si>
    <t>Constituency</t>
  </si>
  <si>
    <t>No of eligible voters</t>
  </si>
  <si>
    <t>Voting percentage</t>
  </si>
  <si>
    <t>No of invalid votes or lost votes</t>
  </si>
  <si>
    <t>Name</t>
  </si>
  <si>
    <t>Party</t>
  </si>
  <si>
    <t>No of valid votes</t>
  </si>
  <si>
    <t>% of valid votes</t>
  </si>
  <si>
    <r>
      <rPr>
        <rFont val="Myanmar Sangam MN"/>
        <b/>
        <color theme="1"/>
        <sz val="10.0"/>
      </rPr>
      <t>မဲ   ုံ     မဲ</t>
    </r>
  </si>
  <si>
    <r>
      <rPr>
        <rFont val="Myanmar Sangam MN"/>
        <b/>
        <color theme="1"/>
        <sz val="10.0"/>
      </rPr>
      <t>ကိတင်မဲ</t>
    </r>
  </si>
  <si>
    <r>
      <rPr>
        <rFont val="Myanmar Sangam MN"/>
        <b/>
        <color theme="1"/>
        <sz val="10.0"/>
      </rPr>
      <t>ေပါင်း</t>
    </r>
  </si>
  <si>
    <r>
      <rPr>
        <rFont val="Myanmar Sangam MN"/>
        <b/>
        <color theme="1"/>
        <sz val="10.0"/>
      </rPr>
      <t>ပယ်</t>
    </r>
  </si>
  <si>
    <r>
      <rPr>
        <rFont val="Myanmar Sangam MN"/>
        <b/>
        <color theme="1"/>
        <sz val="10.0"/>
      </rPr>
      <t>ေပျာက်</t>
    </r>
  </si>
  <si>
    <r>
      <rPr>
        <rFont val="Myanmar Sangam MN"/>
        <b/>
        <color theme="1"/>
        <sz val="10.0"/>
      </rPr>
      <t>ေပါင်း</t>
    </r>
  </si>
  <si>
    <r>
      <rPr>
        <rFont val="Myanmar Sangam MN"/>
        <b/>
        <color theme="1"/>
        <sz val="10.0"/>
      </rPr>
      <t>မဲုံမဲ</t>
    </r>
  </si>
  <si>
    <r>
      <rPr>
        <rFont val="Myanmar Sangam MN"/>
        <b/>
        <color theme="1"/>
        <sz val="10.0"/>
      </rPr>
      <t>ကိတင်မဲ</t>
    </r>
  </si>
  <si>
    <r>
      <rPr>
        <rFont val="Myanmar Sangam MN"/>
        <b/>
        <color theme="1"/>
        <sz val="10.0"/>
      </rPr>
      <t>ေပါင်း</t>
    </r>
  </si>
  <si>
    <t>No of votes cast at polling station</t>
  </si>
  <si>
    <t>advance votes</t>
  </si>
  <si>
    <t>Total</t>
  </si>
  <si>
    <t>Invalid votes</t>
  </si>
  <si>
    <t>Lost votes</t>
  </si>
  <si>
    <t>No of votes</t>
  </si>
  <si>
    <t>Advance votes</t>
  </si>
  <si>
    <t>Total valid votes</t>
  </si>
  <si>
    <r>
      <rPr>
        <rFont val="Myanmar Sangam MN"/>
        <b/>
        <color theme="1"/>
        <sz val="10.0"/>
      </rPr>
      <t>ကချင်ြပည်နယ်</t>
    </r>
  </si>
  <si>
    <r>
      <rPr>
        <rFont val="Myanmar Sangam MN"/>
        <b/>
        <color theme="1"/>
        <sz val="10.0"/>
      </rPr>
      <t>၁၁၅၀၄၀၇</t>
    </r>
  </si>
  <si>
    <r>
      <rPr>
        <rFont val="Myanmar Sangam MN"/>
        <b/>
        <color theme="1"/>
        <sz val="10.0"/>
      </rPr>
      <t>၅၉၆၅၁၀</t>
    </r>
  </si>
  <si>
    <r>
      <rPr>
        <rFont val="Myanmar Sangam MN"/>
        <b/>
        <color theme="1"/>
        <sz val="10.0"/>
      </rPr>
      <t>၁၆၃၈၅၆</t>
    </r>
  </si>
  <si>
    <r>
      <rPr>
        <rFont val="Myanmar Sangam MN"/>
        <b/>
        <color theme="1"/>
        <sz val="10.0"/>
      </rPr>
      <t>၇၆၀၃၆၆</t>
    </r>
  </si>
  <si>
    <r>
      <rPr>
        <rFont val="Myanmar Sangam MN"/>
        <b/>
        <color theme="1"/>
        <sz val="10.0"/>
      </rPr>
      <t>၆၆.၁၀</t>
    </r>
  </si>
  <si>
    <r>
      <rPr>
        <rFont val="Myanmar Sangam MN"/>
        <b/>
        <color theme="1"/>
        <sz val="10.0"/>
      </rPr>
      <t>၂၃၅၂၀</t>
    </r>
  </si>
  <si>
    <r>
      <rPr>
        <rFont val="Myanmar Sangam MN"/>
        <b/>
        <color theme="1"/>
        <sz val="10.0"/>
      </rPr>
      <t>၂၂၉</t>
    </r>
  </si>
  <si>
    <r>
      <rPr>
        <rFont val="Myanmar Sangam MN"/>
        <b/>
        <color theme="1"/>
        <sz val="10.0"/>
      </rPr>
      <t>၂၃၇၄၉</t>
    </r>
  </si>
  <si>
    <r>
      <rPr>
        <rFont val="Myanmar Sangam MN"/>
        <b/>
        <color theme="1"/>
        <sz val="10.0"/>
      </rPr>
      <t>၅၇၇၃၇၀</t>
    </r>
  </si>
  <si>
    <r>
      <rPr>
        <rFont val="Myanmar Sangam MN"/>
        <b/>
        <color theme="1"/>
        <sz val="10.0"/>
      </rPr>
      <t>၁၅၉၂၄၇</t>
    </r>
  </si>
  <si>
    <r>
      <rPr>
        <rFont val="Myanmar Sangam MN"/>
        <b/>
        <color theme="1"/>
        <sz val="10.0"/>
      </rPr>
      <t>၇၃၆၆၁၇</t>
    </r>
  </si>
  <si>
    <r>
      <rPr>
        <rFont val="Myanmar Sangam MN"/>
        <b/>
        <color theme="1"/>
        <sz val="10.0"/>
      </rPr>
      <t>၁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</si>
  <si>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</si>
  <si>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၆၁၇၆၄</t>
    </r>
  </si>
  <si>
    <r>
      <rPr>
        <rFont val="Myanmar Sangam MN"/>
        <b/>
        <color theme="1"/>
        <sz val="10.0"/>
      </rPr>
      <t>၃၈၈၀၄</t>
    </r>
  </si>
  <si>
    <r>
      <rPr>
        <rFont val="Myanmar Sangam MN"/>
        <b/>
        <color theme="1"/>
        <sz val="10.0"/>
      </rPr>
      <t>၁၁၁၃၇</t>
    </r>
  </si>
  <si>
    <r>
      <rPr>
        <rFont val="Myanmar Sangam MN"/>
        <b/>
        <color theme="1"/>
        <sz val="10.0"/>
      </rPr>
      <t>၄၉၉၄၁</t>
    </r>
  </si>
  <si>
    <r>
      <rPr>
        <rFont val="Myanmar Sangam MN"/>
        <b/>
        <color theme="1"/>
        <sz val="10.0"/>
      </rPr>
      <t>၈၀.၈၆</t>
    </r>
  </si>
  <si>
    <r>
      <rPr>
        <rFont val="Myanmar Sangam MN"/>
        <b/>
        <color theme="1"/>
        <sz val="10.0"/>
      </rPr>
      <t>၁၃၈၀</t>
    </r>
  </si>
  <si>
    <r>
      <rPr>
        <rFont val="Myanmar Sangam MN"/>
        <b/>
        <color theme="1"/>
        <sz val="10.0"/>
      </rPr>
      <t>၉</t>
    </r>
  </si>
  <si>
    <r>
      <rPr>
        <rFont val="Myanmar Sangam MN"/>
        <b/>
        <color theme="1"/>
        <sz val="10.0"/>
      </rPr>
      <t>၁၃၈၉</t>
    </r>
  </si>
  <si>
    <r>
      <rPr>
        <rFont val="Myanmar Sangam MN"/>
        <b/>
        <color theme="1"/>
        <sz val="10.0"/>
      </rPr>
      <t>၃၇၆၈၈</t>
    </r>
  </si>
  <si>
    <r>
      <rPr>
        <rFont val="Myanmar Sangam MN"/>
        <b/>
        <color theme="1"/>
        <sz val="10.0"/>
      </rPr>
      <t>၁၀၈၆၄</t>
    </r>
  </si>
  <si>
    <r>
      <rPr>
        <rFont val="Myanmar Sangam MN"/>
        <b/>
        <color theme="1"/>
        <sz val="10.0"/>
      </rPr>
      <t>၄၈၅၅၂</t>
    </r>
  </si>
  <si>
    <r>
      <rPr>
        <rFont val="Myanmar Sangam MN"/>
        <color rgb="FF000000"/>
        <sz val="10.0"/>
      </rPr>
      <t>ဦးရခွီဖုန်</t>
    </r>
    <r>
      <rPr>
        <rFont val="Myanmar Sangam MN"/>
        <color rgb="FF000000"/>
        <sz val="9.0"/>
      </rPr>
      <t>(RAKWI PUNG)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</si>
  <si>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</si>
  <si>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၁၀၅၂၃</t>
    </r>
  </si>
  <si>
    <r>
      <rPr>
        <rFont val="Myanmar Sangam MN"/>
        <color theme="1"/>
        <sz val="10.0"/>
      </rPr>
      <t>၃၉၇၃</t>
    </r>
  </si>
  <si>
    <r>
      <rPr>
        <rFont val="Myanmar Sangam MN"/>
        <color theme="1"/>
        <sz val="10.0"/>
      </rPr>
      <t>၁၄၄၉၆</t>
    </r>
  </si>
  <si>
    <r>
      <rPr>
        <rFont val="Myanmar Sangam MN"/>
        <b/>
        <color theme="1"/>
        <sz val="9.0"/>
      </rPr>
      <t>၂၉.၈၆%</t>
    </r>
  </si>
  <si>
    <r>
      <rPr>
        <rFont val="Myanmar Sangam MN"/>
        <color theme="1"/>
        <sz val="10.0"/>
      </rPr>
      <t>ဦးငွါးဆီေယာ်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</si>
  <si>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</si>
  <si>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၁၁၄၅၄</t>
    </r>
  </si>
  <si>
    <r>
      <rPr>
        <rFont val="Myanmar Sangam MN"/>
        <color theme="1"/>
        <sz val="10.0"/>
      </rPr>
      <t>၂၇၇၂</t>
    </r>
  </si>
  <si>
    <r>
      <rPr>
        <rFont val="Myanmar Sangam MN"/>
        <color theme="1"/>
        <sz val="10.0"/>
      </rPr>
      <t>၁၄၂၂၆</t>
    </r>
  </si>
  <si>
    <r>
      <rPr>
        <rFont val="Myanmar Sangam MN"/>
        <b/>
        <color theme="1"/>
        <sz val="9.0"/>
      </rPr>
      <t>၂၉.၃၀%</t>
    </r>
  </si>
  <si>
    <r>
      <rPr>
        <rFont val="Myanmar Sangam MN"/>
        <color theme="1"/>
        <sz val="10.0"/>
      </rPr>
      <t>ဦးကုိးလရိန်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</si>
  <si>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</si>
  <si>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၆၈၄၂</t>
    </r>
  </si>
  <si>
    <r>
      <rPr>
        <rFont val="Myanmar Sangam MN"/>
        <color theme="1"/>
        <sz val="10.0"/>
      </rPr>
      <t>၂၀၃၆</t>
    </r>
  </si>
  <si>
    <r>
      <rPr>
        <rFont val="Myanmar Sangam MN"/>
        <color theme="1"/>
        <sz val="10.0"/>
      </rPr>
      <t>၈၈၇၈</t>
    </r>
  </si>
  <si>
    <r>
      <rPr>
        <rFont val="Myanmar Sangam MN"/>
        <b/>
        <color theme="1"/>
        <sz val="9.0"/>
      </rPr>
      <t>၁၈.၂၉%</t>
    </r>
  </si>
  <si>
    <r>
      <rPr>
        <rFont val="Myanmar Sangam MN"/>
        <color theme="1"/>
        <sz val="10.0"/>
      </rPr>
      <t>ဦးေဂျေယာဝူ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</si>
  <si>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</si>
  <si>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၄၈၇၃</t>
    </r>
  </si>
  <si>
    <r>
      <rPr>
        <rFont val="Myanmar Sangam MN"/>
        <color theme="1"/>
        <sz val="10.0"/>
      </rPr>
      <t>၁၃၆၆</t>
    </r>
  </si>
  <si>
    <r>
      <rPr>
        <rFont val="Myanmar Sangam MN"/>
        <color theme="1"/>
        <sz val="10.0"/>
      </rPr>
      <t>၆၂၃၉</t>
    </r>
  </si>
  <si>
    <r>
      <rPr>
        <rFont val="Myanmar Sangam MN"/>
        <b/>
        <color theme="1"/>
        <sz val="9.0"/>
      </rPr>
      <t>၁၂.၈၅%</t>
    </r>
  </si>
  <si>
    <r>
      <rPr>
        <rFont val="Myanmar Sangam MN"/>
        <color theme="1"/>
        <sz val="10.0"/>
      </rPr>
      <t>ဦးငွါးေကျာ်ဆာ</t>
    </r>
  </si>
  <si>
    <r>
      <rPr>
        <rFont val="Myanmar Sangam MN"/>
        <color theme="1"/>
        <sz val="10.0"/>
      </rPr>
      <t>လီဆူအမျးိ သားဖွံဖိးတိုးတက်ေရးပါတီ</t>
    </r>
  </si>
  <si>
    <r>
      <rPr>
        <rFont val="Myanmar Sangam MN"/>
        <color theme="1"/>
        <sz val="10.0"/>
      </rPr>
      <t>၃၉၉၆</t>
    </r>
  </si>
  <si>
    <r>
      <rPr>
        <rFont val="Myanmar Sangam MN"/>
        <color theme="1"/>
        <sz val="10.0"/>
      </rPr>
      <t>၇၁၇</t>
    </r>
  </si>
  <si>
    <r>
      <rPr>
        <rFont val="Myanmar Sangam MN"/>
        <color theme="1"/>
        <sz val="10.0"/>
      </rPr>
      <t>၄၇၁၃</t>
    </r>
  </si>
  <si>
    <r>
      <rPr>
        <rFont val="Myanmar Sangam MN"/>
        <b/>
        <color theme="1"/>
        <sz val="9.0"/>
      </rPr>
      <t>၉.၇၀%</t>
    </r>
  </si>
  <si>
    <r>
      <rPr>
        <rFont val="Myanmar Sangam MN"/>
        <b/>
        <color theme="1"/>
        <sz val="10.0"/>
      </rPr>
      <t>၂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</si>
  <si>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</si>
  <si>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၉၄၂၄၄</t>
    </r>
  </si>
  <si>
    <r>
      <rPr>
        <rFont val="Myanmar Sangam MN"/>
        <b/>
        <color theme="1"/>
        <sz val="10.0"/>
      </rPr>
      <t>၅၂၂၁၄</t>
    </r>
  </si>
  <si>
    <r>
      <rPr>
        <rFont val="Myanmar Sangam MN"/>
        <b/>
        <color theme="1"/>
        <sz val="10.0"/>
      </rPr>
      <t>၁၈၈၉၁</t>
    </r>
  </si>
  <si>
    <r>
      <rPr>
        <rFont val="Myanmar Sangam MN"/>
        <b/>
        <color theme="1"/>
        <sz val="10.0"/>
      </rPr>
      <t>၇၁၁၀၅</t>
    </r>
  </si>
  <si>
    <r>
      <rPr>
        <rFont val="Myanmar Sangam MN"/>
        <b/>
        <color theme="1"/>
        <sz val="10.0"/>
      </rPr>
      <t>၇၅.၄၅</t>
    </r>
  </si>
  <si>
    <r>
      <rPr>
        <rFont val="Myanmar Sangam MN"/>
        <b/>
        <color theme="1"/>
        <sz val="10.0"/>
      </rPr>
      <t>၁၆၆၉</t>
    </r>
  </si>
  <si>
    <r>
      <rPr>
        <rFont val="Myanmar Sangam MN"/>
        <b/>
        <color theme="1"/>
        <sz val="10.0"/>
      </rPr>
      <t>၁၆</t>
    </r>
  </si>
  <si>
    <r>
      <rPr>
        <rFont val="Myanmar Sangam MN"/>
        <b/>
        <color theme="1"/>
        <sz val="10.0"/>
      </rPr>
      <t>၁၆၈၅</t>
    </r>
  </si>
  <si>
    <r>
      <rPr>
        <rFont val="Myanmar Sangam MN"/>
        <b/>
        <color theme="1"/>
        <sz val="10.0"/>
      </rPr>
      <t>၅၀၈၅၇</t>
    </r>
  </si>
  <si>
    <r>
      <rPr>
        <rFont val="Myanmar Sangam MN"/>
        <b/>
        <color theme="1"/>
        <sz val="10.0"/>
      </rPr>
      <t>၁၈၅၆၃</t>
    </r>
  </si>
  <si>
    <r>
      <rPr>
        <rFont val="Myanmar Sangam MN"/>
        <b/>
        <color theme="1"/>
        <sz val="10.0"/>
      </rPr>
      <t>၆၉၄၂၀</t>
    </r>
  </si>
  <si>
    <r>
      <rPr>
        <rFont val="Myanmar Sangam MN"/>
        <color theme="1"/>
        <sz val="10.0"/>
      </rPr>
      <t>ဦးသိန်းလွင်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</si>
  <si>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</si>
  <si>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၂၈၅၂၄</t>
    </r>
  </si>
  <si>
    <r>
      <rPr>
        <rFont val="Myanmar Sangam MN"/>
        <color theme="1"/>
        <sz val="10.0"/>
      </rPr>
      <t>၉၄၂၀</t>
    </r>
  </si>
  <si>
    <r>
      <rPr>
        <rFont val="Myanmar Sangam MN"/>
        <color theme="1"/>
        <sz val="10.0"/>
      </rPr>
      <t>၃၇၉၄၄</t>
    </r>
  </si>
  <si>
    <r>
      <rPr>
        <rFont val="Myanmar Sangam MN"/>
        <b/>
        <color theme="1"/>
        <sz val="9.0"/>
      </rPr>
      <t>၅၄.၆၆%</t>
    </r>
  </si>
  <si>
    <r>
      <rPr>
        <rFont val="Myanmar Sangam MN"/>
        <color theme="1"/>
        <sz val="10.0"/>
      </rPr>
      <t>ဦးသက်ဝင်း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</si>
  <si>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</si>
  <si>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၁၁၇၈၁</t>
    </r>
  </si>
  <si>
    <r>
      <rPr>
        <rFont val="Myanmar Sangam MN"/>
        <color theme="1"/>
        <sz val="10.0"/>
      </rPr>
      <t>၅၀၅၆</t>
    </r>
  </si>
  <si>
    <r>
      <rPr>
        <rFont val="Myanmar Sangam MN"/>
        <color theme="1"/>
        <sz val="10.0"/>
      </rPr>
      <t>၁၆၈၃၇</t>
    </r>
  </si>
  <si>
    <r>
      <rPr>
        <rFont val="Myanmar Sangam MN"/>
        <b/>
        <color theme="1"/>
        <sz val="9.0"/>
      </rPr>
      <t>၂၄.၂၅%</t>
    </r>
  </si>
  <si>
    <r>
      <rPr>
        <rFont val="Myanmar Sangam MN"/>
        <color theme="1"/>
        <sz val="10.0"/>
      </rPr>
      <t>ဦးမလန်မွန်းေရှာင်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</si>
  <si>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</si>
  <si>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၃၈၅၃</t>
    </r>
  </si>
  <si>
    <r>
      <rPr>
        <rFont val="Myanmar Sangam MN"/>
        <color theme="1"/>
        <sz val="10.0"/>
      </rPr>
      <t>၁၆၆၅</t>
    </r>
  </si>
  <si>
    <r>
      <rPr>
        <rFont val="Myanmar Sangam MN"/>
        <color theme="1"/>
        <sz val="10.0"/>
      </rPr>
      <t>၅၅၁၈</t>
    </r>
  </si>
  <si>
    <r>
      <rPr>
        <rFont val="Myanmar Sangam MN"/>
        <b/>
        <color theme="1"/>
        <sz val="9.0"/>
      </rPr>
      <t>၇.၉၅%</t>
    </r>
  </si>
  <si>
    <r>
      <rPr>
        <rFont val="Myanmar Sangam MN"/>
        <color theme="1"/>
        <sz val="10.0"/>
      </rPr>
      <t>ဦးေကျာ်ဝင်း</t>
    </r>
  </si>
  <si>
    <r>
      <rPr>
        <rFont val="Myanmar Sangam MN"/>
        <color rgb="FF000000"/>
        <sz val="10.0"/>
      </rPr>
      <t xml:space="preserve">တိုင်းလိုင်(ရှမ်းနီ)အမျးိ သားများဖွံဖိး
</t>
    </r>
    <r>
      <rPr>
        <rFont val="Myanmar Sangam MN"/>
        <color rgb="FF000000"/>
        <sz val="10.0"/>
      </rPr>
      <t>တိုးတက်ေရးပါတီ</t>
    </r>
  </si>
  <si>
    <r>
      <rPr>
        <rFont val="Myanmar Sangam MN"/>
        <color theme="1"/>
        <sz val="10.0"/>
      </rPr>
      <t>၃၀၉၅</t>
    </r>
  </si>
  <si>
    <r>
      <rPr>
        <rFont val="Myanmar Sangam MN"/>
        <color theme="1"/>
        <sz val="10.0"/>
      </rPr>
      <t>၁၀၆၄</t>
    </r>
  </si>
  <si>
    <r>
      <rPr>
        <rFont val="Myanmar Sangam MN"/>
        <color theme="1"/>
        <sz val="10.0"/>
      </rPr>
      <t>၄၁၅၉</t>
    </r>
  </si>
  <si>
    <r>
      <rPr>
        <rFont val="Myanmar Sangam MN"/>
        <b/>
        <color theme="1"/>
        <sz val="9.0"/>
      </rPr>
      <t>၆.၀၀%</t>
    </r>
  </si>
  <si>
    <r>
      <rPr>
        <rFont val="Myanmar Sangam MN"/>
        <color theme="1"/>
        <sz val="10.0"/>
      </rPr>
      <t>ဦးေပါင်းခမ်း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</si>
  <si>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</si>
  <si>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၂၆၈၃</t>
    </r>
  </si>
  <si>
    <r>
      <rPr>
        <rFont val="Myanmar Sangam MN"/>
        <color theme="1"/>
        <sz val="10.0"/>
      </rPr>
      <t>၈၄၄</t>
    </r>
  </si>
  <si>
    <r>
      <rPr>
        <rFont val="Myanmar Sangam MN"/>
        <color theme="1"/>
        <sz val="10.0"/>
      </rPr>
      <t>၃၅၂၇</t>
    </r>
  </si>
  <si>
    <r>
      <rPr>
        <rFont val="Myanmar Sangam MN"/>
        <b/>
        <color theme="1"/>
        <sz val="9.0"/>
      </rPr>
      <t>၅.၀၈%</t>
    </r>
  </si>
  <si>
    <r>
      <rPr>
        <rFont val="Myanmar Sangam MN"/>
        <color theme="1"/>
        <sz val="10.0"/>
      </rPr>
      <t>ဦးေဇာ်ေဇာ်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</si>
  <si>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</si>
  <si>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၅၇၉</t>
    </r>
  </si>
  <si>
    <r>
      <rPr>
        <rFont val="Myanmar Sangam MN"/>
        <color theme="1"/>
        <sz val="10.0"/>
      </rPr>
      <t>၂၉၁</t>
    </r>
  </si>
  <si>
    <r>
      <rPr>
        <rFont val="Myanmar Sangam MN"/>
        <color theme="1"/>
        <sz val="10.0"/>
      </rPr>
      <t>၈၇၀</t>
    </r>
  </si>
  <si>
    <r>
      <rPr>
        <rFont val="Myanmar Sangam MN"/>
        <b/>
        <color theme="1"/>
        <sz val="9.0"/>
      </rPr>
      <t>၁.၂၅%</t>
    </r>
  </si>
  <si>
    <r>
      <rPr>
        <rFont val="Myanmar Sangam MN"/>
        <color theme="1"/>
        <sz val="10.0"/>
      </rPr>
      <t>ဦးေကျာ်သူေဆွ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</si>
  <si>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</si>
  <si>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၃၄၂</t>
    </r>
  </si>
  <si>
    <r>
      <rPr>
        <rFont val="Myanmar Sangam MN"/>
        <color theme="1"/>
        <sz val="10.0"/>
      </rPr>
      <t>၂၂၃</t>
    </r>
  </si>
  <si>
    <r>
      <rPr>
        <rFont val="Myanmar Sangam MN"/>
        <color theme="1"/>
        <sz val="10.0"/>
      </rPr>
      <t>၅၆၅</t>
    </r>
  </si>
  <si>
    <r>
      <rPr>
        <rFont val="Myanmar Sangam MN"/>
        <b/>
        <color theme="1"/>
        <sz val="9.0"/>
      </rPr>
      <t>၀.၈၁%</t>
    </r>
  </si>
  <si>
    <r>
      <rPr>
        <rFont val="Myanmar Sangam MN"/>
        <b/>
        <color theme="1"/>
        <sz val="10.0"/>
      </rPr>
      <t>၃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</si>
  <si>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</si>
  <si>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၁၀၈၂၆၉</t>
    </r>
  </si>
  <si>
    <r>
      <rPr>
        <rFont val="Myanmar Sangam MN"/>
        <b/>
        <color theme="1"/>
        <sz val="10.0"/>
      </rPr>
      <t>၆၅၂၇၁</t>
    </r>
  </si>
  <si>
    <r>
      <rPr>
        <rFont val="Myanmar Sangam MN"/>
        <b/>
        <color theme="1"/>
        <sz val="10.0"/>
      </rPr>
      <t>၁၈၂၃၆</t>
    </r>
  </si>
  <si>
    <r>
      <rPr>
        <rFont val="Myanmar Sangam MN"/>
        <b/>
        <color theme="1"/>
        <sz val="10.0"/>
      </rPr>
      <t>၈၃၅၀၇</t>
    </r>
  </si>
  <si>
    <r>
      <rPr>
        <rFont val="Myanmar Sangam MN"/>
        <b/>
        <color theme="1"/>
        <sz val="10.0"/>
      </rPr>
      <t>၇၇.၁၃</t>
    </r>
  </si>
  <si>
    <r>
      <rPr>
        <rFont val="Myanmar Sangam MN"/>
        <b/>
        <color theme="1"/>
        <sz val="10.0"/>
      </rPr>
      <t>၅၂၉၆</t>
    </r>
  </si>
  <si>
    <r>
      <rPr>
        <rFont val="Myanmar Sangam MN"/>
        <b/>
        <color theme="1"/>
        <sz val="10.0"/>
      </rPr>
      <t>၃၂</t>
    </r>
  </si>
  <si>
    <r>
      <rPr>
        <rFont val="Myanmar Sangam MN"/>
        <b/>
        <color theme="1"/>
        <sz val="10.0"/>
      </rPr>
      <t>၅၃၂၈</t>
    </r>
  </si>
  <si>
    <r>
      <rPr>
        <rFont val="Myanmar Sangam MN"/>
        <b/>
        <color theme="1"/>
        <sz val="10.0"/>
      </rPr>
      <t>၆၁၀၈၈</t>
    </r>
  </si>
  <si>
    <r>
      <rPr>
        <rFont val="Myanmar Sangam MN"/>
        <b/>
        <color theme="1"/>
        <sz val="10.0"/>
      </rPr>
      <t>၁၇၀၉၁</t>
    </r>
  </si>
  <si>
    <r>
      <rPr>
        <rFont val="Myanmar Sangam MN"/>
        <b/>
        <color theme="1"/>
        <sz val="10.0"/>
      </rPr>
      <t>၇၈၁၇၉</t>
    </r>
  </si>
  <si>
    <r>
      <rPr>
        <rFont val="Myanmar Sangam MN"/>
        <color theme="1"/>
        <sz val="10.0"/>
      </rPr>
      <t>ဦးစိုးိုင်ေကျာ်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</si>
  <si>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</si>
  <si>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၃၃၄၉၉</t>
    </r>
  </si>
  <si>
    <r>
      <rPr>
        <rFont val="Myanmar Sangam MN"/>
        <color theme="1"/>
        <sz val="10.0"/>
      </rPr>
      <t>၈၀၀၂</t>
    </r>
  </si>
  <si>
    <r>
      <rPr>
        <rFont val="Myanmar Sangam MN"/>
        <color theme="1"/>
        <sz val="10.0"/>
      </rPr>
      <t>၄၁၅၀၁</t>
    </r>
  </si>
  <si>
    <r>
      <rPr>
        <rFont val="Myanmar Sangam MN"/>
        <b/>
        <color theme="1"/>
        <sz val="9.0"/>
      </rPr>
      <t>၅၃.၀၈%</t>
    </r>
  </si>
  <si>
    <r>
      <rPr>
        <rFont val="Myanmar Sangam MN"/>
        <color theme="1"/>
        <sz val="10.0"/>
      </rPr>
      <t>ဦးေကျာ်ဝင်း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</si>
  <si>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</si>
  <si>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၁၆၈၃၀</t>
    </r>
  </si>
  <si>
    <r>
      <rPr>
        <rFont val="Myanmar Sangam MN"/>
        <color theme="1"/>
        <sz val="10.0"/>
      </rPr>
      <t>၅၈၃၈</t>
    </r>
  </si>
  <si>
    <r>
      <rPr>
        <rFont val="Myanmar Sangam MN"/>
        <color theme="1"/>
        <sz val="10.0"/>
      </rPr>
      <t>၂၂၆၆၈</t>
    </r>
  </si>
  <si>
    <r>
      <rPr>
        <rFont val="Myanmar Sangam MN"/>
        <b/>
        <color theme="1"/>
        <sz val="9.0"/>
      </rPr>
      <t>၂၉.၀၀%</t>
    </r>
  </si>
  <si>
    <r>
      <rPr>
        <rFont val="Myanmar Sangam MN"/>
        <color rgb="FF000000"/>
        <sz val="10.0"/>
      </rPr>
      <t xml:space="preserve">ေဒ </t>
    </r>
    <r>
      <rPr>
        <rFont val="Myanmar Sangam MN"/>
        <color rgb="FF000000"/>
        <sz val="11.0"/>
      </rPr>
      <t>L</t>
    </r>
    <r>
      <rPr>
        <rFont val="Myanmar Sangam MN"/>
        <color rgb="FF000000"/>
        <sz val="10.0"/>
      </rPr>
      <t>ကိုင်ေရာ်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</si>
  <si>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</si>
  <si>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၄၉၇၆</t>
    </r>
  </si>
  <si>
    <r>
      <rPr>
        <rFont val="Myanmar Sangam MN"/>
        <color theme="1"/>
        <sz val="10.0"/>
      </rPr>
      <t>၁၃၀၂</t>
    </r>
  </si>
  <si>
    <r>
      <rPr>
        <rFont val="Myanmar Sangam MN"/>
        <color theme="1"/>
        <sz val="10.0"/>
      </rPr>
      <t>၆၂၇၈</t>
    </r>
  </si>
  <si>
    <r>
      <rPr>
        <rFont val="Myanmar Sangam MN"/>
        <b/>
        <color theme="1"/>
        <sz val="9.0"/>
      </rPr>
      <t>၈.၀၃%</t>
    </r>
  </si>
  <si>
    <r>
      <rPr>
        <rFont val="Myanmar Sangam MN"/>
        <color theme="1"/>
        <sz val="10.0"/>
      </rPr>
      <t>ဦးေအာင်ဝင်း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</si>
  <si>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</si>
  <si>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၃၄၄၇</t>
    </r>
  </si>
  <si>
    <r>
      <rPr>
        <rFont val="Myanmar Sangam MN"/>
        <color theme="1"/>
        <sz val="10.0"/>
      </rPr>
      <t>၇၉၁</t>
    </r>
  </si>
  <si>
    <r>
      <rPr>
        <rFont val="Myanmar Sangam MN"/>
        <color theme="1"/>
        <sz val="10.0"/>
      </rPr>
      <t>၄၂၃၈</t>
    </r>
  </si>
  <si>
    <r>
      <rPr>
        <rFont val="Myanmar Sangam MN"/>
        <b/>
        <color theme="1"/>
        <sz val="9.0"/>
      </rPr>
      <t>၅.၄၂%</t>
    </r>
  </si>
  <si>
    <r>
      <rPr>
        <rFont val="Myanmar Sangam MN"/>
        <color theme="1"/>
        <sz val="10.0"/>
      </rPr>
      <t>ဦးမျးိ ထွဋ်အုန်း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</si>
  <si>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</si>
  <si>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၁၂၆၀</t>
    </r>
  </si>
  <si>
    <r>
      <rPr>
        <rFont val="Myanmar Sangam MN"/>
        <color theme="1"/>
        <sz val="10.0"/>
      </rPr>
      <t>၅၂၃</t>
    </r>
  </si>
  <si>
    <r>
      <rPr>
        <rFont val="Myanmar Sangam MN"/>
        <color theme="1"/>
        <sz val="10.0"/>
      </rPr>
      <t>၁၇၈၃</t>
    </r>
  </si>
  <si>
    <r>
      <rPr>
        <rFont val="Myanmar Sangam MN"/>
        <b/>
        <color theme="1"/>
        <sz val="9.0"/>
      </rPr>
      <t>၂.၂၈%</t>
    </r>
  </si>
  <si>
    <r>
      <rPr>
        <rFont val="Myanmar Sangam MN"/>
        <color theme="1"/>
        <sz val="10.0"/>
      </rPr>
      <t xml:space="preserve">ဦးြမင့်ေရ 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</si>
  <si>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</si>
  <si>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၁၀၇၆</t>
    </r>
  </si>
  <si>
    <r>
      <rPr>
        <rFont val="Myanmar Sangam MN"/>
        <color theme="1"/>
        <sz val="10.0"/>
      </rPr>
      <t>၆၃၅</t>
    </r>
  </si>
  <si>
    <r>
      <rPr>
        <rFont val="Myanmar Sangam MN"/>
        <color theme="1"/>
        <sz val="10.0"/>
      </rPr>
      <t>၁၇၁၁</t>
    </r>
  </si>
  <si>
    <r>
      <rPr>
        <rFont val="Myanmar Sangam MN"/>
        <b/>
        <color theme="1"/>
        <sz val="9.0"/>
      </rPr>
      <t>၂.၁၉%</t>
    </r>
  </si>
  <si>
    <r>
      <rPr>
        <rFont val="Myanmar Sangam MN"/>
        <b/>
        <color theme="1"/>
        <sz val="10.0"/>
      </rPr>
      <t>၄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</si>
  <si>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</si>
  <si>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၅၀၃၀၀</t>
    </r>
  </si>
  <si>
    <r>
      <rPr>
        <rFont val="Myanmar Sangam MN"/>
        <b/>
        <color theme="1"/>
        <sz val="10.0"/>
      </rPr>
      <t>၂၆၃၅၇</t>
    </r>
  </si>
  <si>
    <r>
      <rPr>
        <rFont val="Myanmar Sangam MN"/>
        <b/>
        <color theme="1"/>
        <sz val="10.0"/>
      </rPr>
      <t>၈၅၈၃</t>
    </r>
  </si>
  <si>
    <r>
      <rPr>
        <rFont val="Myanmar Sangam MN"/>
        <b/>
        <color theme="1"/>
        <sz val="10.0"/>
      </rPr>
      <t>၃၄၉၄၀</t>
    </r>
  </si>
  <si>
    <r>
      <rPr>
        <rFont val="Myanmar Sangam MN"/>
        <b/>
        <color theme="1"/>
        <sz val="10.0"/>
      </rPr>
      <t>၆၉.၄၆</t>
    </r>
  </si>
  <si>
    <r>
      <rPr>
        <rFont val="Myanmar Sangam MN"/>
        <b/>
        <color theme="1"/>
        <sz val="10.0"/>
      </rPr>
      <t>၁၁၈၃</t>
    </r>
  </si>
  <si>
    <r>
      <rPr>
        <rFont val="Myanmar Sangam MN"/>
        <b/>
        <color theme="1"/>
        <sz val="10.0"/>
      </rPr>
      <t>၁၀</t>
    </r>
  </si>
  <si>
    <r>
      <rPr>
        <rFont val="Myanmar Sangam MN"/>
        <b/>
        <color theme="1"/>
        <sz val="10.0"/>
      </rPr>
      <t>၁၁၉၃</t>
    </r>
  </si>
  <si>
    <r>
      <rPr>
        <rFont val="Myanmar Sangam MN"/>
        <b/>
        <color theme="1"/>
        <sz val="10.0"/>
      </rPr>
      <t>၂၅၃၈၀</t>
    </r>
  </si>
  <si>
    <r>
      <rPr>
        <rFont val="Myanmar Sangam MN"/>
        <b/>
        <color theme="1"/>
        <sz val="10.0"/>
      </rPr>
      <t>၈၃၆၇</t>
    </r>
  </si>
  <si>
    <r>
      <rPr>
        <rFont val="Myanmar Sangam MN"/>
        <b/>
        <color theme="1"/>
        <sz val="10.0"/>
      </rPr>
      <t>၃၃၇၄၇</t>
    </r>
  </si>
  <si>
    <r>
      <rPr>
        <rFont val="Myanmar Sangam MN"/>
        <color theme="1"/>
        <sz val="10.0"/>
      </rPr>
      <t>ေဒါက်တာခွန်ဝင်းေသာင်း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</si>
  <si>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</si>
  <si>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၈၂၀၁</t>
    </r>
  </si>
  <si>
    <r>
      <rPr>
        <rFont val="Myanmar Sangam MN"/>
        <color theme="1"/>
        <sz val="10.0"/>
      </rPr>
      <t>၂၃၆၅</t>
    </r>
  </si>
  <si>
    <r>
      <rPr>
        <rFont val="Myanmar Sangam MN"/>
        <color theme="1"/>
        <sz val="10.0"/>
      </rPr>
      <t>၁၀၅၆၆</t>
    </r>
  </si>
  <si>
    <r>
      <rPr>
        <rFont val="Myanmar Sangam MN"/>
        <b/>
        <color theme="1"/>
        <sz val="9.0"/>
      </rPr>
      <t>၃၁.၃၁%</t>
    </r>
  </si>
  <si>
    <r>
      <rPr>
        <rFont val="Myanmar Sangam MN"/>
        <color theme="1"/>
        <sz val="10.0"/>
      </rPr>
      <t>စိုင်းေကျာ်သီဟ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</si>
  <si>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</si>
  <si>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၅၂၃၄</t>
    </r>
  </si>
  <si>
    <r>
      <rPr>
        <rFont val="Myanmar Sangam MN"/>
        <color theme="1"/>
        <sz val="9.0"/>
      </rPr>
      <t>၉၃၄</t>
    </r>
  </si>
  <si>
    <r>
      <rPr>
        <rFont val="Myanmar Sangam MN"/>
        <color theme="1"/>
        <sz val="10.0"/>
      </rPr>
      <t>၆၁၆၈</t>
    </r>
  </si>
  <si>
    <r>
      <rPr>
        <rFont val="Myanmar Sangam MN"/>
        <b/>
        <color theme="1"/>
        <sz val="9.0"/>
      </rPr>
      <t>၁၈.၂၈%</t>
    </r>
  </si>
  <si>
    <r>
      <rPr>
        <rFont val="Myanmar Sangam MN"/>
        <color theme="1"/>
        <sz val="10.0"/>
      </rPr>
      <t>ဦးဒါ့ရှီတူးလွမ်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</si>
  <si>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</si>
  <si>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၃၅၇၅</t>
    </r>
  </si>
  <si>
    <r>
      <rPr>
        <rFont val="Myanmar Sangam MN"/>
        <color theme="1"/>
        <sz val="10.0"/>
      </rPr>
      <t>၂၄၇၈</t>
    </r>
  </si>
  <si>
    <r>
      <rPr>
        <rFont val="Myanmar Sangam MN"/>
        <color theme="1"/>
        <sz val="10.0"/>
      </rPr>
      <t>၆၀၅၃</t>
    </r>
  </si>
  <si>
    <r>
      <rPr>
        <rFont val="Myanmar Sangam MN"/>
        <b/>
        <color theme="1"/>
        <sz val="9.0"/>
      </rPr>
      <t>၁၇.၉၃%</t>
    </r>
  </si>
  <si>
    <r>
      <rPr>
        <rFont val="Myanmar Sangam MN"/>
        <color rgb="FF000000"/>
        <sz val="10.0"/>
      </rPr>
      <t xml:space="preserve">ဦးစိန်ေရ (ခ)
</t>
    </r>
    <r>
      <rPr>
        <rFont val="Myanmar Sangam MN"/>
        <color rgb="FF000000"/>
        <sz val="10.0"/>
      </rPr>
      <t>မီတုန်အီးဆတ်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</si>
  <si>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</si>
  <si>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၂၅၆၇</t>
    </r>
  </si>
  <si>
    <r>
      <rPr>
        <rFont val="Myanmar Sangam MN"/>
        <color theme="1"/>
        <sz val="10.0"/>
      </rPr>
      <t>၇၉၈</t>
    </r>
  </si>
  <si>
    <r>
      <rPr>
        <rFont val="Myanmar Sangam MN"/>
        <color theme="1"/>
        <sz val="10.0"/>
      </rPr>
      <t>၃၃၆၅</t>
    </r>
  </si>
  <si>
    <r>
      <rPr>
        <rFont val="Myanmar Sangam MN"/>
        <b/>
        <color theme="1"/>
        <sz val="9.0"/>
      </rPr>
      <t>၉.၉၇%</t>
    </r>
  </si>
  <si>
    <r>
      <rPr>
        <rFont val="Myanmar Sangam MN"/>
        <color theme="1"/>
        <sz val="10.0"/>
      </rPr>
      <t>ေဒါက်တာေကာန်လ</t>
    </r>
  </si>
  <si>
    <r>
      <rPr>
        <rFont val="Myanmar Sangam MN"/>
        <color theme="1"/>
        <sz val="10.0"/>
      </rPr>
      <t>ကချင်အမျးိ သားကွန်ဂရက်ပါတီ</t>
    </r>
  </si>
  <si>
    <r>
      <rPr>
        <rFont val="Myanmar Sangam MN"/>
        <color theme="1"/>
        <sz val="10.0"/>
      </rPr>
      <t>၂၄၃၀</t>
    </r>
  </si>
  <si>
    <r>
      <rPr>
        <rFont val="Myanmar Sangam MN"/>
        <color theme="1"/>
        <sz val="10.0"/>
      </rPr>
      <t>၆၇၇</t>
    </r>
  </si>
  <si>
    <r>
      <rPr>
        <rFont val="Myanmar Sangam MN"/>
        <color theme="1"/>
        <sz val="10.0"/>
      </rPr>
      <t>၃၁၀၇</t>
    </r>
  </si>
  <si>
    <r>
      <rPr>
        <rFont val="Myanmar Sangam MN"/>
        <b/>
        <color theme="1"/>
        <sz val="9.0"/>
      </rPr>
      <t>၉.၂၁%</t>
    </r>
  </si>
  <si>
    <r>
      <rPr>
        <rFont val="Myanmar Sangam MN"/>
        <color theme="1"/>
        <sz val="10.0"/>
      </rPr>
      <t>ဦးသိန်းသန်းေဇာ</t>
    </r>
  </si>
  <si>
    <r>
      <rPr>
        <rFont val="Myanmar Sangam MN"/>
        <color theme="1"/>
        <sz val="10.0"/>
      </rPr>
      <t>တိုင်းလိုင်(ရှမ်းနီ)အမျးိ သားများဖွံဖိး တိုးတက်ေရးပါတီ</t>
    </r>
  </si>
  <si>
    <r>
      <rPr>
        <rFont val="Myanmar Sangam MN"/>
        <color theme="1"/>
        <sz val="10.0"/>
      </rPr>
      <t>၂၂၀၂</t>
    </r>
  </si>
  <si>
    <r>
      <rPr>
        <rFont val="Myanmar Sangam MN"/>
        <color theme="1"/>
        <sz val="10.0"/>
      </rPr>
      <t>၆၈၀</t>
    </r>
  </si>
  <si>
    <r>
      <rPr>
        <rFont val="Myanmar Sangam MN"/>
        <color theme="1"/>
        <sz val="10.0"/>
      </rPr>
      <t>၂၈၈၂</t>
    </r>
  </si>
  <si>
    <r>
      <rPr>
        <rFont val="Myanmar Sangam MN"/>
        <b/>
        <color theme="1"/>
        <sz val="9.0"/>
      </rPr>
      <t>၈.၅၄%</t>
    </r>
  </si>
  <si>
    <r>
      <rPr>
        <rFont val="Myanmar Sangam MN"/>
        <color theme="1"/>
        <sz val="10.0"/>
      </rPr>
      <t>ေဒစံပယ်ဦး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</si>
  <si>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</si>
  <si>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၁၁၇၁</t>
    </r>
  </si>
  <si>
    <r>
      <rPr>
        <rFont val="Myanmar Sangam MN"/>
        <color theme="1"/>
        <sz val="10.0"/>
      </rPr>
      <t>၄၃၅</t>
    </r>
  </si>
  <si>
    <r>
      <rPr>
        <rFont val="Myanmar Sangam MN"/>
        <color theme="1"/>
        <sz val="10.0"/>
      </rPr>
      <t>၁၆၀၆</t>
    </r>
  </si>
  <si>
    <r>
      <rPr>
        <rFont val="Myanmar Sangam MN"/>
        <b/>
        <color theme="1"/>
        <sz val="9.0"/>
      </rPr>
      <t>၄.၇၆%</t>
    </r>
  </si>
  <si>
    <r>
      <rPr>
        <rFont val="Myanmar Sangam MN"/>
        <b/>
        <color theme="1"/>
        <sz val="10.0"/>
      </rPr>
      <t>၅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</si>
  <si>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</si>
  <si>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၁၈၄၀၆၂</t>
    </r>
  </si>
  <si>
    <r>
      <rPr>
        <rFont val="Myanmar Sangam MN"/>
        <b/>
        <color theme="1"/>
        <sz val="10.0"/>
      </rPr>
      <t>၉၀၂၃၇</t>
    </r>
  </si>
  <si>
    <r>
      <rPr>
        <rFont val="Myanmar Sangam MN"/>
        <b/>
        <color theme="1"/>
        <sz val="10.0"/>
      </rPr>
      <t>၁၃၁၂၉</t>
    </r>
  </si>
  <si>
    <r>
      <rPr>
        <rFont val="Myanmar Sangam MN"/>
        <b/>
        <color theme="1"/>
        <sz val="10.0"/>
      </rPr>
      <t>၁၀၃၃၆၆</t>
    </r>
  </si>
  <si>
    <r>
      <rPr>
        <rFont val="Myanmar Sangam MN"/>
        <b/>
        <color theme="1"/>
        <sz val="10.0"/>
      </rPr>
      <t>၅၆.၁၆</t>
    </r>
  </si>
  <si>
    <r>
      <rPr>
        <rFont val="Myanmar Sangam MN"/>
        <b/>
        <color theme="1"/>
        <sz val="10.0"/>
      </rPr>
      <t>၂၇၄၉</t>
    </r>
  </si>
  <si>
    <r>
      <rPr>
        <rFont val="Myanmar Sangam MN"/>
        <b/>
        <color theme="1"/>
        <sz val="10.0"/>
      </rPr>
      <t>၂၆</t>
    </r>
  </si>
  <si>
    <r>
      <rPr>
        <rFont val="Myanmar Sangam MN"/>
        <b/>
        <color theme="1"/>
        <sz val="10.0"/>
      </rPr>
      <t>၂၇၇၅</t>
    </r>
  </si>
  <si>
    <r>
      <rPr>
        <rFont val="Myanmar Sangam MN"/>
        <b/>
        <color theme="1"/>
        <sz val="9.0"/>
      </rPr>
      <t>၈၇၈၅၅</t>
    </r>
  </si>
  <si>
    <r>
      <rPr>
        <rFont val="Myanmar Sangam MN"/>
        <b/>
        <color theme="1"/>
        <sz val="9.0"/>
      </rPr>
      <t>၁၂၇၃၆</t>
    </r>
  </si>
  <si>
    <r>
      <rPr>
        <rFont val="Myanmar Sangam MN"/>
        <b/>
        <color theme="1"/>
        <sz val="10.0"/>
      </rPr>
      <t>၁၀၀၅၉၁</t>
    </r>
  </si>
  <si>
    <r>
      <rPr>
        <rFont val="Myanmar Sangam MN"/>
        <color theme="1"/>
        <sz val="10.0"/>
      </rPr>
      <t>ဦးခင်ေမာင်ြမင့်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</si>
  <si>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</si>
  <si>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၅၉၃၂၉</t>
    </r>
  </si>
  <si>
    <r>
      <rPr>
        <rFont val="Myanmar Sangam MN"/>
        <color theme="1"/>
        <sz val="10.0"/>
      </rPr>
      <t>၅၉၀၀</t>
    </r>
  </si>
  <si>
    <r>
      <rPr>
        <rFont val="Myanmar Sangam MN"/>
        <color theme="1"/>
        <sz val="10.0"/>
      </rPr>
      <t>၆၅၂၂၉</t>
    </r>
  </si>
  <si>
    <r>
      <rPr>
        <rFont val="Myanmar Sangam MN"/>
        <b/>
        <color theme="1"/>
        <sz val="9.0"/>
      </rPr>
      <t>၆၄.၈၅%</t>
    </r>
  </si>
  <si>
    <r>
      <rPr>
        <rFont val="Myanmar Sangam MN"/>
        <color theme="1"/>
        <sz val="10.0"/>
      </rPr>
      <t>ဦးေဇာ်ဖန်း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</si>
  <si>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</si>
  <si>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၁၆၄၀၈</t>
    </r>
  </si>
  <si>
    <r>
      <rPr>
        <rFont val="Myanmar Sangam MN"/>
        <color theme="1"/>
        <sz val="10.0"/>
      </rPr>
      <t>၃၁၇၁</t>
    </r>
  </si>
  <si>
    <r>
      <rPr>
        <rFont val="Myanmar Sangam MN"/>
        <color theme="1"/>
        <sz val="10.0"/>
      </rPr>
      <t>၁၉၅၇၉</t>
    </r>
  </si>
  <si>
    <r>
      <rPr>
        <rFont val="Myanmar Sangam MN"/>
        <b/>
        <color theme="1"/>
        <sz val="9.0"/>
      </rPr>
      <t>၁၉.၄၆%</t>
    </r>
  </si>
  <si>
    <r>
      <rPr>
        <rFont val="Myanmar Sangam MN"/>
        <color theme="1"/>
        <sz val="10.0"/>
      </rPr>
      <t>ဦးဘရန်ဆိုင်း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</si>
  <si>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</si>
  <si>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၈၇၅၂</t>
    </r>
  </si>
  <si>
    <r>
      <rPr>
        <rFont val="Myanmar Sangam MN"/>
        <color theme="1"/>
        <sz val="10.0"/>
      </rPr>
      <t>၂၈၂၃</t>
    </r>
  </si>
  <si>
    <r>
      <rPr>
        <rFont val="Myanmar Sangam MN"/>
        <color theme="1"/>
        <sz val="10.0"/>
      </rPr>
      <t>၁၁၅၇၅</t>
    </r>
  </si>
  <si>
    <r>
      <rPr>
        <rFont val="Myanmar Sangam MN"/>
        <b/>
        <color theme="1"/>
        <sz val="9.0"/>
      </rPr>
      <t>၁၁.၅၁%</t>
    </r>
  </si>
  <si>
    <r>
      <rPr>
        <rFont val="Myanmar Sangam MN"/>
        <color theme="1"/>
        <sz val="10.0"/>
      </rPr>
      <t>ဦးခင်ေမာင်လွင်</t>
    </r>
  </si>
  <si>
    <r>
      <rPr>
        <rFont val="Myanmar Sangam MN"/>
        <color theme="1"/>
        <sz val="10.0"/>
      </rPr>
      <t>တိုင်းလိုင်(ရှမ်းနီ)အမျးိ သားများဖွံဖိး တိုးတက်ေရးပါတီ</t>
    </r>
  </si>
  <si>
    <r>
      <rPr>
        <rFont val="Myanmar Sangam MN"/>
        <color theme="1"/>
        <sz val="10.0"/>
      </rPr>
      <t>၃၃၆၆</t>
    </r>
  </si>
  <si>
    <r>
      <rPr>
        <rFont val="Myanmar Sangam MN"/>
        <color theme="1"/>
        <sz val="10.0"/>
      </rPr>
      <t>၈၄၂</t>
    </r>
  </si>
  <si>
    <r>
      <rPr>
        <rFont val="Myanmar Sangam MN"/>
        <color theme="1"/>
        <sz val="10.0"/>
      </rPr>
      <t>၄၂၀၈</t>
    </r>
  </si>
  <si>
    <r>
      <rPr>
        <rFont val="Myanmar Sangam MN"/>
        <b/>
        <color theme="1"/>
        <sz val="9.0"/>
      </rPr>
      <t>၄.၁၈%</t>
    </r>
  </si>
  <si>
    <r>
      <rPr>
        <rFont val="Myanmar Sangam MN"/>
        <b/>
        <color theme="1"/>
        <sz val="10.0"/>
      </rPr>
      <t>၆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</si>
  <si>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</si>
  <si>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၁၀၄၅၃၅</t>
    </r>
  </si>
  <si>
    <r>
      <rPr>
        <rFont val="Myanmar Sangam MN"/>
        <b/>
        <color theme="1"/>
        <sz val="10.0"/>
      </rPr>
      <t>၅၂၅၃၄</t>
    </r>
  </si>
  <si>
    <r>
      <rPr>
        <rFont val="Myanmar Sangam MN"/>
        <b/>
        <color theme="1"/>
        <sz val="10.0"/>
      </rPr>
      <t>၁၇၆၇၂</t>
    </r>
  </si>
  <si>
    <r>
      <rPr>
        <rFont val="Myanmar Sangam MN"/>
        <b/>
        <color theme="1"/>
        <sz val="10.0"/>
      </rPr>
      <t>၇၀၂၀၆</t>
    </r>
  </si>
  <si>
    <r>
      <rPr>
        <rFont val="Myanmar Sangam MN"/>
        <b/>
        <color theme="1"/>
        <sz val="10.0"/>
      </rPr>
      <t>၆၇.၁၆</t>
    </r>
  </si>
  <si>
    <r>
      <rPr>
        <rFont val="Myanmar Sangam MN"/>
        <b/>
        <color theme="1"/>
        <sz val="10.0"/>
      </rPr>
      <t>၁၅၄၈</t>
    </r>
  </si>
  <si>
    <r>
      <rPr>
        <rFont val="Myanmar Sangam MN"/>
        <b/>
        <color theme="1"/>
        <sz val="10.0"/>
      </rPr>
      <t>၂၃</t>
    </r>
  </si>
  <si>
    <r>
      <rPr>
        <rFont val="Myanmar Sangam MN"/>
        <b/>
        <color theme="1"/>
        <sz val="10.0"/>
      </rPr>
      <t>၁၅၇၁</t>
    </r>
  </si>
  <si>
    <r>
      <rPr>
        <rFont val="Myanmar Sangam MN"/>
        <b/>
        <color theme="1"/>
        <sz val="10.0"/>
      </rPr>
      <t>၅၁၂၈၀</t>
    </r>
  </si>
  <si>
    <r>
      <rPr>
        <rFont val="Myanmar Sangam MN"/>
        <b/>
        <color theme="1"/>
        <sz val="10.0"/>
      </rPr>
      <t>၁၇၃၅၅</t>
    </r>
  </si>
  <si>
    <r>
      <rPr>
        <rFont val="Myanmar Sangam MN"/>
        <b/>
        <color theme="1"/>
        <sz val="10.0"/>
      </rPr>
      <t>၆၈၆၃၅</t>
    </r>
  </si>
  <si>
    <r>
      <rPr>
        <rFont val="Myanmar Sangam MN"/>
        <color theme="1"/>
        <sz val="10.0"/>
      </rPr>
      <t>ေဒါက်တာခင်မကီး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</si>
  <si>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</si>
  <si>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၂၇၀၆၈</t>
    </r>
  </si>
  <si>
    <r>
      <rPr>
        <rFont val="Myanmar Sangam MN"/>
        <color theme="1"/>
        <sz val="10.0"/>
      </rPr>
      <t>၈၀၆၂</t>
    </r>
  </si>
  <si>
    <r>
      <rPr>
        <rFont val="Myanmar Sangam MN"/>
        <color theme="1"/>
        <sz val="10.0"/>
      </rPr>
      <t>၃၅၁၃၀</t>
    </r>
  </si>
  <si>
    <r>
      <rPr>
        <rFont val="Myanmar Sangam MN"/>
        <b/>
        <color theme="1"/>
        <sz val="9.0"/>
      </rPr>
      <t>၅၁.၁၈%</t>
    </r>
  </si>
  <si>
    <r>
      <rPr>
        <rFont val="Myanmar Sangam MN"/>
        <color theme="1"/>
        <sz val="10.0"/>
      </rPr>
      <t>ဦးထွန်းထွန်းေအာင်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</si>
  <si>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</si>
  <si>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၁၂၇၀၀</t>
    </r>
  </si>
  <si>
    <r>
      <rPr>
        <rFont val="Myanmar Sangam MN"/>
        <color theme="1"/>
        <sz val="10.0"/>
      </rPr>
      <t>၅၂၁၄</t>
    </r>
  </si>
  <si>
    <r>
      <rPr>
        <rFont val="Myanmar Sangam MN"/>
        <color theme="1"/>
        <sz val="10.0"/>
      </rPr>
      <t>၁၇၉၁၄</t>
    </r>
  </si>
  <si>
    <r>
      <rPr>
        <rFont val="Myanmar Sangam MN"/>
        <b/>
        <color theme="1"/>
        <sz val="9.0"/>
      </rPr>
      <t>၂၆.၁၀%</t>
    </r>
  </si>
  <si>
    <r>
      <rPr>
        <rFont val="Myanmar Sangam MN"/>
        <color theme="1"/>
        <sz val="10.0"/>
      </rPr>
      <t>ဦးကိုကိုမင်း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</si>
  <si>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</si>
  <si>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၇၀၈၈</t>
    </r>
  </si>
  <si>
    <r>
      <rPr>
        <rFont val="Myanmar Sangam MN"/>
        <color theme="1"/>
        <sz val="10.0"/>
      </rPr>
      <t>၂၄၅၃</t>
    </r>
  </si>
  <si>
    <r>
      <rPr>
        <rFont val="Myanmar Sangam MN"/>
        <color theme="1"/>
        <sz val="10.0"/>
      </rPr>
      <t>၉၅၄၁</t>
    </r>
  </si>
  <si>
    <r>
      <rPr>
        <rFont val="Myanmar Sangam MN"/>
        <b/>
        <color theme="1"/>
        <sz val="9.0"/>
      </rPr>
      <t>၁၃.၉၀%</t>
    </r>
  </si>
  <si>
    <r>
      <rPr>
        <rFont val="Myanmar Sangam MN"/>
        <color theme="1"/>
        <sz val="10.0"/>
      </rPr>
      <t>ဦးမင်းထွန်း</t>
    </r>
  </si>
  <si>
    <r>
      <rPr>
        <rFont val="Myanmar Sangam MN"/>
        <color theme="1"/>
        <sz val="10.0"/>
      </rPr>
      <t>တိုင်းလိုင်(ရှမ်းနီ)အမျးိ သားများဖွံဖိး တိုးတက်ေရးပါတီ</t>
    </r>
  </si>
  <si>
    <r>
      <rPr>
        <rFont val="Myanmar Sangam MN"/>
        <color theme="1"/>
        <sz val="10.0"/>
      </rPr>
      <t>၃၈၉၈</t>
    </r>
  </si>
  <si>
    <r>
      <rPr>
        <rFont val="Myanmar Sangam MN"/>
        <color theme="1"/>
        <sz val="10.0"/>
      </rPr>
      <t>၁၂၆၁</t>
    </r>
  </si>
  <si>
    <r>
      <rPr>
        <rFont val="Myanmar Sangam MN"/>
        <color theme="1"/>
        <sz val="10.0"/>
      </rPr>
      <t>၅၁၅၉</t>
    </r>
  </si>
  <si>
    <r>
      <rPr>
        <rFont val="Myanmar Sangam MN"/>
        <b/>
        <color theme="1"/>
        <sz val="9.0"/>
      </rPr>
      <t>၇.၅၂%</t>
    </r>
  </si>
  <si>
    <r>
      <rPr>
        <rFont val="Myanmar Sangam MN"/>
        <color theme="1"/>
        <sz val="10.0"/>
      </rPr>
      <t>ဦးဖိးကိုကို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</si>
  <si>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</si>
  <si>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၅၂၆</t>
    </r>
  </si>
  <si>
    <r>
      <rPr>
        <rFont val="Myanmar Sangam MN"/>
        <color theme="1"/>
        <sz val="10.0"/>
      </rPr>
      <t>၃၆၅</t>
    </r>
  </si>
  <si>
    <r>
      <rPr>
        <rFont val="Myanmar Sangam MN"/>
        <color theme="1"/>
        <sz val="10.0"/>
      </rPr>
      <t>၈၉၁</t>
    </r>
  </si>
  <si>
    <r>
      <rPr>
        <rFont val="Myanmar Sangam MN"/>
        <b/>
        <color theme="1"/>
        <sz val="9.0"/>
      </rPr>
      <t>၁.၃၀%</t>
    </r>
  </si>
  <si>
    <r>
      <rPr>
        <rFont val="Myanmar Sangam MN"/>
        <b/>
        <color theme="1"/>
        <sz val="10.0"/>
      </rPr>
      <t>၇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</si>
  <si>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</si>
  <si>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၈၂၈၉၄</t>
    </r>
  </si>
  <si>
    <r>
      <rPr>
        <rFont val="Myanmar Sangam MN"/>
        <b/>
        <color theme="1"/>
        <sz val="10.0"/>
      </rPr>
      <t>၄၃၇၈၃</t>
    </r>
  </si>
  <si>
    <r>
      <rPr>
        <rFont val="Myanmar Sangam MN"/>
        <b/>
        <color theme="1"/>
        <sz val="10.0"/>
      </rPr>
      <t>၁၄၆၂၉</t>
    </r>
  </si>
  <si>
    <r>
      <rPr>
        <rFont val="Myanmar Sangam MN"/>
        <b/>
        <color theme="1"/>
        <sz val="10.0"/>
      </rPr>
      <t>၅၈၄၁၂</t>
    </r>
  </si>
  <si>
    <r>
      <rPr>
        <rFont val="Myanmar Sangam MN"/>
        <b/>
        <color theme="1"/>
        <sz val="10.0"/>
      </rPr>
      <t>၇၀.၄၇</t>
    </r>
  </si>
  <si>
    <r>
      <rPr>
        <rFont val="Myanmar Sangam MN"/>
        <b/>
        <color theme="1"/>
        <sz val="10.0"/>
      </rPr>
      <t>၁၁၅၀</t>
    </r>
  </si>
  <si>
    <r>
      <rPr>
        <rFont val="Myanmar Sangam MN"/>
        <b/>
        <color theme="1"/>
        <sz val="10.0"/>
      </rPr>
      <t>၁၈</t>
    </r>
  </si>
  <si>
    <r>
      <rPr>
        <rFont val="Myanmar Sangam MN"/>
        <b/>
        <color theme="1"/>
        <sz val="10.0"/>
      </rPr>
      <t>၁၁၆၈</t>
    </r>
  </si>
  <si>
    <r>
      <rPr>
        <rFont val="Myanmar Sangam MN"/>
        <b/>
        <color theme="1"/>
        <sz val="10.0"/>
      </rPr>
      <t>၄၂၈၈၂</t>
    </r>
  </si>
  <si>
    <r>
      <rPr>
        <rFont val="Myanmar Sangam MN"/>
        <b/>
        <color theme="1"/>
        <sz val="10.0"/>
      </rPr>
      <t>၁၄၃၆၂</t>
    </r>
  </si>
  <si>
    <r>
      <rPr>
        <rFont val="Myanmar Sangam MN"/>
        <b/>
        <color theme="1"/>
        <sz val="10.0"/>
      </rPr>
      <t>၅၇၂၄၄</t>
    </r>
  </si>
  <si>
    <r>
      <rPr>
        <rFont val="Myanmar Sangam MN"/>
        <color theme="1"/>
        <sz val="10.0"/>
      </rPr>
      <t>ဦးမင်းေဆွိုင်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</si>
  <si>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</si>
  <si>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၂၈၂၄၀</t>
    </r>
  </si>
  <si>
    <r>
      <rPr>
        <rFont val="Myanmar Sangam MN"/>
        <color theme="1"/>
        <sz val="10.0"/>
      </rPr>
      <t>၈၇၆၁</t>
    </r>
  </si>
  <si>
    <r>
      <rPr>
        <rFont val="Myanmar Sangam MN"/>
        <color theme="1"/>
        <sz val="10.0"/>
      </rPr>
      <t>၃၇၀၀၁</t>
    </r>
  </si>
  <si>
    <r>
      <rPr>
        <rFont val="Myanmar Sangam MN"/>
        <b/>
        <color theme="1"/>
        <sz val="9.0"/>
      </rPr>
      <t>၆၄.၆၄%</t>
    </r>
  </si>
  <si>
    <r>
      <rPr>
        <rFont val="Myanmar Sangam MN"/>
        <color theme="1"/>
        <sz val="10.0"/>
      </rPr>
      <t>ဦးစိန်ဝင်းထွန်း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</si>
  <si>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</si>
  <si>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၆၁၂၇</t>
    </r>
  </si>
  <si>
    <r>
      <rPr>
        <rFont val="Myanmar Sangam MN"/>
        <color theme="1"/>
        <sz val="10.0"/>
      </rPr>
      <t>၂၃၂၃</t>
    </r>
  </si>
  <si>
    <r>
      <rPr>
        <rFont val="Myanmar Sangam MN"/>
        <color theme="1"/>
        <sz val="10.0"/>
      </rPr>
      <t>၈၄၅၀</t>
    </r>
  </si>
  <si>
    <r>
      <rPr>
        <rFont val="Myanmar Sangam MN"/>
        <b/>
        <color theme="1"/>
        <sz val="9.0"/>
      </rPr>
      <t>၁၄.၇၆%</t>
    </r>
  </si>
  <si>
    <r>
      <rPr>
        <rFont val="Myanmar Sangam MN"/>
        <color theme="1"/>
        <sz val="10.0"/>
      </rPr>
      <t>ေဒထားထားေမ</t>
    </r>
  </si>
  <si>
    <r>
      <rPr>
        <rFont val="Myanmar Sangam MN"/>
        <color theme="1"/>
        <sz val="10.0"/>
      </rPr>
      <t>တိုင်းလိုင်(ရှမ်းနီ)အမျးိ သားများဖွံဖိး တိုးတက်ေရးပါတီ</t>
    </r>
  </si>
  <si>
    <r>
      <rPr>
        <rFont val="Myanmar Sangam MN"/>
        <color theme="1"/>
        <sz val="10.0"/>
      </rPr>
      <t>၄၆၉၈</t>
    </r>
  </si>
  <si>
    <r>
      <rPr>
        <rFont val="Myanmar Sangam MN"/>
        <color theme="1"/>
        <sz val="10.0"/>
      </rPr>
      <t>၁၅၄၉</t>
    </r>
  </si>
  <si>
    <r>
      <rPr>
        <rFont val="Myanmar Sangam MN"/>
        <color theme="1"/>
        <sz val="10.0"/>
      </rPr>
      <t>၆၂၄၇</t>
    </r>
  </si>
  <si>
    <r>
      <rPr>
        <rFont val="Myanmar Sangam MN"/>
        <b/>
        <color theme="1"/>
        <sz val="9.0"/>
      </rPr>
      <t>၁၀.၉၁%</t>
    </r>
  </si>
  <si>
    <r>
      <rPr>
        <rFont val="Myanmar Sangam MN"/>
        <color theme="1"/>
        <sz val="10.0"/>
      </rPr>
      <t>ဦးတင်ွန ်</t>
    </r>
  </si>
  <si>
    <r>
      <rPr>
        <rFont val="Myanmar Sangam MN"/>
        <color theme="1"/>
        <sz val="9.0"/>
      </rPr>
      <t>ရှမ်းနီ(တိုင်းလျန်)ေသွးစည်းညီွတ်ေရးပါတီ</t>
    </r>
  </si>
  <si>
    <r>
      <rPr>
        <rFont val="Myanmar Sangam MN"/>
        <color theme="1"/>
        <sz val="9.0"/>
      </rPr>
      <t>၂၁၇၁</t>
    </r>
  </si>
  <si>
    <r>
      <rPr>
        <rFont val="Myanmar Sangam MN"/>
        <color theme="1"/>
        <sz val="9.0"/>
      </rPr>
      <t>၉၆၄</t>
    </r>
  </si>
  <si>
    <r>
      <rPr>
        <rFont val="Myanmar Sangam MN"/>
        <color theme="1"/>
        <sz val="10.0"/>
      </rPr>
      <t>၃၁၃၅</t>
    </r>
  </si>
  <si>
    <r>
      <rPr>
        <rFont val="Myanmar Sangam MN"/>
        <b/>
        <color theme="1"/>
        <sz val="9.0"/>
      </rPr>
      <t>၅.၄၈%</t>
    </r>
  </si>
  <si>
    <r>
      <rPr>
        <rFont val="Myanmar Sangam MN"/>
        <color theme="1"/>
        <sz val="10.0"/>
      </rPr>
      <t>ေဒသင်းသင်းစိုး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</si>
  <si>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</si>
  <si>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၉၅၇</t>
    </r>
  </si>
  <si>
    <r>
      <rPr>
        <rFont val="Myanmar Sangam MN"/>
        <color theme="1"/>
        <sz val="10.0"/>
      </rPr>
      <t>၃၉၄</t>
    </r>
  </si>
  <si>
    <r>
      <rPr>
        <rFont val="Myanmar Sangam MN"/>
        <color theme="1"/>
        <sz val="10.0"/>
      </rPr>
      <t>၁၃၅၁</t>
    </r>
  </si>
  <si>
    <r>
      <rPr>
        <rFont val="Myanmar Sangam MN"/>
        <b/>
        <color theme="1"/>
        <sz val="9.0"/>
      </rPr>
      <t>၂.၃၆%</t>
    </r>
  </si>
  <si>
    <r>
      <rPr>
        <rFont val="Myanmar Sangam MN"/>
        <color theme="1"/>
        <sz val="10.0"/>
      </rPr>
      <t>ဦးတင်ေမာင်သိန်း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</si>
  <si>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</si>
  <si>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၃၉၉</t>
    </r>
  </si>
  <si>
    <r>
      <rPr>
        <rFont val="Myanmar Sangam MN"/>
        <color theme="1"/>
        <sz val="10.0"/>
      </rPr>
      <t>၂၂၀</t>
    </r>
  </si>
  <si>
    <r>
      <rPr>
        <rFont val="Myanmar Sangam MN"/>
        <color theme="1"/>
        <sz val="10.0"/>
      </rPr>
      <t>၆၁၉</t>
    </r>
  </si>
  <si>
    <r>
      <rPr>
        <rFont val="Myanmar Sangam MN"/>
        <b/>
        <color theme="1"/>
        <sz val="9.0"/>
      </rPr>
      <t>၁.၀၈%</t>
    </r>
  </si>
  <si>
    <r>
      <rPr>
        <rFont val="Myanmar Sangam MN"/>
        <color theme="1"/>
        <sz val="10.0"/>
      </rPr>
      <t>ဦးမျးိ သန ်လင်း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</si>
  <si>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</si>
  <si>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၂၉၀</t>
    </r>
  </si>
  <si>
    <r>
      <rPr>
        <rFont val="Myanmar Sangam MN"/>
        <color theme="1"/>
        <sz val="10.0"/>
      </rPr>
      <t>၁၅၁</t>
    </r>
  </si>
  <si>
    <r>
      <rPr>
        <rFont val="Myanmar Sangam MN"/>
        <color theme="1"/>
        <sz val="10.0"/>
      </rPr>
      <t>၄၄၁</t>
    </r>
  </si>
  <si>
    <r>
      <rPr>
        <rFont val="Myanmar Sangam MN"/>
        <b/>
        <color theme="1"/>
        <sz val="9.0"/>
      </rPr>
      <t>၀.၇၇%</t>
    </r>
  </si>
  <si>
    <r>
      <rPr>
        <rFont val="Myanmar Sangam MN"/>
        <b/>
        <color theme="1"/>
        <sz val="10.0"/>
      </rPr>
      <t>၈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</si>
  <si>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</si>
  <si>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၇၇၉၂၉</t>
    </r>
  </si>
  <si>
    <r>
      <rPr>
        <rFont val="Myanmar Sangam MN"/>
        <b/>
        <color theme="1"/>
        <sz val="10.0"/>
      </rPr>
      <t>၄၂၈၁၉</t>
    </r>
  </si>
  <si>
    <r>
      <rPr>
        <rFont val="Myanmar Sangam MN"/>
        <b/>
        <color theme="1"/>
        <sz val="10.0"/>
      </rPr>
      <t>၁၁၁၂၃</t>
    </r>
  </si>
  <si>
    <r>
      <rPr>
        <rFont val="Myanmar Sangam MN"/>
        <b/>
        <color theme="1"/>
        <sz val="10.0"/>
      </rPr>
      <t>၅၃၉၄၂</t>
    </r>
  </si>
  <si>
    <r>
      <rPr>
        <rFont val="Myanmar Sangam MN"/>
        <b/>
        <color theme="1"/>
        <sz val="10.0"/>
      </rPr>
      <t>၆၉.၂၂</t>
    </r>
  </si>
  <si>
    <r>
      <rPr>
        <rFont val="Myanmar Sangam MN"/>
        <b/>
        <color theme="1"/>
        <sz val="10.0"/>
      </rPr>
      <t>၁၄၃၈</t>
    </r>
  </si>
  <si>
    <r>
      <rPr>
        <rFont val="Myanmar Sangam MN"/>
        <b/>
        <color theme="1"/>
        <sz val="10.0"/>
      </rPr>
      <t>၂၂</t>
    </r>
  </si>
  <si>
    <r>
      <rPr>
        <rFont val="Myanmar Sangam MN"/>
        <b/>
        <color theme="1"/>
        <sz val="10.0"/>
      </rPr>
      <t>၁၄၆၀</t>
    </r>
  </si>
  <si>
    <r>
      <rPr>
        <rFont val="Myanmar Sangam MN"/>
        <b/>
        <color theme="1"/>
        <sz val="10.0"/>
      </rPr>
      <t>၄၁၆၁၅</t>
    </r>
  </si>
  <si>
    <r>
      <rPr>
        <rFont val="Myanmar Sangam MN"/>
        <b/>
        <color theme="1"/>
        <sz val="10.0"/>
      </rPr>
      <t>၁၀၈၆၇</t>
    </r>
  </si>
  <si>
    <r>
      <rPr>
        <rFont val="Myanmar Sangam MN"/>
        <b/>
        <color theme="1"/>
        <sz val="10.0"/>
      </rPr>
      <t>၅၂၄၈၂</t>
    </r>
  </si>
  <si>
    <r>
      <rPr>
        <rFont val="Myanmar Sangam MN"/>
        <color theme="1"/>
        <sz val="10.0"/>
      </rPr>
      <t>ေဒခင်ှင်းေထွး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</si>
  <si>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</si>
  <si>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၂၁၉၅၅</t>
    </r>
  </si>
  <si>
    <r>
      <rPr>
        <rFont val="Myanmar Sangam MN"/>
        <color theme="1"/>
        <sz val="10.0"/>
      </rPr>
      <t>၅၄၁၃</t>
    </r>
  </si>
  <si>
    <r>
      <rPr>
        <rFont val="Myanmar Sangam MN"/>
        <color theme="1"/>
        <sz val="10.0"/>
      </rPr>
      <t>၂၇၃၆၈</t>
    </r>
  </si>
  <si>
    <r>
      <rPr>
        <rFont val="Myanmar Sangam MN"/>
        <b/>
        <color theme="1"/>
        <sz val="9.0"/>
      </rPr>
      <t>၅၂.၁၅%</t>
    </r>
  </si>
  <si>
    <r>
      <rPr>
        <rFont val="Myanmar Sangam MN"/>
        <color theme="1"/>
        <sz val="10.0"/>
      </rPr>
      <t>ဦးစိန်လွင်ဦး</t>
    </r>
  </si>
  <si>
    <r>
      <rPr>
        <rFont val="Myanmar Sangam MN"/>
        <color theme="1"/>
        <sz val="10.0"/>
      </rPr>
      <t>တိုင်းလိုင်(ရှမ်းနီ)အမျးိ သားများဖွံဖိး တိုးတက်ေရးပါတီ</t>
    </r>
  </si>
  <si>
    <r>
      <rPr>
        <rFont val="Myanmar Sangam MN"/>
        <color theme="1"/>
        <sz val="10.0"/>
      </rPr>
      <t>၁၀၂၉၄</t>
    </r>
  </si>
  <si>
    <r>
      <rPr>
        <rFont val="Myanmar Sangam MN"/>
        <color theme="1"/>
        <sz val="10.0"/>
      </rPr>
      <t>၂၅၈၉</t>
    </r>
  </si>
  <si>
    <r>
      <rPr>
        <rFont val="Myanmar Sangam MN"/>
        <color theme="1"/>
        <sz val="10.0"/>
      </rPr>
      <t>၁၂၈၈၃</t>
    </r>
  </si>
  <si>
    <r>
      <rPr>
        <rFont val="Myanmar Sangam MN"/>
        <b/>
        <color theme="1"/>
        <sz val="9.0"/>
      </rPr>
      <t>၂၄.၅၅%</t>
    </r>
  </si>
  <si>
    <r>
      <rPr>
        <rFont val="Myanmar Sangam MN"/>
        <color theme="1"/>
        <sz val="10.0"/>
      </rPr>
      <t>ဦးေဌးဝင်း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</si>
  <si>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</si>
  <si>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၆၈၀၃</t>
    </r>
  </si>
  <si>
    <r>
      <rPr>
        <rFont val="Myanmar Sangam MN"/>
        <color theme="1"/>
        <sz val="10.0"/>
      </rPr>
      <t>၁၈၆၂</t>
    </r>
  </si>
  <si>
    <r>
      <rPr>
        <rFont val="Myanmar Sangam MN"/>
        <color theme="1"/>
        <sz val="10.0"/>
      </rPr>
      <t>၈၆၆၅</t>
    </r>
  </si>
  <si>
    <r>
      <rPr>
        <rFont val="Myanmar Sangam MN"/>
        <b/>
        <color theme="1"/>
        <sz val="9.0"/>
      </rPr>
      <t>၁၆.၅၁%</t>
    </r>
  </si>
  <si>
    <r>
      <rPr>
        <rFont val="Myanmar Sangam MN"/>
        <color theme="1"/>
        <sz val="10.0"/>
      </rPr>
      <t>ဦးေဂျာ်ဆန်းေနာ်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</si>
  <si>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</si>
  <si>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၁၃၇၅</t>
    </r>
  </si>
  <si>
    <r>
      <rPr>
        <rFont val="Myanmar Sangam MN"/>
        <color theme="1"/>
        <sz val="10.0"/>
      </rPr>
      <t>၃၈၃</t>
    </r>
  </si>
  <si>
    <r>
      <rPr>
        <rFont val="Myanmar Sangam MN"/>
        <color theme="1"/>
        <sz val="10.0"/>
      </rPr>
      <t>၁၇၅၈</t>
    </r>
  </si>
  <si>
    <r>
      <rPr>
        <rFont val="Myanmar Sangam MN"/>
        <b/>
        <color theme="1"/>
        <sz val="9.0"/>
      </rPr>
      <t>၃.၃၅%</t>
    </r>
  </si>
  <si>
    <r>
      <rPr>
        <rFont val="Myanmar Sangam MN"/>
        <color theme="1"/>
        <sz val="10.0"/>
      </rPr>
      <t>ဦးတင်ေငွေလး</t>
    </r>
  </si>
  <si>
    <r>
      <rPr>
        <rFont val="Myanmar Sangam MN"/>
        <color theme="1"/>
        <sz val="9.0"/>
      </rPr>
      <t>ရှမ်းနီ(တိုင်းလျန်)ေသွးစည်းညီွတ်ေရးပါတီ</t>
    </r>
  </si>
  <si>
    <r>
      <rPr>
        <rFont val="Myanmar Sangam MN"/>
        <color theme="1"/>
        <sz val="9.0"/>
      </rPr>
      <t>၈၄၁</t>
    </r>
  </si>
  <si>
    <r>
      <rPr>
        <rFont val="Myanmar Sangam MN"/>
        <color theme="1"/>
        <sz val="9.0"/>
      </rPr>
      <t>၄၁၆</t>
    </r>
  </si>
  <si>
    <r>
      <rPr>
        <rFont val="Myanmar Sangam MN"/>
        <color theme="1"/>
        <sz val="10.0"/>
      </rPr>
      <t>၁၂၅၇</t>
    </r>
  </si>
  <si>
    <r>
      <rPr>
        <rFont val="Myanmar Sangam MN"/>
        <b/>
        <color theme="1"/>
        <sz val="9.0"/>
      </rPr>
      <t>၂.၃၉%</t>
    </r>
  </si>
  <si>
    <r>
      <rPr>
        <rFont val="Myanmar Sangam MN"/>
        <color theme="1"/>
        <sz val="10.0"/>
      </rPr>
      <t>ဦးစိန်လင်း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</si>
  <si>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</si>
  <si>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၃၄၇</t>
    </r>
  </si>
  <si>
    <r>
      <rPr>
        <rFont val="Myanmar Sangam MN"/>
        <color theme="1"/>
        <sz val="10.0"/>
      </rPr>
      <t>၂၀၄</t>
    </r>
  </si>
  <si>
    <r>
      <rPr>
        <rFont val="Myanmar Sangam MN"/>
        <color theme="1"/>
        <sz val="10.0"/>
      </rPr>
      <t>၅၅၁</t>
    </r>
  </si>
  <si>
    <r>
      <rPr>
        <rFont val="Myanmar Sangam MN"/>
        <b/>
        <color theme="1"/>
        <sz val="9.0"/>
      </rPr>
      <t>၁.၀၅%</t>
    </r>
  </si>
  <si>
    <r>
      <rPr>
        <rFont val="Myanmar Sangam MN"/>
        <b/>
        <color theme="1"/>
        <sz val="10.0"/>
      </rPr>
      <t>၉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</si>
  <si>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</si>
  <si>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၁၉၃၃၂</t>
    </r>
  </si>
  <si>
    <r>
      <rPr>
        <rFont val="Myanmar Sangam MN"/>
        <b/>
        <color theme="1"/>
        <sz val="10.0"/>
      </rPr>
      <t>၁၁၉၂၂</t>
    </r>
  </si>
  <si>
    <r>
      <rPr>
        <rFont val="Myanmar Sangam MN"/>
        <b/>
        <color theme="1"/>
        <sz val="10.0"/>
      </rPr>
      <t>၂၇၇၉</t>
    </r>
  </si>
  <si>
    <r>
      <rPr>
        <rFont val="Myanmar Sangam MN"/>
        <b/>
        <color theme="1"/>
        <sz val="10.0"/>
      </rPr>
      <t>၁၄၇၀၁</t>
    </r>
  </si>
  <si>
    <r>
      <rPr>
        <rFont val="Myanmar Sangam MN"/>
        <b/>
        <color theme="1"/>
        <sz val="10.0"/>
      </rPr>
      <t>၇၆.၀၄</t>
    </r>
  </si>
  <si>
    <r>
      <rPr>
        <rFont val="Myanmar Sangam MN"/>
        <b/>
        <color theme="1"/>
        <sz val="10.0"/>
      </rPr>
      <t>၆၀၂</t>
    </r>
  </si>
  <si>
    <r>
      <rPr>
        <rFont val="Myanmar Sangam MN"/>
        <b/>
        <color theme="1"/>
        <sz val="10.0"/>
      </rPr>
      <t>၂</t>
    </r>
  </si>
  <si>
    <r>
      <rPr>
        <rFont val="Myanmar Sangam MN"/>
        <b/>
        <color theme="1"/>
        <sz val="10.0"/>
      </rPr>
      <t>၆၀၄</t>
    </r>
  </si>
  <si>
    <r>
      <rPr>
        <rFont val="Myanmar Sangam MN"/>
        <b/>
        <color theme="1"/>
        <sz val="10.0"/>
      </rPr>
      <t>၁၁၄၀၆</t>
    </r>
  </si>
  <si>
    <r>
      <rPr>
        <rFont val="Myanmar Sangam MN"/>
        <b/>
        <color theme="1"/>
        <sz val="10.0"/>
      </rPr>
      <t>၂၆၉၁</t>
    </r>
  </si>
  <si>
    <r>
      <rPr>
        <rFont val="Myanmar Sangam MN"/>
        <b/>
        <color theme="1"/>
        <sz val="10.0"/>
      </rPr>
      <t>၁၄၀၉၇</t>
    </r>
  </si>
  <si>
    <r>
      <rPr>
        <rFont val="Myanmar Sangam MN"/>
        <color theme="1"/>
        <sz val="10.0"/>
      </rPr>
      <t>ဦးေခါတိန ်</t>
    </r>
  </si>
  <si>
    <r>
      <rPr>
        <rFont val="Myanmar Sangam MN"/>
        <color theme="1"/>
        <sz val="10.0"/>
      </rPr>
      <t>ဒီမိုကေရစီပါတီသစ်(ကချင်)ပါတီ</t>
    </r>
  </si>
  <si>
    <r>
      <rPr>
        <rFont val="Myanmar Sangam MN"/>
        <color theme="1"/>
        <sz val="10.0"/>
      </rPr>
      <t>၄၉၈၁</t>
    </r>
  </si>
  <si>
    <r>
      <rPr>
        <rFont val="Myanmar Sangam MN"/>
        <color theme="1"/>
        <sz val="10.0"/>
      </rPr>
      <t>၁၀၈၄</t>
    </r>
  </si>
  <si>
    <r>
      <rPr>
        <rFont val="Myanmar Sangam MN"/>
        <b/>
        <color theme="1"/>
        <sz val="10.0"/>
      </rPr>
      <t>၆၀၆၅</t>
    </r>
  </si>
  <si>
    <r>
      <rPr>
        <rFont val="Myanmar Sangam MN"/>
        <b/>
        <color theme="1"/>
        <sz val="9.0"/>
      </rPr>
      <t>၄၃.၀၂%</t>
    </r>
  </si>
  <si>
    <r>
      <rPr>
        <rFont val="Myanmar Sangam MN"/>
        <color theme="1"/>
        <sz val="10.0"/>
      </rPr>
      <t>ဦးေဇာင်းဒိုင်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</si>
  <si>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</si>
  <si>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၃၃၁၁</t>
    </r>
  </si>
  <si>
    <r>
      <rPr>
        <rFont val="Myanmar Sangam MN"/>
        <color theme="1"/>
        <sz val="10.0"/>
      </rPr>
      <t>၈၇၇</t>
    </r>
  </si>
  <si>
    <r>
      <rPr>
        <rFont val="Myanmar Sangam MN"/>
        <b/>
        <color theme="1"/>
        <sz val="10.0"/>
      </rPr>
      <t>၄၁၈၈</t>
    </r>
  </si>
  <si>
    <r>
      <rPr>
        <rFont val="Myanmar Sangam MN"/>
        <b/>
        <color theme="1"/>
        <sz val="9.0"/>
      </rPr>
      <t>၂၉.၇၁%</t>
    </r>
  </si>
  <si>
    <r>
      <rPr>
        <rFont val="Myanmar Sangam MN"/>
        <color theme="1"/>
        <sz val="10.0"/>
      </rPr>
      <t>ဦးေယာနာ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</si>
  <si>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</si>
  <si>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၁၄၉၂</t>
    </r>
  </si>
  <si>
    <r>
      <rPr>
        <rFont val="Myanmar Sangam MN"/>
        <color theme="1"/>
        <sz val="10.0"/>
      </rPr>
      <t>၂၂၀</t>
    </r>
  </si>
  <si>
    <r>
      <rPr>
        <rFont val="Myanmar Sangam MN"/>
        <b/>
        <color theme="1"/>
        <sz val="10.0"/>
      </rPr>
      <t>၁၇၁၂</t>
    </r>
  </si>
  <si>
    <r>
      <rPr>
        <rFont val="Myanmar Sangam MN"/>
        <b/>
        <color theme="1"/>
        <sz val="9.0"/>
      </rPr>
      <t>၁၂.၁၄%</t>
    </r>
  </si>
  <si>
    <r>
      <rPr>
        <rFont val="Myanmar Sangam MN"/>
        <color theme="1"/>
        <sz val="10.0"/>
      </rPr>
      <t>ဦးမရစ်တူး(ခ) ဦးအိုင်ဇက်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</si>
  <si>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</si>
  <si>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၉၁၇</t>
    </r>
  </si>
  <si>
    <r>
      <rPr>
        <rFont val="Myanmar Sangam MN"/>
        <color theme="1"/>
        <sz val="10.0"/>
      </rPr>
      <t>၃၀၃</t>
    </r>
  </si>
  <si>
    <r>
      <rPr>
        <rFont val="Myanmar Sangam MN"/>
        <b/>
        <color theme="1"/>
        <sz val="10.0"/>
      </rPr>
      <t>၁၂၂၀</t>
    </r>
  </si>
  <si>
    <r>
      <rPr>
        <rFont val="Myanmar Sangam MN"/>
        <b/>
        <color theme="1"/>
        <sz val="9.0"/>
      </rPr>
      <t>၈.၆၅%</t>
    </r>
  </si>
  <si>
    <r>
      <rPr>
        <rFont val="Myanmar Sangam MN"/>
        <color theme="1"/>
        <sz val="10.0"/>
      </rPr>
      <t>ဦးဂျံးဇယ်</t>
    </r>
  </si>
  <si>
    <r>
      <rPr>
        <rFont val="Myanmar Sangam MN"/>
        <color theme="1"/>
        <sz val="9.0"/>
      </rPr>
      <t>ေလာ်ေဝအမျးသားစည်းလုံးညီွတ်ေရးှင့် ဖွံဖိးေရးပါတီ</t>
    </r>
  </si>
  <si>
    <r>
      <rPr>
        <rFont val="Myanmar Sangam MN"/>
        <color theme="1"/>
        <sz val="9.0"/>
      </rPr>
      <t>၅၈၆</t>
    </r>
  </si>
  <si>
    <r>
      <rPr>
        <rFont val="Myanmar Sangam MN"/>
        <color theme="1"/>
        <sz val="9.0"/>
      </rPr>
      <t>၁၇၂</t>
    </r>
  </si>
  <si>
    <r>
      <rPr>
        <rFont val="Myanmar Sangam MN"/>
        <b/>
        <color theme="1"/>
        <sz val="10.0"/>
      </rPr>
      <t>၇၅၈</t>
    </r>
  </si>
  <si>
    <r>
      <rPr>
        <rFont val="Myanmar Sangam MN"/>
        <b/>
        <color theme="1"/>
        <sz val="9.0"/>
      </rPr>
      <t>၅.၃၈%</t>
    </r>
  </si>
  <si>
    <r>
      <rPr>
        <rFont val="Myanmar Sangam MN"/>
        <color theme="1"/>
        <sz val="10.0"/>
      </rPr>
      <t>ဦးေဇာင်းေခါင်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</si>
  <si>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</si>
  <si>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၁၁၉</t>
    </r>
  </si>
  <si>
    <r>
      <rPr>
        <rFont val="Myanmar Sangam MN"/>
        <color theme="1"/>
        <sz val="10.0"/>
      </rPr>
      <t>၃၅</t>
    </r>
  </si>
  <si>
    <r>
      <rPr>
        <rFont val="Myanmar Sangam MN"/>
        <b/>
        <color theme="1"/>
        <sz val="10.0"/>
      </rPr>
      <t>၁၅၄</t>
    </r>
  </si>
  <si>
    <r>
      <rPr>
        <rFont val="Myanmar Sangam MN"/>
        <b/>
        <color theme="1"/>
        <sz val="9.0"/>
      </rPr>
      <t>၁.၁၀%</t>
    </r>
  </si>
  <si>
    <r>
      <rPr>
        <rFont val="Myanmar Sangam MN"/>
        <b/>
        <color theme="1"/>
        <sz val="10.0"/>
      </rPr>
      <t>၁၀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</si>
  <si>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</si>
  <si>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၃၄၃၄၉</t>
    </r>
  </si>
  <si>
    <r>
      <rPr>
        <rFont val="Myanmar Sangam MN"/>
        <b/>
        <color theme="1"/>
        <sz val="10.0"/>
      </rPr>
      <t>၁၇၀၅၈</t>
    </r>
  </si>
  <si>
    <r>
      <rPr>
        <rFont val="Myanmar Sangam MN"/>
        <b/>
        <color theme="1"/>
        <sz val="10.0"/>
      </rPr>
      <t>၅၇၁၇</t>
    </r>
  </si>
  <si>
    <r>
      <rPr>
        <rFont val="Myanmar Sangam MN"/>
        <b/>
        <color theme="1"/>
        <sz val="10.0"/>
      </rPr>
      <t>၂၂၇၇၅</t>
    </r>
  </si>
  <si>
    <r>
      <rPr>
        <rFont val="Myanmar Sangam MN"/>
        <b/>
        <color theme="1"/>
        <sz val="10.0"/>
      </rPr>
      <t>၆၆.၃၀</t>
    </r>
  </si>
  <si>
    <r>
      <rPr>
        <rFont val="Myanmar Sangam MN"/>
        <b/>
        <color theme="1"/>
        <sz val="10.0"/>
      </rPr>
      <t>၇၃၁</t>
    </r>
  </si>
  <si>
    <r>
      <rPr>
        <rFont val="Myanmar Sangam MN"/>
        <b/>
        <color theme="1"/>
        <sz val="10.0"/>
      </rPr>
      <t>-</t>
    </r>
  </si>
  <si>
    <r>
      <rPr>
        <rFont val="Myanmar Sangam MN"/>
        <b/>
        <color theme="1"/>
        <sz val="10.0"/>
      </rPr>
      <t>၇၃၁</t>
    </r>
  </si>
  <si>
    <r>
      <rPr>
        <rFont val="Myanmar Sangam MN"/>
        <b/>
        <color theme="1"/>
        <sz val="10.0"/>
      </rPr>
      <t>၁၆၄၇၇</t>
    </r>
  </si>
  <si>
    <r>
      <rPr>
        <rFont val="Myanmar Sangam MN"/>
        <b/>
        <color theme="1"/>
        <sz val="10.0"/>
      </rPr>
      <t>၅၅၆၇</t>
    </r>
  </si>
  <si>
    <r>
      <rPr>
        <rFont val="Myanmar Sangam MN"/>
        <b/>
        <color theme="1"/>
        <sz val="10.0"/>
      </rPr>
      <t>၂၂၀၄၄</t>
    </r>
  </si>
  <si>
    <r>
      <rPr>
        <rFont val="Myanmar Sangam MN"/>
        <color rgb="FF000000"/>
        <sz val="9.0"/>
      </rPr>
      <t xml:space="preserve">ဦးအင်ဝမ်ခန်းေဇာ်တန်
</t>
    </r>
    <r>
      <rPr>
        <rFont val="Myanmar Sangam MN"/>
        <color rgb="FF000000"/>
        <sz val="9.0"/>
      </rPr>
      <t>(ခ)ေဇာ်တန်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</si>
  <si>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</si>
  <si>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၆၇၆၄</t>
    </r>
  </si>
  <si>
    <r>
      <rPr>
        <rFont val="Myanmar Sangam MN"/>
        <color theme="1"/>
        <sz val="10.0"/>
      </rPr>
      <t>၁၅၅၇</t>
    </r>
  </si>
  <si>
    <r>
      <rPr>
        <rFont val="Myanmar Sangam MN"/>
        <color theme="1"/>
        <sz val="10.0"/>
      </rPr>
      <t>၈၃၂၁</t>
    </r>
  </si>
  <si>
    <r>
      <rPr>
        <rFont val="Myanmar Sangam MN"/>
        <b/>
        <color theme="1"/>
        <sz val="9.0"/>
      </rPr>
      <t>၃၇.၇၅%</t>
    </r>
  </si>
  <si>
    <r>
      <rPr>
        <rFont val="Myanmar Sangam MN"/>
        <color theme="1"/>
        <sz val="10.0"/>
      </rPr>
      <t>ဦးလဂန်ငန်ဆိုင်း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</si>
  <si>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</si>
  <si>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၄၉၉၅</t>
    </r>
  </si>
  <si>
    <r>
      <rPr>
        <rFont val="Myanmar Sangam MN"/>
        <color theme="1"/>
        <sz val="10.0"/>
      </rPr>
      <t>၂၅၇၂</t>
    </r>
  </si>
  <si>
    <r>
      <rPr>
        <rFont val="Myanmar Sangam MN"/>
        <color theme="1"/>
        <sz val="10.0"/>
      </rPr>
      <t>၇၅၆၇</t>
    </r>
  </si>
  <si>
    <r>
      <rPr>
        <rFont val="Myanmar Sangam MN"/>
        <b/>
        <color theme="1"/>
        <sz val="9.0"/>
      </rPr>
      <t>၃၄.၃၃%</t>
    </r>
  </si>
  <si>
    <r>
      <rPr>
        <rFont val="Myanmar Sangam MN"/>
        <color theme="1"/>
        <sz val="10.0"/>
      </rPr>
      <t>ဦးဆမတ်ေနာ်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</si>
  <si>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</si>
  <si>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၂၄၂၄</t>
    </r>
  </si>
  <si>
    <r>
      <rPr>
        <rFont val="Myanmar Sangam MN"/>
        <color theme="1"/>
        <sz val="10.0"/>
      </rPr>
      <t>၈၅၈</t>
    </r>
  </si>
  <si>
    <r>
      <rPr>
        <rFont val="Myanmar Sangam MN"/>
        <color theme="1"/>
        <sz val="10.0"/>
      </rPr>
      <t>၃၂၈၂</t>
    </r>
  </si>
  <si>
    <r>
      <rPr>
        <rFont val="Myanmar Sangam MN"/>
        <b/>
        <color theme="1"/>
        <sz val="9.0"/>
      </rPr>
      <t>၁၄.၈၈%</t>
    </r>
  </si>
  <si>
    <r>
      <rPr>
        <rFont val="Myanmar Sangam MN"/>
        <color theme="1"/>
        <sz val="10.0"/>
      </rPr>
      <t>ဦးအားဖူ(ခ)ငွါးတား</t>
    </r>
  </si>
  <si>
    <r>
      <rPr>
        <rFont val="Myanmar Sangam MN"/>
        <color theme="1"/>
        <sz val="10.0"/>
      </rPr>
      <t>လီဆူအမျးိ သားဖွံဖိးတိုးတက်ေရးပါတီ</t>
    </r>
  </si>
  <si>
    <r>
      <rPr>
        <rFont val="Myanmar Sangam MN"/>
        <color theme="1"/>
        <sz val="10.0"/>
      </rPr>
      <t>၂၀၂၂</t>
    </r>
  </si>
  <si>
    <r>
      <rPr>
        <rFont val="Myanmar Sangam MN"/>
        <color theme="1"/>
        <sz val="10.0"/>
      </rPr>
      <t>၄၂၅</t>
    </r>
  </si>
  <si>
    <r>
      <rPr>
        <rFont val="Myanmar Sangam MN"/>
        <color theme="1"/>
        <sz val="10.0"/>
      </rPr>
      <t>၂၄၄၇</t>
    </r>
  </si>
  <si>
    <r>
      <rPr>
        <rFont val="Myanmar Sangam MN"/>
        <b/>
        <color theme="1"/>
        <sz val="9.0"/>
      </rPr>
      <t>၁၁.၁၀%</t>
    </r>
  </si>
  <si>
    <r>
      <rPr>
        <rFont val="Myanmar Sangam MN"/>
        <color theme="1"/>
        <sz val="10.0"/>
      </rPr>
      <t>ဦးဘရန်ေရှာင်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</si>
  <si>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</si>
  <si>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၂၇၂</t>
    </r>
  </si>
  <si>
    <r>
      <rPr>
        <rFont val="Myanmar Sangam MN"/>
        <color theme="1"/>
        <sz val="10.0"/>
      </rPr>
      <t>၁၅၅</t>
    </r>
  </si>
  <si>
    <r>
      <rPr>
        <rFont val="Myanmar Sangam MN"/>
        <color theme="1"/>
        <sz val="10.0"/>
      </rPr>
      <t>၄၂၇</t>
    </r>
  </si>
  <si>
    <r>
      <rPr>
        <rFont val="Myanmar Sangam MN"/>
        <b/>
        <color theme="1"/>
        <sz val="9.0"/>
      </rPr>
      <t>၁.၉၄%</t>
    </r>
  </si>
  <si>
    <r>
      <rPr>
        <rFont val="Myanmar Sangam MN"/>
        <b/>
        <color theme="1"/>
        <sz val="10.0"/>
      </rPr>
      <t>၁၁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</si>
  <si>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</si>
  <si>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၂၃၈၅၇၆</t>
    </r>
  </si>
  <si>
    <r>
      <rPr>
        <rFont val="Myanmar Sangam MN"/>
        <b/>
        <color theme="1"/>
        <sz val="10.0"/>
      </rPr>
      <t>၁၁၁၃၉၂</t>
    </r>
  </si>
  <si>
    <r>
      <rPr>
        <rFont val="Myanmar Sangam MN"/>
        <b/>
        <color theme="1"/>
        <sz val="10.0"/>
      </rPr>
      <t>၂၇၈၄၅</t>
    </r>
  </si>
  <si>
    <r>
      <rPr>
        <rFont val="Myanmar Sangam MN"/>
        <b/>
        <color theme="1"/>
        <sz val="10.0"/>
      </rPr>
      <t>၁၃၉၂၃၇</t>
    </r>
  </si>
  <si>
    <r>
      <rPr>
        <rFont val="Myanmar Sangam MN"/>
        <b/>
        <color theme="1"/>
        <sz val="10.0"/>
      </rPr>
      <t>၅၈.၃၆</t>
    </r>
  </si>
  <si>
    <r>
      <rPr>
        <rFont val="Myanmar Sangam MN"/>
        <b/>
        <color theme="1"/>
        <sz val="10.0"/>
      </rPr>
      <t>၃၆၃၇</t>
    </r>
  </si>
  <si>
    <r>
      <rPr>
        <rFont val="Myanmar Sangam MN"/>
        <b/>
        <color theme="1"/>
        <sz val="10.0"/>
      </rPr>
      <t>၅၇</t>
    </r>
  </si>
  <si>
    <r>
      <rPr>
        <rFont val="Myanmar Sangam MN"/>
        <b/>
        <color theme="1"/>
        <sz val="10.0"/>
      </rPr>
      <t>၃၆၉၄</t>
    </r>
  </si>
  <si>
    <r>
      <rPr>
        <rFont val="Myanmar Sangam MN"/>
        <b/>
        <color theme="1"/>
        <sz val="10.0"/>
      </rPr>
      <t>၁၀၈၄၃၈</t>
    </r>
  </si>
  <si>
    <r>
      <rPr>
        <rFont val="Myanmar Sangam MN"/>
        <b/>
        <color theme="1"/>
        <sz val="10.0"/>
      </rPr>
      <t>၂၇၁၀၅</t>
    </r>
  </si>
  <si>
    <r>
      <rPr>
        <rFont val="Myanmar Sangam MN"/>
        <b/>
        <color theme="1"/>
        <sz val="10.0"/>
      </rPr>
      <t>၁၃၅၅၄၃</t>
    </r>
  </si>
  <si>
    <r>
      <rPr>
        <rFont val="Myanmar Sangam MN"/>
        <color theme="1"/>
        <sz val="10.0"/>
      </rPr>
      <t>ဦးအင်ထုံးခါးေနာ်ဆမ်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</si>
  <si>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</si>
  <si>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၅၅၉၁၃</t>
    </r>
  </si>
  <si>
    <r>
      <rPr>
        <rFont val="Myanmar Sangam MN"/>
        <color theme="1"/>
        <sz val="10.0"/>
      </rPr>
      <t>၁၂၀၅၉</t>
    </r>
  </si>
  <si>
    <r>
      <rPr>
        <rFont val="Myanmar Sangam MN"/>
        <color theme="1"/>
        <sz val="10.0"/>
      </rPr>
      <t>၆၇၉၇၂</t>
    </r>
  </si>
  <si>
    <r>
      <rPr>
        <rFont val="Myanmar Sangam MN"/>
        <b/>
        <color theme="1"/>
        <sz val="9.0"/>
      </rPr>
      <t>၅၀.၁၅%</t>
    </r>
  </si>
  <si>
    <r>
      <rPr>
        <rFont val="Myanmar Sangam MN"/>
        <color theme="1"/>
        <sz val="10.0"/>
      </rPr>
      <t>ဦးဆီဟူးေဒွ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</si>
  <si>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</si>
  <si>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၂၀၃၇၉</t>
    </r>
  </si>
  <si>
    <r>
      <rPr>
        <rFont val="Myanmar Sangam MN"/>
        <color theme="1"/>
        <sz val="10.0"/>
      </rPr>
      <t>၇၅၂၈</t>
    </r>
  </si>
  <si>
    <r>
      <rPr>
        <rFont val="Myanmar Sangam MN"/>
        <color theme="1"/>
        <sz val="10.0"/>
      </rPr>
      <t>၂၇၉၀၇</t>
    </r>
  </si>
  <si>
    <r>
      <rPr>
        <rFont val="Myanmar Sangam MN"/>
        <b/>
        <color theme="1"/>
        <sz val="9.0"/>
      </rPr>
      <t>၂၀.၅၉%</t>
    </r>
  </si>
  <si>
    <r>
      <rPr>
        <rFont val="Myanmar Sangam MN"/>
        <color theme="1"/>
        <sz val="10.0"/>
      </rPr>
      <t>ေဒဒွဲဘူ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</si>
  <si>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</si>
  <si>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၂၁၀၃၀</t>
    </r>
  </si>
  <si>
    <r>
      <rPr>
        <rFont val="Myanmar Sangam MN"/>
        <color theme="1"/>
        <sz val="10.0"/>
      </rPr>
      <t>၄၅၇၇</t>
    </r>
  </si>
  <si>
    <r>
      <rPr>
        <rFont val="Myanmar Sangam MN"/>
        <color theme="1"/>
        <sz val="10.0"/>
      </rPr>
      <t>၂၅၆၀၇</t>
    </r>
  </si>
  <si>
    <r>
      <rPr>
        <rFont val="Myanmar Sangam MN"/>
        <b/>
        <color theme="1"/>
        <sz val="9.0"/>
      </rPr>
      <t>၁၈.၈၉%</t>
    </r>
  </si>
  <si>
    <r>
      <rPr>
        <rFont val="Myanmar Sangam MN"/>
        <color theme="1"/>
        <sz val="10.0"/>
      </rPr>
      <t>ဦးေကျာ်စိုးမိုးဝင်း</t>
    </r>
  </si>
  <si>
    <r>
      <rPr>
        <rFont val="Myanmar Sangam MN"/>
        <color theme="1"/>
        <sz val="10.0"/>
      </rPr>
      <t>တိုင်းလိုင်(ရှမ်းနီ)အမျးိ သားများဖွံဖိး တိုးတက်ေရးပါတီ</t>
    </r>
  </si>
  <si>
    <r>
      <rPr>
        <rFont val="Myanmar Sangam MN"/>
        <color theme="1"/>
        <sz val="10.0"/>
      </rPr>
      <t>၅၂၃၇</t>
    </r>
  </si>
  <si>
    <r>
      <rPr>
        <rFont val="Myanmar Sangam MN"/>
        <color theme="1"/>
        <sz val="10.0"/>
      </rPr>
      <t>၁၂၅၇</t>
    </r>
  </si>
  <si>
    <r>
      <rPr>
        <rFont val="Myanmar Sangam MN"/>
        <color theme="1"/>
        <sz val="10.0"/>
      </rPr>
      <t>၆၄၉၄</t>
    </r>
  </si>
  <si>
    <r>
      <rPr>
        <rFont val="Myanmar Sangam MN"/>
        <b/>
        <color theme="1"/>
        <sz val="9.0"/>
      </rPr>
      <t>၄.၇၉%</t>
    </r>
  </si>
  <si>
    <r>
      <rPr>
        <rFont val="Myanmar Sangam MN"/>
        <color theme="1"/>
        <sz val="10.0"/>
      </rPr>
      <t>ေဒေခါန်မိုင်</t>
    </r>
  </si>
  <si>
    <r>
      <rPr>
        <rFont val="Myanmar Sangam MN"/>
        <color theme="1"/>
        <sz val="10.0"/>
      </rPr>
      <t>ြပည်သူ အကျးိ ြပေကျာင်းသားများပါတီ</t>
    </r>
  </si>
  <si>
    <r>
      <rPr>
        <rFont val="Myanmar Sangam MN"/>
        <color theme="1"/>
        <sz val="10.0"/>
      </rPr>
      <t>၄၈၅၀</t>
    </r>
  </si>
  <si>
    <r>
      <rPr>
        <rFont val="Myanmar Sangam MN"/>
        <color theme="1"/>
        <sz val="10.0"/>
      </rPr>
      <t>၁၂၃၁</t>
    </r>
  </si>
  <si>
    <r>
      <rPr>
        <rFont val="Myanmar Sangam MN"/>
        <color theme="1"/>
        <sz val="10.0"/>
      </rPr>
      <t>၆၀၈၁</t>
    </r>
  </si>
  <si>
    <r>
      <rPr>
        <rFont val="Myanmar Sangam MN"/>
        <b/>
        <color theme="1"/>
        <sz val="9.0"/>
      </rPr>
      <t>၄.၄၉%</t>
    </r>
  </si>
  <si>
    <r>
      <rPr>
        <rFont val="Myanmar Sangam MN"/>
        <color theme="1"/>
        <sz val="10.0"/>
      </rPr>
      <t>ဦးလွန်းေခါင်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</si>
  <si>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</si>
  <si>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၁၀၂၉</t>
    </r>
  </si>
  <si>
    <r>
      <rPr>
        <rFont val="Myanmar Sangam MN"/>
        <color theme="1"/>
        <sz val="10.0"/>
      </rPr>
      <t>၄၅၃</t>
    </r>
  </si>
  <si>
    <r>
      <rPr>
        <rFont val="Myanmar Sangam MN"/>
        <color theme="1"/>
        <sz val="10.0"/>
      </rPr>
      <t>၁၄၈၂</t>
    </r>
  </si>
  <si>
    <r>
      <rPr>
        <rFont val="Myanmar Sangam MN"/>
        <b/>
        <color theme="1"/>
        <sz val="9.0"/>
      </rPr>
      <t>၁.၀၉%</t>
    </r>
  </si>
  <si>
    <r>
      <rPr>
        <rFont val="Myanmar Sangam MN"/>
        <b/>
        <color theme="1"/>
        <sz val="10.0"/>
      </rPr>
      <t>၁၂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</si>
  <si>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</si>
  <si>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၉၄၁၅၃</t>
    </r>
  </si>
  <si>
    <r>
      <rPr>
        <rFont val="Myanmar Sangam MN"/>
        <b/>
        <color theme="1"/>
        <sz val="10.0"/>
      </rPr>
      <t>၄၄၁၁၉</t>
    </r>
  </si>
  <si>
    <r>
      <rPr>
        <rFont val="Myanmar Sangam MN"/>
        <b/>
        <color theme="1"/>
        <sz val="10.0"/>
      </rPr>
      <t>၁၄၁၁၅</t>
    </r>
  </si>
  <si>
    <r>
      <rPr>
        <rFont val="Myanmar Sangam MN"/>
        <b/>
        <color theme="1"/>
        <sz val="10.0"/>
      </rPr>
      <t>၅၈၂၃၄</t>
    </r>
  </si>
  <si>
    <r>
      <rPr>
        <rFont val="Myanmar Sangam MN"/>
        <b/>
        <color theme="1"/>
        <sz val="10.0"/>
      </rPr>
      <t>၆၁.၈၅</t>
    </r>
  </si>
  <si>
    <r>
      <rPr>
        <rFont val="Myanmar Sangam MN"/>
        <b/>
        <color theme="1"/>
        <sz val="10.0"/>
      </rPr>
      <t>၂၁၃၇</t>
    </r>
  </si>
  <si>
    <r>
      <rPr>
        <rFont val="Myanmar Sangam MN"/>
        <b/>
        <color theme="1"/>
        <sz val="10.0"/>
      </rPr>
      <t>၁၄</t>
    </r>
  </si>
  <si>
    <r>
      <rPr>
        <rFont val="Myanmar Sangam MN"/>
        <b/>
        <color theme="1"/>
        <sz val="10.0"/>
      </rPr>
      <t>၂၁၅၁</t>
    </r>
  </si>
  <si>
    <r>
      <rPr>
        <rFont val="Myanmar Sangam MN"/>
        <b/>
        <color theme="1"/>
        <sz val="10.0"/>
      </rPr>
      <t>၄၂၄၀၄</t>
    </r>
  </si>
  <si>
    <r>
      <rPr>
        <rFont val="Myanmar Sangam MN"/>
        <b/>
        <color theme="1"/>
        <sz val="10.0"/>
      </rPr>
      <t>၁၃၆၇၉</t>
    </r>
  </si>
  <si>
    <r>
      <rPr>
        <rFont val="Myanmar Sangam MN"/>
        <b/>
        <color theme="1"/>
        <sz val="10.0"/>
      </rPr>
      <t>၅၆၀၈၃</t>
    </r>
  </si>
  <si>
    <r>
      <rPr>
        <rFont val="Myanmar Sangam MN"/>
        <color theme="1"/>
        <sz val="10.0"/>
      </rPr>
      <t>ဦးဇယ်ေခါင်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</si>
  <si>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</si>
  <si>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၁၈၂၃၉</t>
    </r>
  </si>
  <si>
    <r>
      <rPr>
        <rFont val="Myanmar Sangam MN"/>
        <color theme="1"/>
        <sz val="10.0"/>
      </rPr>
      <t>၄၅၀၉</t>
    </r>
  </si>
  <si>
    <r>
      <rPr>
        <rFont val="Myanmar Sangam MN"/>
        <color theme="1"/>
        <sz val="10.0"/>
      </rPr>
      <t>၂၂၇၄၈</t>
    </r>
  </si>
  <si>
    <r>
      <rPr>
        <rFont val="Myanmar Sangam MN"/>
        <b/>
        <color theme="1"/>
        <sz val="9.0"/>
      </rPr>
      <t>၄၀.၅၆%</t>
    </r>
  </si>
  <si>
    <r>
      <rPr>
        <rFont val="Myanmar Sangam MN"/>
        <color theme="1"/>
        <sz val="10.0"/>
      </rPr>
      <t>ဦးေခဆာ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</si>
  <si>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</si>
  <si>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၅၆၆၀</t>
    </r>
  </si>
  <si>
    <r>
      <rPr>
        <rFont val="Myanmar Sangam MN"/>
        <color theme="1"/>
        <sz val="10.0"/>
      </rPr>
      <t>၃၅၃၀</t>
    </r>
  </si>
  <si>
    <r>
      <rPr>
        <rFont val="Myanmar Sangam MN"/>
        <color theme="1"/>
        <sz val="10.0"/>
      </rPr>
      <t>၉၁၉၀</t>
    </r>
  </si>
  <si>
    <r>
      <rPr>
        <rFont val="Myanmar Sangam MN"/>
        <b/>
        <color theme="1"/>
        <sz val="9.0"/>
      </rPr>
      <t>၁၆.၃၉%</t>
    </r>
  </si>
  <si>
    <r>
      <rPr>
        <rFont val="Myanmar Sangam MN"/>
        <color theme="1"/>
        <sz val="10.0"/>
      </rPr>
      <t>ဦးေနာ်ေတာင်</t>
    </r>
  </si>
  <si>
    <r>
      <rPr>
        <rFont val="Myanmar Sangam MN"/>
        <color theme="1"/>
        <sz val="10.0"/>
      </rPr>
      <t>ကချင်ြပည်နယ်ြပည်သူ ပါတီ</t>
    </r>
  </si>
  <si>
    <r>
      <rPr>
        <rFont val="Myanmar Sangam MN"/>
        <color theme="1"/>
        <sz val="10.0"/>
      </rPr>
      <t>၆၁၅၄</t>
    </r>
  </si>
  <si>
    <r>
      <rPr>
        <rFont val="Myanmar Sangam MN"/>
        <color theme="1"/>
        <sz val="10.0"/>
      </rPr>
      <t>၁၇၄၆</t>
    </r>
  </si>
  <si>
    <r>
      <rPr>
        <rFont val="Myanmar Sangam MN"/>
        <color theme="1"/>
        <sz val="10.0"/>
      </rPr>
      <t>၇၉၀၀</t>
    </r>
  </si>
  <si>
    <r>
      <rPr>
        <rFont val="Myanmar Sangam MN"/>
        <b/>
        <color theme="1"/>
        <sz val="9.0"/>
      </rPr>
      <t>၁၄.၀၉%</t>
    </r>
  </si>
  <si>
    <r>
      <rPr>
        <rFont val="Myanmar Sangam MN"/>
        <color theme="1"/>
        <sz val="10.0"/>
      </rPr>
      <t>ဦးသိန်းလင်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</si>
  <si>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</si>
  <si>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၃၀၃၃</t>
    </r>
  </si>
  <si>
    <r>
      <rPr>
        <rFont val="Myanmar Sangam MN"/>
        <color theme="1"/>
        <sz val="9.0"/>
      </rPr>
      <t>၇၂၉</t>
    </r>
  </si>
  <si>
    <r>
      <rPr>
        <rFont val="Myanmar Sangam MN"/>
        <color theme="1"/>
        <sz val="10.0"/>
      </rPr>
      <t>၃၇၆၂</t>
    </r>
  </si>
  <si>
    <r>
      <rPr>
        <rFont val="Myanmar Sangam MN"/>
        <b/>
        <color theme="1"/>
        <sz val="9.0"/>
      </rPr>
      <t>၆.၇၁%</t>
    </r>
  </si>
  <si>
    <r>
      <rPr>
        <rFont val="Myanmar Sangam MN"/>
        <color theme="1"/>
        <sz val="10.0"/>
      </rPr>
      <t>ဦးေဘာမ်ေကွ</t>
    </r>
  </si>
  <si>
    <r>
      <rPr>
        <rFont val="Myanmar Sangam MN"/>
        <color theme="1"/>
        <sz val="10.0"/>
      </rPr>
      <t>ဒီမိုကေရစီပါတီသစ်(ကချင်)ပါတီ</t>
    </r>
  </si>
  <si>
    <r>
      <rPr>
        <rFont val="Myanmar Sangam MN"/>
        <color theme="1"/>
        <sz val="10.0"/>
      </rPr>
      <t>၂၄၅၃</t>
    </r>
  </si>
  <si>
    <r>
      <rPr>
        <rFont val="Myanmar Sangam MN"/>
        <color theme="1"/>
        <sz val="10.0"/>
      </rPr>
      <t>၇၂၇</t>
    </r>
  </si>
  <si>
    <r>
      <rPr>
        <rFont val="Myanmar Sangam MN"/>
        <color theme="1"/>
        <sz val="10.0"/>
      </rPr>
      <t>၃၁၈၀</t>
    </r>
  </si>
  <si>
    <r>
      <rPr>
        <rFont val="Myanmar Sangam MN"/>
        <b/>
        <color theme="1"/>
        <sz val="9.0"/>
      </rPr>
      <t>၅.၆၇%</t>
    </r>
  </si>
  <si>
    <r>
      <rPr>
        <rFont val="Myanmar Sangam MN"/>
        <color theme="1"/>
        <sz val="10.0"/>
      </rPr>
      <t>ဦးလခမ်ေဒါင်ခမ့်</t>
    </r>
  </si>
  <si>
    <r>
      <rPr>
        <rFont val="Myanmar Sangam MN"/>
        <color theme="1"/>
        <sz val="9.0"/>
      </rPr>
      <t>ေလာ်ေဝအမျးသားစည်းလုံးညီွတ်ေရးှင့် ဖွံဖိးေရးပါတီ</t>
    </r>
  </si>
  <si>
    <r>
      <rPr>
        <rFont val="Myanmar Sangam MN"/>
        <color theme="1"/>
        <sz val="9.0"/>
      </rPr>
      <t>၁၈၀၆</t>
    </r>
  </si>
  <si>
    <r>
      <rPr>
        <rFont val="Myanmar Sangam MN"/>
        <color theme="1"/>
        <sz val="9.0"/>
      </rPr>
      <t>၆၇၀</t>
    </r>
  </si>
  <si>
    <r>
      <rPr>
        <rFont val="Myanmar Sangam MN"/>
        <color theme="1"/>
        <sz val="10.0"/>
      </rPr>
      <t>၂၄၇၆</t>
    </r>
  </si>
  <si>
    <r>
      <rPr>
        <rFont val="Myanmar Sangam MN"/>
        <b/>
        <color theme="1"/>
        <sz val="9.0"/>
      </rPr>
      <t>၄.၄၁%</t>
    </r>
  </si>
  <si>
    <r>
      <rPr>
        <rFont val="Myanmar Sangam MN"/>
        <color theme="1"/>
        <sz val="10.0"/>
      </rPr>
      <t>ဦးေဘာမ်ယိန်း</t>
    </r>
  </si>
  <si>
    <r>
      <rPr>
        <rFont val="Myanmar Sangam MN"/>
        <color theme="1"/>
        <sz val="10.0"/>
      </rPr>
      <t>ကချင်အမျးိ သားကွန်ဂရက်ပါတီ</t>
    </r>
  </si>
  <si>
    <r>
      <rPr>
        <rFont val="Myanmar Sangam MN"/>
        <color theme="1"/>
        <sz val="10.0"/>
      </rPr>
      <t>၁၆၂၂</t>
    </r>
  </si>
  <si>
    <r>
      <rPr>
        <rFont val="Myanmar Sangam MN"/>
        <color theme="1"/>
        <sz val="10.0"/>
      </rPr>
      <t>၅၁၄</t>
    </r>
  </si>
  <si>
    <r>
      <rPr>
        <rFont val="Myanmar Sangam MN"/>
        <color theme="1"/>
        <sz val="10.0"/>
      </rPr>
      <t>၂၁၃၆</t>
    </r>
  </si>
  <si>
    <r>
      <rPr>
        <rFont val="Myanmar Sangam MN"/>
        <b/>
        <color theme="1"/>
        <sz val="9.0"/>
      </rPr>
      <t>၃.၈၁%</t>
    </r>
  </si>
  <si>
    <r>
      <rPr>
        <rFont val="Myanmar Sangam MN"/>
        <color theme="1"/>
        <sz val="10.0"/>
      </rPr>
      <t>ဦးထွန်းငိမ်း</t>
    </r>
  </si>
  <si>
    <r>
      <rPr>
        <rFont val="Myanmar Sangam MN"/>
        <color rgb="FF000000"/>
        <sz val="10.0"/>
      </rPr>
      <t xml:space="preserve">တိုင်းလိုင်(ရှမ်းနီ)အမျးိ သားများဖွံဖိး
</t>
    </r>
    <r>
      <rPr>
        <rFont val="Myanmar Sangam MN"/>
        <color rgb="FF000000"/>
        <sz val="10.0"/>
      </rPr>
      <t>တိုးတက်ေရးပါတီ</t>
    </r>
  </si>
  <si>
    <r>
      <rPr>
        <rFont val="Myanmar Sangam MN"/>
        <color theme="1"/>
        <sz val="10.0"/>
      </rPr>
      <t>၁၃၃၁</t>
    </r>
  </si>
  <si>
    <r>
      <rPr>
        <rFont val="Myanmar Sangam MN"/>
        <color theme="1"/>
        <sz val="10.0"/>
      </rPr>
      <t>၄၂၇</t>
    </r>
  </si>
  <si>
    <r>
      <rPr>
        <rFont val="Myanmar Sangam MN"/>
        <color theme="1"/>
        <sz val="10.0"/>
      </rPr>
      <t>၁၇၅၈</t>
    </r>
  </si>
  <si>
    <r>
      <rPr>
        <rFont val="Myanmar Sangam MN"/>
        <b/>
        <color theme="1"/>
        <sz val="9.0"/>
      </rPr>
      <t>၃.၁၃%</t>
    </r>
  </si>
  <si>
    <r>
      <rPr>
        <rFont val="Myanmar Sangam MN"/>
        <color theme="1"/>
        <sz val="10.0"/>
      </rPr>
      <t>ေဒငွါးမေလး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</si>
  <si>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</si>
  <si>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၉၈၀</t>
    </r>
  </si>
  <si>
    <r>
      <rPr>
        <rFont val="Myanmar Sangam MN"/>
        <color theme="1"/>
        <sz val="10.0"/>
      </rPr>
      <t>၃၀၉</t>
    </r>
  </si>
  <si>
    <r>
      <rPr>
        <rFont val="Myanmar Sangam MN"/>
        <color theme="1"/>
        <sz val="10.0"/>
      </rPr>
      <t>၁၂၈၉</t>
    </r>
  </si>
  <si>
    <r>
      <rPr>
        <rFont val="Myanmar Sangam MN"/>
        <b/>
        <color theme="1"/>
        <sz val="9.0"/>
      </rPr>
      <t>၂.၃၀%</t>
    </r>
  </si>
  <si>
    <r>
      <rPr>
        <rFont val="Myanmar Sangam MN"/>
        <color theme="1"/>
        <sz val="10.0"/>
      </rPr>
      <t>ဦးဆန်ေပါင်း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</si>
  <si>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</si>
  <si>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၆၇၇</t>
    </r>
  </si>
  <si>
    <r>
      <rPr>
        <rFont val="Myanmar Sangam MN"/>
        <color theme="1"/>
        <sz val="10.0"/>
      </rPr>
      <t>၂၆၅</t>
    </r>
  </si>
  <si>
    <r>
      <rPr>
        <rFont val="Myanmar Sangam MN"/>
        <color theme="1"/>
        <sz val="10.0"/>
      </rPr>
      <t>၉၄၂</t>
    </r>
  </si>
  <si>
    <r>
      <rPr>
        <rFont val="Myanmar Sangam MN"/>
        <b/>
        <color theme="1"/>
        <sz val="9.0"/>
      </rPr>
      <t>၁.၆၈%</t>
    </r>
  </si>
  <si>
    <r>
      <rPr>
        <rFont val="Myanmar Sangam MN"/>
        <color theme="1"/>
        <sz val="10.0"/>
      </rPr>
      <t>ဦးဂမ်ဆိုင်း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</si>
  <si>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</si>
  <si>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၄၄၉</t>
    </r>
  </si>
  <si>
    <r>
      <rPr>
        <rFont val="Myanmar Sangam MN"/>
        <color theme="1"/>
        <sz val="10.0"/>
      </rPr>
      <t>၂၅၃</t>
    </r>
  </si>
  <si>
    <r>
      <rPr>
        <rFont val="Myanmar Sangam MN"/>
        <color theme="1"/>
        <sz val="10.0"/>
      </rPr>
      <t>၇၀၂</t>
    </r>
  </si>
  <si>
    <r>
      <rPr>
        <rFont val="Myanmar Sangam MN"/>
        <b/>
        <color theme="1"/>
        <sz val="9.0"/>
      </rPr>
      <t>၁.၂၅%</t>
    </r>
  </si>
  <si>
    <r>
      <rPr>
        <rFont val="Myanmar Sangam MN"/>
        <b/>
        <color theme="1"/>
        <sz val="10.0"/>
      </rPr>
      <t>ကယားြပည်နယ်</t>
    </r>
  </si>
  <si>
    <r>
      <rPr>
        <rFont val="Myanmar Sangam MN"/>
        <b/>
        <color theme="1"/>
        <sz val="10.0"/>
      </rPr>
      <t>၂၁၂၉၁၆</t>
    </r>
  </si>
  <si>
    <r>
      <rPr>
        <rFont val="Myanmar Sangam MN"/>
        <b/>
        <color theme="1"/>
        <sz val="10.0"/>
      </rPr>
      <t>၁၂၈၄၆၄</t>
    </r>
  </si>
  <si>
    <r>
      <rPr>
        <rFont val="Myanmar Sangam MN"/>
        <b/>
        <color theme="1"/>
        <sz val="10.0"/>
      </rPr>
      <t>၃၄၃၅၇</t>
    </r>
  </si>
  <si>
    <r>
      <rPr>
        <rFont val="Myanmar Sangam MN"/>
        <b/>
        <color theme="1"/>
        <sz val="10.0"/>
      </rPr>
      <t>၁၆၂၈၂၁</t>
    </r>
  </si>
  <si>
    <r>
      <rPr>
        <rFont val="Myanmar Sangam MN"/>
        <b/>
        <color theme="1"/>
        <sz val="10.0"/>
      </rPr>
      <t>၇၆.၄၇</t>
    </r>
  </si>
  <si>
    <r>
      <rPr>
        <rFont val="Myanmar Sangam MN"/>
        <b/>
        <color theme="1"/>
        <sz val="10.0"/>
      </rPr>
      <t>၆၄၆၅</t>
    </r>
  </si>
  <si>
    <r>
      <rPr>
        <rFont val="Myanmar Sangam MN"/>
        <b/>
        <color theme="1"/>
        <sz val="10.0"/>
      </rPr>
      <t>၉၉</t>
    </r>
  </si>
  <si>
    <r>
      <rPr>
        <rFont val="Myanmar Sangam MN"/>
        <b/>
        <color theme="1"/>
        <sz val="10.0"/>
      </rPr>
      <t>၆၅၆၄</t>
    </r>
  </si>
  <si>
    <r>
      <rPr>
        <rFont val="Myanmar Sangam MN"/>
        <b/>
        <color theme="1"/>
        <sz val="10.0"/>
      </rPr>
      <t>၁၂၂၄၉၂</t>
    </r>
  </si>
  <si>
    <r>
      <rPr>
        <rFont val="Myanmar Sangam MN"/>
        <b/>
        <color theme="1"/>
        <sz val="10.0"/>
      </rPr>
      <t>၃၃၇၆၅</t>
    </r>
  </si>
  <si>
    <r>
      <rPr>
        <rFont val="Myanmar Sangam MN"/>
        <b/>
        <color theme="1"/>
        <sz val="10.0"/>
      </rPr>
      <t>၁၅၆၂၅၇</t>
    </r>
  </si>
  <si>
    <r>
      <rPr>
        <rFont val="Myanmar Sangam MN"/>
        <b/>
        <color theme="1"/>
        <sz val="10.0"/>
      </rPr>
      <t>၁၃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</si>
  <si>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</si>
  <si>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၆၄၁၆</t>
    </r>
  </si>
  <si>
    <r>
      <rPr>
        <rFont val="Myanmar Sangam MN"/>
        <b/>
        <color theme="1"/>
        <sz val="10.0"/>
      </rPr>
      <t>၃၃၈၅</t>
    </r>
  </si>
  <si>
    <r>
      <rPr>
        <rFont val="Myanmar Sangam MN"/>
        <b/>
        <color theme="1"/>
        <sz val="10.0"/>
      </rPr>
      <t>၁၃၃၅</t>
    </r>
  </si>
  <si>
    <r>
      <rPr>
        <rFont val="Myanmar Sangam MN"/>
        <b/>
        <color theme="1"/>
        <sz val="10.0"/>
      </rPr>
      <t>၄၇၂၀</t>
    </r>
  </si>
  <si>
    <r>
      <rPr>
        <rFont val="Myanmar Sangam MN"/>
        <b/>
        <color theme="1"/>
        <sz val="10.0"/>
      </rPr>
      <t>၇၃.၅၇</t>
    </r>
  </si>
  <si>
    <r>
      <rPr>
        <rFont val="Myanmar Sangam MN"/>
        <b/>
        <color theme="1"/>
        <sz val="10.0"/>
      </rPr>
      <t>၁၆၄</t>
    </r>
  </si>
  <si>
    <r>
      <rPr>
        <rFont val="Myanmar Sangam MN"/>
        <b/>
        <color theme="1"/>
        <sz val="10.0"/>
      </rPr>
      <t>၁</t>
    </r>
  </si>
  <si>
    <r>
      <rPr>
        <rFont val="Myanmar Sangam MN"/>
        <b/>
        <color theme="1"/>
        <sz val="10.0"/>
      </rPr>
      <t>၁၆၅</t>
    </r>
  </si>
  <si>
    <r>
      <rPr>
        <rFont val="Myanmar Sangam MN"/>
        <b/>
        <color theme="1"/>
        <sz val="10.0"/>
      </rPr>
      <t>၃၂၄၁</t>
    </r>
  </si>
  <si>
    <r>
      <rPr>
        <rFont val="Myanmar Sangam MN"/>
        <b/>
        <color theme="1"/>
        <sz val="10.0"/>
      </rPr>
      <t>၁၃၁၄</t>
    </r>
  </si>
  <si>
    <r>
      <rPr>
        <rFont val="Myanmar Sangam MN"/>
        <b/>
        <color theme="1"/>
        <sz val="10.0"/>
      </rPr>
      <t>၄၅၅၅</t>
    </r>
  </si>
  <si>
    <r>
      <rPr>
        <rFont val="Myanmar Sangam MN"/>
        <color theme="1"/>
        <sz val="10.0"/>
      </rPr>
      <t>ဦးလှသိန်း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</si>
  <si>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</si>
  <si>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၁၇၁၅</t>
    </r>
  </si>
  <si>
    <r>
      <rPr>
        <rFont val="Myanmar Sangam MN"/>
        <color theme="1"/>
        <sz val="10.0"/>
      </rPr>
      <t>၄၆၆</t>
    </r>
  </si>
  <si>
    <r>
      <rPr>
        <rFont val="Myanmar Sangam MN"/>
        <color theme="1"/>
        <sz val="10.0"/>
      </rPr>
      <t>၂၁၈၁</t>
    </r>
  </si>
  <si>
    <r>
      <rPr>
        <rFont val="Myanmar Sangam MN"/>
        <b/>
        <color theme="1"/>
        <sz val="9.0"/>
      </rPr>
      <t>၄၇.၈၈%</t>
    </r>
  </si>
  <si>
    <r>
      <rPr>
        <rFont val="Myanmar Sangam MN"/>
        <color theme="1"/>
        <sz val="9.0"/>
      </rPr>
      <t>ဦးဟယ်ရယ်ေသာင်းကည်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</si>
  <si>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</si>
  <si>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၉၅၉</t>
    </r>
  </si>
  <si>
    <r>
      <rPr>
        <rFont val="Myanmar Sangam MN"/>
        <color theme="1"/>
        <sz val="10.0"/>
      </rPr>
      <t>၆၄၄</t>
    </r>
  </si>
  <si>
    <r>
      <rPr>
        <rFont val="Myanmar Sangam MN"/>
        <color theme="1"/>
        <sz val="10.0"/>
      </rPr>
      <t>၁၆၀၃</t>
    </r>
  </si>
  <si>
    <r>
      <rPr>
        <rFont val="Myanmar Sangam MN"/>
        <b/>
        <color theme="1"/>
        <sz val="9.0"/>
      </rPr>
      <t>၃၅.၁၉%</t>
    </r>
  </si>
  <si>
    <r>
      <rPr>
        <rFont val="Myanmar Sangam MN"/>
        <color theme="1"/>
        <sz val="10.0"/>
      </rPr>
      <t>ေဒစုငယ်ေထွး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</si>
  <si>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</si>
  <si>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၄၇၃</t>
    </r>
  </si>
  <si>
    <r>
      <rPr>
        <rFont val="Myanmar Sangam MN"/>
        <color theme="1"/>
        <sz val="10.0"/>
      </rPr>
      <t>၁၃၆</t>
    </r>
  </si>
  <si>
    <r>
      <rPr>
        <rFont val="Myanmar Sangam MN"/>
        <color theme="1"/>
        <sz val="10.0"/>
      </rPr>
      <t>၆၀၉</t>
    </r>
  </si>
  <si>
    <r>
      <rPr>
        <rFont val="Myanmar Sangam MN"/>
        <b/>
        <color theme="1"/>
        <sz val="9.0"/>
      </rPr>
      <t>၁၃.၃၇%</t>
    </r>
  </si>
  <si>
    <r>
      <rPr>
        <rFont val="Myanmar Sangam MN"/>
        <color theme="1"/>
        <sz val="10.0"/>
      </rPr>
      <t>ဦးမရမ်ဂမ်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</si>
  <si>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</si>
  <si>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၄၆</t>
    </r>
  </si>
  <si>
    <r>
      <rPr>
        <rFont val="Myanmar Sangam MN"/>
        <color theme="1"/>
        <sz val="10.0"/>
      </rPr>
      <t>၄၄</t>
    </r>
  </si>
  <si>
    <r>
      <rPr>
        <rFont val="Myanmar Sangam MN"/>
        <color theme="1"/>
        <sz val="10.0"/>
      </rPr>
      <t>၉၀</t>
    </r>
  </si>
  <si>
    <r>
      <rPr>
        <rFont val="Myanmar Sangam MN"/>
        <b/>
        <color theme="1"/>
        <sz val="9.0"/>
      </rPr>
      <t>၁.၉၈%</t>
    </r>
  </si>
  <si>
    <r>
      <rPr>
        <rFont val="Myanmar Sangam MN"/>
        <color theme="1"/>
        <sz val="10.0"/>
      </rPr>
      <t>ဦးတင့်လွင်ထူး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</si>
  <si>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</si>
  <si>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၂၆</t>
    </r>
  </si>
  <si>
    <r>
      <rPr>
        <rFont val="Myanmar Sangam MN"/>
        <color theme="1"/>
        <sz val="10.0"/>
      </rPr>
      <t>၁၂</t>
    </r>
  </si>
  <si>
    <r>
      <rPr>
        <rFont val="Myanmar Sangam MN"/>
        <color theme="1"/>
        <sz val="10.0"/>
      </rPr>
      <t>၃၈</t>
    </r>
  </si>
  <si>
    <r>
      <rPr>
        <rFont val="Myanmar Sangam MN"/>
        <b/>
        <color theme="1"/>
        <sz val="9.0"/>
      </rPr>
      <t>၀.၈၃%</t>
    </r>
  </si>
  <si>
    <r>
      <rPr>
        <rFont val="Myanmar Sangam MN"/>
        <color theme="1"/>
        <sz val="10.0"/>
      </rPr>
      <t>ေဒြမတ်ေလး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</si>
  <si>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</si>
  <si>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၂၂</t>
    </r>
  </si>
  <si>
    <r>
      <rPr>
        <rFont val="Myanmar Sangam MN"/>
        <color theme="1"/>
        <sz val="10.0"/>
      </rPr>
      <t>၁၂</t>
    </r>
  </si>
  <si>
    <r>
      <rPr>
        <rFont val="Myanmar Sangam MN"/>
        <color theme="1"/>
        <sz val="10.0"/>
      </rPr>
      <t>၃၄</t>
    </r>
  </si>
  <si>
    <r>
      <rPr>
        <rFont val="Myanmar Sangam MN"/>
        <b/>
        <color theme="1"/>
        <sz val="9.0"/>
      </rPr>
      <t>၀.၇၅%</t>
    </r>
  </si>
  <si>
    <r>
      <rPr>
        <rFont val="Myanmar Sangam MN"/>
        <b/>
        <color theme="1"/>
        <sz val="10.0"/>
      </rPr>
      <t>၁၄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</si>
  <si>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</si>
  <si>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၁၀၄၉၆</t>
    </r>
  </si>
  <si>
    <r>
      <rPr>
        <rFont val="Myanmar Sangam MN"/>
        <b/>
        <color theme="1"/>
        <sz val="10.0"/>
      </rPr>
      <t>၄၉၈၆</t>
    </r>
  </si>
  <si>
    <r>
      <rPr>
        <rFont val="Myanmar Sangam MN"/>
        <b/>
        <color theme="1"/>
        <sz val="10.0"/>
      </rPr>
      <t>၇၇၅</t>
    </r>
  </si>
  <si>
    <r>
      <rPr>
        <rFont val="Myanmar Sangam MN"/>
        <b/>
        <color theme="1"/>
        <sz val="10.0"/>
      </rPr>
      <t>၅၇၆၁</t>
    </r>
  </si>
  <si>
    <r>
      <rPr>
        <rFont val="Myanmar Sangam MN"/>
        <b/>
        <color theme="1"/>
        <sz val="10.0"/>
      </rPr>
      <t>၅၄.၈၉</t>
    </r>
  </si>
  <si>
    <r>
      <rPr>
        <rFont val="Myanmar Sangam MN"/>
        <b/>
        <color theme="1"/>
        <sz val="10.0"/>
      </rPr>
      <t>၆၆၅</t>
    </r>
  </si>
  <si>
    <r>
      <rPr>
        <rFont val="Myanmar Sangam MN"/>
        <b/>
        <color theme="1"/>
        <sz val="10.0"/>
      </rPr>
      <t>၃</t>
    </r>
  </si>
  <si>
    <r>
      <rPr>
        <rFont val="Myanmar Sangam MN"/>
        <b/>
        <color theme="1"/>
        <sz val="10.0"/>
      </rPr>
      <t>၆၆၈</t>
    </r>
  </si>
  <si>
    <r>
      <rPr>
        <rFont val="Myanmar Sangam MN"/>
        <b/>
        <color theme="1"/>
        <sz val="10.0"/>
      </rPr>
      <t>၄၃၈၃</t>
    </r>
  </si>
  <si>
    <r>
      <rPr>
        <rFont val="Myanmar Sangam MN"/>
        <b/>
        <color theme="1"/>
        <sz val="10.0"/>
      </rPr>
      <t>၇၁၀</t>
    </r>
  </si>
  <si>
    <r>
      <rPr>
        <rFont val="Myanmar Sangam MN"/>
        <b/>
        <color theme="1"/>
        <sz val="10.0"/>
      </rPr>
      <t>၅၀၉၃</t>
    </r>
  </si>
  <si>
    <r>
      <rPr>
        <rFont val="Myanmar Sangam MN"/>
        <color theme="1"/>
        <sz val="10.0"/>
      </rPr>
      <t>ေစာဂန်အဲလ်ဘတ်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</si>
  <si>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</si>
  <si>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၂၄၉၉</t>
    </r>
  </si>
  <si>
    <r>
      <rPr>
        <rFont val="Myanmar Sangam MN"/>
        <color theme="1"/>
        <sz val="10.0"/>
      </rPr>
      <t>၂၅၅</t>
    </r>
  </si>
  <si>
    <r>
      <rPr>
        <rFont val="Myanmar Sangam MN"/>
        <color theme="1"/>
        <sz val="10.0"/>
      </rPr>
      <t>၂၇၅၄</t>
    </r>
  </si>
  <si>
    <r>
      <rPr>
        <rFont val="Myanmar Sangam MN"/>
        <b/>
        <color theme="1"/>
        <sz val="9.0"/>
      </rPr>
      <t>၅၄.၀၇%</t>
    </r>
  </si>
  <si>
    <r>
      <rPr>
        <rFont val="Myanmar Sangam MN"/>
        <color theme="1"/>
        <sz val="10.0"/>
      </rPr>
      <t xml:space="preserve">ဦးေစာြမေရ 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</si>
  <si>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</si>
  <si>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၆၆၁</t>
    </r>
  </si>
  <si>
    <r>
      <rPr>
        <rFont val="Myanmar Sangam MN"/>
        <color theme="1"/>
        <sz val="10.0"/>
      </rPr>
      <t>၁၈၈</t>
    </r>
  </si>
  <si>
    <r>
      <rPr>
        <rFont val="Myanmar Sangam MN"/>
        <color theme="1"/>
        <sz val="10.0"/>
      </rPr>
      <t>၈၄၉</t>
    </r>
  </si>
  <si>
    <r>
      <rPr>
        <rFont val="Myanmar Sangam MN"/>
        <b/>
        <color theme="1"/>
        <sz val="9.0"/>
      </rPr>
      <t>၁၆.၆၇%</t>
    </r>
  </si>
  <si>
    <r>
      <rPr>
        <rFont val="Myanmar Sangam MN"/>
        <color theme="1"/>
        <sz val="10.0"/>
      </rPr>
      <t xml:space="preserve">ဦးေကျာ်စိုး(ခ)ဘိုဘိုေရ </t>
    </r>
  </si>
  <si>
    <r>
      <rPr>
        <rFont val="Myanmar Sangam MN"/>
        <color theme="1"/>
        <sz val="10.0"/>
      </rPr>
      <t>ကရင်အမျးိ သားပါတီ</t>
    </r>
  </si>
  <si>
    <r>
      <rPr>
        <rFont val="Myanmar Sangam MN"/>
        <color theme="1"/>
        <sz val="10.0"/>
      </rPr>
      <t>၅၈၉</t>
    </r>
  </si>
  <si>
    <r>
      <rPr>
        <rFont val="Myanmar Sangam MN"/>
        <color theme="1"/>
        <sz val="10.0"/>
      </rPr>
      <t>၈၁</t>
    </r>
  </si>
  <si>
    <r>
      <rPr>
        <rFont val="Myanmar Sangam MN"/>
        <color theme="1"/>
        <sz val="10.0"/>
      </rPr>
      <t>၆၇၀</t>
    </r>
  </si>
  <si>
    <r>
      <rPr>
        <rFont val="Myanmar Sangam MN"/>
        <b/>
        <color theme="1"/>
        <sz val="9.0"/>
      </rPr>
      <t>၁၃.၁၆%</t>
    </r>
  </si>
  <si>
    <r>
      <rPr>
        <rFont val="Myanmar Sangam MN"/>
        <color theme="1"/>
        <sz val="10.0"/>
      </rPr>
      <t>ေနာ်ုဒ်သာ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</si>
  <si>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</si>
  <si>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၄၇၃</t>
    </r>
  </si>
  <si>
    <r>
      <rPr>
        <rFont val="Myanmar Sangam MN"/>
        <color theme="1"/>
        <sz val="10.0"/>
      </rPr>
      <t>၁၃၇</t>
    </r>
  </si>
  <si>
    <r>
      <rPr>
        <rFont val="Myanmar Sangam MN"/>
        <color theme="1"/>
        <sz val="10.0"/>
      </rPr>
      <t>၆၁၀</t>
    </r>
  </si>
  <si>
    <r>
      <rPr>
        <rFont val="Myanmar Sangam MN"/>
        <b/>
        <color theme="1"/>
        <sz val="9.0"/>
      </rPr>
      <t>၁၁.၉၈%</t>
    </r>
  </si>
  <si>
    <r>
      <rPr>
        <rFont val="Myanmar Sangam MN"/>
        <color theme="1"/>
        <sz val="10.0"/>
      </rPr>
      <t>ေဒစုမာေအာင်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</si>
  <si>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</si>
  <si>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၉၇</t>
    </r>
  </si>
  <si>
    <r>
      <rPr>
        <rFont val="Myanmar Sangam MN"/>
        <color theme="1"/>
        <sz val="10.0"/>
      </rPr>
      <t>၂၃</t>
    </r>
  </si>
  <si>
    <r>
      <rPr>
        <rFont val="Myanmar Sangam MN"/>
        <color theme="1"/>
        <sz val="10.0"/>
      </rPr>
      <t>၁၂၀</t>
    </r>
  </si>
  <si>
    <r>
      <rPr>
        <rFont val="Myanmar Sangam MN"/>
        <b/>
        <color theme="1"/>
        <sz val="9.0"/>
      </rPr>
      <t>၂.၃၆%</t>
    </r>
  </si>
  <si>
    <r>
      <rPr>
        <rFont val="Myanmar Sangam MN"/>
        <color theme="1"/>
        <sz val="10.0"/>
      </rPr>
      <t>ဦးရဲိုင်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</si>
  <si>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</si>
  <si>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၄၁</t>
    </r>
  </si>
  <si>
    <r>
      <rPr>
        <rFont val="Myanmar Sangam MN"/>
        <color theme="1"/>
        <sz val="10.0"/>
      </rPr>
      <t>၇</t>
    </r>
  </si>
  <si>
    <r>
      <rPr>
        <rFont val="Myanmar Sangam MN"/>
        <color theme="1"/>
        <sz val="10.0"/>
      </rPr>
      <t>၄၈</t>
    </r>
  </si>
  <si>
    <r>
      <rPr>
        <rFont val="Myanmar Sangam MN"/>
        <b/>
        <color theme="1"/>
        <sz val="9.0"/>
      </rPr>
      <t>၀.၉၄%</t>
    </r>
  </si>
  <si>
    <r>
      <rPr>
        <rFont val="Myanmar Sangam MN"/>
        <color theme="1"/>
        <sz val="10.0"/>
      </rPr>
      <t>ေနာ်ဘွယ်ေလထူး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</si>
  <si>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</si>
  <si>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၂၃</t>
    </r>
  </si>
  <si>
    <r>
      <rPr>
        <rFont val="Myanmar Sangam MN"/>
        <color theme="1"/>
        <sz val="10.0"/>
      </rPr>
      <t>၁၉</t>
    </r>
  </si>
  <si>
    <r>
      <rPr>
        <rFont val="Myanmar Sangam MN"/>
        <color theme="1"/>
        <sz val="10.0"/>
      </rPr>
      <t>၄၂</t>
    </r>
  </si>
  <si>
    <r>
      <rPr>
        <rFont val="Myanmar Sangam MN"/>
        <b/>
        <color theme="1"/>
        <sz val="9.0"/>
      </rPr>
      <t>၀.၈၂%</t>
    </r>
  </si>
  <si>
    <r>
      <rPr>
        <rFont val="Myanmar Sangam MN"/>
        <b/>
        <color theme="1"/>
        <sz val="10.0"/>
      </rPr>
      <t>၁၅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</si>
  <si>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</si>
  <si>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၄၃၃၃</t>
    </r>
  </si>
  <si>
    <r>
      <rPr>
        <rFont val="Myanmar Sangam MN"/>
        <b/>
        <color theme="1"/>
        <sz val="10.0"/>
      </rPr>
      <t>၂၄၆၁</t>
    </r>
  </si>
  <si>
    <r>
      <rPr>
        <rFont val="Myanmar Sangam MN"/>
        <b/>
        <color theme="1"/>
        <sz val="10.0"/>
      </rPr>
      <t>၁၁၉၄</t>
    </r>
  </si>
  <si>
    <r>
      <rPr>
        <rFont val="Myanmar Sangam MN"/>
        <b/>
        <color theme="1"/>
        <sz val="10.0"/>
      </rPr>
      <t>၃၆၅၅</t>
    </r>
  </si>
  <si>
    <r>
      <rPr>
        <rFont val="Myanmar Sangam MN"/>
        <b/>
        <color theme="1"/>
        <sz val="10.0"/>
      </rPr>
      <t>၈၄.၃၅</t>
    </r>
  </si>
  <si>
    <r>
      <rPr>
        <rFont val="Myanmar Sangam MN"/>
        <b/>
        <color theme="1"/>
        <sz val="10.0"/>
      </rPr>
      <t>၇၇</t>
    </r>
  </si>
  <si>
    <r>
      <rPr>
        <rFont val="Myanmar Sangam MN"/>
        <b/>
        <color theme="1"/>
        <sz val="10.0"/>
      </rPr>
      <t>-</t>
    </r>
  </si>
  <si>
    <r>
      <rPr>
        <rFont val="Myanmar Sangam MN"/>
        <b/>
        <color theme="1"/>
        <sz val="10.0"/>
      </rPr>
      <t>၇၇</t>
    </r>
  </si>
  <si>
    <r>
      <rPr>
        <rFont val="Myanmar Sangam MN"/>
        <b/>
        <color theme="1"/>
        <sz val="10.0"/>
      </rPr>
      <t>၂၃၉၁</t>
    </r>
  </si>
  <si>
    <r>
      <rPr>
        <rFont val="Myanmar Sangam MN"/>
        <b/>
        <color theme="1"/>
        <sz val="10.0"/>
      </rPr>
      <t>၁၁၈၇</t>
    </r>
  </si>
  <si>
    <r>
      <rPr>
        <rFont val="Myanmar Sangam MN"/>
        <b/>
        <color theme="1"/>
        <sz val="10.0"/>
      </rPr>
      <t>၃၅၇၈</t>
    </r>
  </si>
  <si>
    <r>
      <rPr>
        <rFont val="Myanmar Sangam MN"/>
        <color theme="1"/>
        <sz val="10.0"/>
      </rPr>
      <t>ဦးေကျာ်သန်း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</si>
  <si>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</si>
  <si>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၉၃၈</t>
    </r>
  </si>
  <si>
    <r>
      <rPr>
        <rFont val="Myanmar Sangam MN"/>
        <color theme="1"/>
        <sz val="10.0"/>
      </rPr>
      <t>၅၆၀</t>
    </r>
  </si>
  <si>
    <r>
      <rPr>
        <rFont val="Myanmar Sangam MN"/>
        <color theme="1"/>
        <sz val="10.0"/>
      </rPr>
      <t>၁၄၉၈</t>
    </r>
  </si>
  <si>
    <r>
      <rPr>
        <rFont val="Myanmar Sangam MN"/>
        <b/>
        <color theme="1"/>
        <sz val="9.0"/>
      </rPr>
      <t>၄၁.၈၇%</t>
    </r>
  </si>
  <si>
    <r>
      <rPr>
        <rFont val="Myanmar Sangam MN"/>
        <color theme="1"/>
        <sz val="10.0"/>
      </rPr>
      <t>ဦးဝင်းေဇာ်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</si>
  <si>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</si>
  <si>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၇၈၈</t>
    </r>
  </si>
  <si>
    <r>
      <rPr>
        <rFont val="Myanmar Sangam MN"/>
        <color theme="1"/>
        <sz val="10.0"/>
      </rPr>
      <t>၃၁၁</t>
    </r>
  </si>
  <si>
    <r>
      <rPr>
        <rFont val="Myanmar Sangam MN"/>
        <color theme="1"/>
        <sz val="10.0"/>
      </rPr>
      <t>၁၀၉၉</t>
    </r>
  </si>
  <si>
    <r>
      <rPr>
        <rFont val="Myanmar Sangam MN"/>
        <b/>
        <color theme="1"/>
        <sz val="9.0"/>
      </rPr>
      <t>၃၀.၇၂%</t>
    </r>
  </si>
  <si>
    <r>
      <rPr>
        <rFont val="Myanmar Sangam MN"/>
        <color theme="1"/>
        <sz val="10.0"/>
      </rPr>
      <t>ဦးရဲရင့်စိုးွန 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</si>
  <si>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</si>
  <si>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၂၀၅</t>
    </r>
  </si>
  <si>
    <r>
      <rPr>
        <rFont val="Myanmar Sangam MN"/>
        <color theme="1"/>
        <sz val="10.0"/>
      </rPr>
      <t>၁၁၄</t>
    </r>
  </si>
  <si>
    <r>
      <rPr>
        <rFont val="Myanmar Sangam MN"/>
        <color theme="1"/>
        <sz val="10.0"/>
      </rPr>
      <t>၃၁၉</t>
    </r>
  </si>
  <si>
    <r>
      <rPr>
        <rFont val="Myanmar Sangam MN"/>
        <b/>
        <color theme="1"/>
        <sz val="9.0"/>
      </rPr>
      <t>၈.၉၁%</t>
    </r>
  </si>
  <si>
    <r>
      <rPr>
        <rFont val="Myanmar Sangam MN"/>
        <color theme="1"/>
        <sz val="10.0"/>
      </rPr>
      <t>ဦးဝင်းြမင့်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</si>
  <si>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</si>
  <si>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၂၂၁</t>
    </r>
  </si>
  <si>
    <r>
      <rPr>
        <rFont val="Myanmar Sangam MN"/>
        <color theme="1"/>
        <sz val="10.0"/>
      </rPr>
      <t>၆၆</t>
    </r>
  </si>
  <si>
    <r>
      <rPr>
        <rFont val="Myanmar Sangam MN"/>
        <color theme="1"/>
        <sz val="10.0"/>
      </rPr>
      <t>၂၈၇</t>
    </r>
  </si>
  <si>
    <r>
      <rPr>
        <rFont val="Myanmar Sangam MN"/>
        <b/>
        <color theme="1"/>
        <sz val="9.0"/>
      </rPr>
      <t>၈.၀၂%</t>
    </r>
  </si>
  <si>
    <r>
      <rPr>
        <rFont val="Myanmar Sangam MN"/>
        <color theme="1"/>
        <sz val="10.0"/>
      </rPr>
      <t>ေဒေနာ်ဆာကေပထူး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</si>
  <si>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</si>
  <si>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၁၁၄</t>
    </r>
  </si>
  <si>
    <r>
      <rPr>
        <rFont val="Myanmar Sangam MN"/>
        <color theme="1"/>
        <sz val="10.0"/>
      </rPr>
      <t>၆၇</t>
    </r>
  </si>
  <si>
    <r>
      <rPr>
        <rFont val="Myanmar Sangam MN"/>
        <color theme="1"/>
        <sz val="10.0"/>
      </rPr>
      <t>၁၈၁</t>
    </r>
  </si>
  <si>
    <r>
      <rPr>
        <rFont val="Myanmar Sangam MN"/>
        <b/>
        <color theme="1"/>
        <sz val="9.0"/>
      </rPr>
      <t>၅.၀၆%</t>
    </r>
  </si>
  <si>
    <r>
      <rPr>
        <rFont val="Myanmar Sangam MN"/>
        <color theme="1"/>
        <sz val="10.0"/>
      </rPr>
      <t>ဦးေကျာ်ိုင်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</si>
  <si>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</si>
  <si>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၈၅</t>
    </r>
  </si>
  <si>
    <r>
      <rPr>
        <rFont val="Myanmar Sangam MN"/>
        <color theme="1"/>
        <sz val="10.0"/>
      </rPr>
      <t>၄၂</t>
    </r>
  </si>
  <si>
    <r>
      <rPr>
        <rFont val="Myanmar Sangam MN"/>
        <color theme="1"/>
        <sz val="10.0"/>
      </rPr>
      <t>၁၂၇</t>
    </r>
  </si>
  <si>
    <r>
      <rPr>
        <rFont val="Myanmar Sangam MN"/>
        <b/>
        <color theme="1"/>
        <sz val="9.0"/>
      </rPr>
      <t>၃.၅၅%</t>
    </r>
  </si>
  <si>
    <r>
      <rPr>
        <rFont val="Myanmar Sangam MN"/>
        <color theme="1"/>
        <sz val="10.0"/>
      </rPr>
      <t>ဦးေဇာ်မင်းဝင်း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</si>
  <si>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</si>
  <si>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၄၀</t>
    </r>
  </si>
  <si>
    <r>
      <rPr>
        <rFont val="Myanmar Sangam MN"/>
        <color theme="1"/>
        <sz val="10.0"/>
      </rPr>
      <t>၂၇</t>
    </r>
  </si>
  <si>
    <r>
      <rPr>
        <rFont val="Myanmar Sangam MN"/>
        <color theme="1"/>
        <sz val="10.0"/>
      </rPr>
      <t>၆၇</t>
    </r>
  </si>
  <si>
    <r>
      <rPr>
        <rFont val="Myanmar Sangam MN"/>
        <b/>
        <color theme="1"/>
        <sz val="9.0"/>
      </rPr>
      <t>၁.၈၇%</t>
    </r>
  </si>
  <si>
    <r>
      <rPr>
        <rFont val="Myanmar Sangam MN"/>
        <b/>
        <color theme="1"/>
        <sz val="10.0"/>
      </rPr>
      <t>၁၆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</si>
  <si>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</si>
  <si>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၃၈၇၄</t>
    </r>
  </si>
  <si>
    <r>
      <rPr>
        <rFont val="Myanmar Sangam MN"/>
        <b/>
        <color theme="1"/>
        <sz val="10.0"/>
      </rPr>
      <t>၂၄၉၅</t>
    </r>
  </si>
  <si>
    <r>
      <rPr>
        <rFont val="Myanmar Sangam MN"/>
        <b/>
        <color theme="1"/>
        <sz val="10.0"/>
      </rPr>
      <t>၁၀၄၇</t>
    </r>
  </si>
  <si>
    <r>
      <rPr>
        <rFont val="Myanmar Sangam MN"/>
        <b/>
        <color theme="1"/>
        <sz val="10.0"/>
      </rPr>
      <t>၃၅၄၂</t>
    </r>
  </si>
  <si>
    <r>
      <rPr>
        <rFont val="Myanmar Sangam MN"/>
        <b/>
        <color theme="1"/>
        <sz val="10.0"/>
      </rPr>
      <t>၉၁.၄၃</t>
    </r>
  </si>
  <si>
    <r>
      <rPr>
        <rFont val="Myanmar Sangam MN"/>
        <b/>
        <color theme="1"/>
        <sz val="10.0"/>
      </rPr>
      <t>၁၄၄</t>
    </r>
  </si>
  <si>
    <r>
      <rPr>
        <rFont val="Myanmar Sangam MN"/>
        <b/>
        <color theme="1"/>
        <sz val="10.0"/>
      </rPr>
      <t>-</t>
    </r>
  </si>
  <si>
    <r>
      <rPr>
        <rFont val="Myanmar Sangam MN"/>
        <b/>
        <color theme="1"/>
        <sz val="10.0"/>
      </rPr>
      <t>၁၄၄</t>
    </r>
  </si>
  <si>
    <r>
      <rPr>
        <rFont val="Myanmar Sangam MN"/>
        <b/>
        <color theme="1"/>
        <sz val="10.0"/>
      </rPr>
      <t>၂၃၈၅</t>
    </r>
  </si>
  <si>
    <r>
      <rPr>
        <rFont val="Myanmar Sangam MN"/>
        <b/>
        <color theme="1"/>
        <sz val="10.0"/>
      </rPr>
      <t>၁၀၁၃</t>
    </r>
  </si>
  <si>
    <r>
      <rPr>
        <rFont val="Myanmar Sangam MN"/>
        <b/>
        <color theme="1"/>
        <sz val="10.0"/>
      </rPr>
      <t>၃၃၉၈</t>
    </r>
  </si>
  <si>
    <r>
      <rPr>
        <rFont val="Myanmar Sangam MN"/>
        <color theme="1"/>
        <sz val="10.0"/>
      </rPr>
      <t xml:space="preserve">ဦးေအးေရ 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</si>
  <si>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</si>
  <si>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၉၇၀</t>
    </r>
  </si>
  <si>
    <r>
      <rPr>
        <rFont val="Myanmar Sangam MN"/>
        <color theme="1"/>
        <sz val="10.0"/>
      </rPr>
      <t>၄၇၅</t>
    </r>
  </si>
  <si>
    <r>
      <rPr>
        <rFont val="Myanmar Sangam MN"/>
        <color theme="1"/>
        <sz val="10.0"/>
      </rPr>
      <t>၁၄၄၅</t>
    </r>
  </si>
  <si>
    <r>
      <rPr>
        <rFont val="Myanmar Sangam MN"/>
        <b/>
        <color theme="1"/>
        <sz val="9.0"/>
      </rPr>
      <t>၄၂.၅၃%</t>
    </r>
  </si>
  <si>
    <r>
      <rPr>
        <rFont val="Myanmar Sangam MN"/>
        <color theme="1"/>
        <sz val="10.0"/>
      </rPr>
      <t>စိုင်းဟန်ေအး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</si>
  <si>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</si>
  <si>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၆၅၃</t>
    </r>
  </si>
  <si>
    <r>
      <rPr>
        <rFont val="Myanmar Sangam MN"/>
        <color theme="1"/>
        <sz val="10.0"/>
      </rPr>
      <t>၂၆၆</t>
    </r>
  </si>
  <si>
    <r>
      <rPr>
        <rFont val="Myanmar Sangam MN"/>
        <color theme="1"/>
        <sz val="10.0"/>
      </rPr>
      <t>၉၁၉</t>
    </r>
  </si>
  <si>
    <r>
      <rPr>
        <rFont val="Myanmar Sangam MN"/>
        <b/>
        <color theme="1"/>
        <sz val="9.0"/>
      </rPr>
      <t>၂၇.၀၄%</t>
    </r>
  </si>
  <si>
    <r>
      <rPr>
        <rFont val="Myanmar Sangam MN"/>
        <color theme="1"/>
        <sz val="10.0"/>
      </rPr>
      <t>ေဒစိုးရာ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</si>
  <si>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</si>
  <si>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၃၅၀</t>
    </r>
  </si>
  <si>
    <r>
      <rPr>
        <rFont val="Myanmar Sangam MN"/>
        <color theme="1"/>
        <sz val="10.0"/>
      </rPr>
      <t>၁၃၇</t>
    </r>
  </si>
  <si>
    <r>
      <rPr>
        <rFont val="Myanmar Sangam MN"/>
        <color theme="1"/>
        <sz val="10.0"/>
      </rPr>
      <t>၄၈၇</t>
    </r>
  </si>
  <si>
    <r>
      <rPr>
        <rFont val="Myanmar Sangam MN"/>
        <b/>
        <color theme="1"/>
        <sz val="9.0"/>
      </rPr>
      <t>၁၄.၃၃%</t>
    </r>
  </si>
  <si>
    <r>
      <rPr>
        <rFont val="Myanmar Sangam MN"/>
        <color theme="1"/>
        <sz val="10.0"/>
      </rPr>
      <t>ဦးေရ ဝင်း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</si>
  <si>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</si>
  <si>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၃၁၇</t>
    </r>
  </si>
  <si>
    <r>
      <rPr>
        <rFont val="Myanmar Sangam MN"/>
        <color theme="1"/>
        <sz val="10.0"/>
      </rPr>
      <t>၇၁</t>
    </r>
  </si>
  <si>
    <r>
      <rPr>
        <rFont val="Myanmar Sangam MN"/>
        <color theme="1"/>
        <sz val="10.0"/>
      </rPr>
      <t>၃၈၈</t>
    </r>
  </si>
  <si>
    <r>
      <rPr>
        <rFont val="Myanmar Sangam MN"/>
        <b/>
        <color theme="1"/>
        <sz val="9.0"/>
      </rPr>
      <t>၁၁.၄၂%</t>
    </r>
  </si>
  <si>
    <r>
      <rPr>
        <rFont val="Myanmar Sangam MN"/>
        <color theme="1"/>
        <sz val="10.0"/>
      </rPr>
      <t>ဦးေဖေအာင်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</si>
  <si>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</si>
  <si>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၇၄</t>
    </r>
  </si>
  <si>
    <r>
      <rPr>
        <rFont val="Myanmar Sangam MN"/>
        <color theme="1"/>
        <sz val="10.0"/>
      </rPr>
      <t>၅၀</t>
    </r>
  </si>
  <si>
    <r>
      <rPr>
        <rFont val="Myanmar Sangam MN"/>
        <color theme="1"/>
        <sz val="10.0"/>
      </rPr>
      <t>၁၂၄</t>
    </r>
  </si>
  <si>
    <r>
      <rPr>
        <rFont val="Myanmar Sangam MN"/>
        <b/>
        <color theme="1"/>
        <sz val="9.0"/>
      </rPr>
      <t>၃.၆၅%</t>
    </r>
  </si>
  <si>
    <r>
      <rPr>
        <rFont val="Myanmar Sangam MN"/>
        <color theme="1"/>
        <sz val="10.0"/>
      </rPr>
      <t>ဦးမိုးဝင်းထွဋ်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</si>
  <si>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</si>
  <si>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၁၀</t>
    </r>
  </si>
  <si>
    <r>
      <rPr>
        <rFont val="Myanmar Sangam MN"/>
        <color theme="1"/>
        <sz val="10.0"/>
      </rPr>
      <t>၉</t>
    </r>
  </si>
  <si>
    <r>
      <rPr>
        <rFont val="Myanmar Sangam MN"/>
        <color theme="1"/>
        <sz val="10.0"/>
      </rPr>
      <t>၁၉</t>
    </r>
  </si>
  <si>
    <r>
      <rPr>
        <rFont val="Myanmar Sangam MN"/>
        <b/>
        <color theme="1"/>
        <sz val="9.0"/>
      </rPr>
      <t>၀.၅၆%</t>
    </r>
  </si>
  <si>
    <r>
      <rPr>
        <rFont val="Myanmar Sangam MN"/>
        <color theme="1"/>
        <sz val="10.0"/>
      </rPr>
      <t>ဦးေစာဒါနီ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</si>
  <si>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</si>
  <si>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၁၁</t>
    </r>
  </si>
  <si>
    <r>
      <rPr>
        <rFont val="Myanmar Sangam MN"/>
        <color theme="1"/>
        <sz val="10.0"/>
      </rPr>
      <t>၅</t>
    </r>
  </si>
  <si>
    <r>
      <rPr>
        <rFont val="Myanmar Sangam MN"/>
        <color theme="1"/>
        <sz val="10.0"/>
      </rPr>
      <t>၁၆</t>
    </r>
  </si>
  <si>
    <r>
      <rPr>
        <rFont val="Myanmar Sangam MN"/>
        <b/>
        <color theme="1"/>
        <sz val="9.0"/>
      </rPr>
      <t>၀.၄၇%</t>
    </r>
  </si>
  <si>
    <r>
      <rPr>
        <rFont val="Myanmar Sangam MN"/>
        <b/>
        <color theme="1"/>
        <sz val="10.0"/>
      </rPr>
      <t>၁၇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</si>
  <si>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</si>
  <si>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၅၂၇၅</t>
    </r>
  </si>
  <si>
    <r>
      <rPr>
        <rFont val="Myanmar Sangam MN"/>
        <b/>
        <color theme="1"/>
        <sz val="10.0"/>
      </rPr>
      <t>၃၁၆၀</t>
    </r>
  </si>
  <si>
    <r>
      <rPr>
        <rFont val="Myanmar Sangam MN"/>
        <b/>
        <color theme="1"/>
        <sz val="10.0"/>
      </rPr>
      <t>၁၂၇၃</t>
    </r>
  </si>
  <si>
    <r>
      <rPr>
        <rFont val="Myanmar Sangam MN"/>
        <b/>
        <color theme="1"/>
        <sz val="10.0"/>
      </rPr>
      <t>၄၄၃၃</t>
    </r>
  </si>
  <si>
    <r>
      <rPr>
        <rFont val="Myanmar Sangam MN"/>
        <b/>
        <color theme="1"/>
        <sz val="10.0"/>
      </rPr>
      <t>၈၄.၀၄</t>
    </r>
  </si>
  <si>
    <r>
      <rPr>
        <rFont val="Myanmar Sangam MN"/>
        <b/>
        <color theme="1"/>
        <sz val="10.0"/>
      </rPr>
      <t>၂၄၃</t>
    </r>
  </si>
  <si>
    <r>
      <rPr>
        <rFont val="Myanmar Sangam MN"/>
        <b/>
        <color theme="1"/>
        <sz val="10.0"/>
      </rPr>
      <t>၁</t>
    </r>
  </si>
  <si>
    <r>
      <rPr>
        <rFont val="Myanmar Sangam MN"/>
        <b/>
        <color theme="1"/>
        <sz val="10.0"/>
      </rPr>
      <t>၂၄၄</t>
    </r>
  </si>
  <si>
    <r>
      <rPr>
        <rFont val="Myanmar Sangam MN"/>
        <b/>
        <color theme="1"/>
        <sz val="10.0"/>
      </rPr>
      <t>၃၀၀၀</t>
    </r>
  </si>
  <si>
    <r>
      <rPr>
        <rFont val="Myanmar Sangam MN"/>
        <b/>
        <color theme="1"/>
        <sz val="10.0"/>
      </rPr>
      <t>၁၁၈၉</t>
    </r>
  </si>
  <si>
    <r>
      <rPr>
        <rFont val="Myanmar Sangam MN"/>
        <b/>
        <color theme="1"/>
        <sz val="10.0"/>
      </rPr>
      <t>၄၁၈၉</t>
    </r>
  </si>
  <si>
    <r>
      <rPr>
        <rFont val="Myanmar Sangam MN"/>
        <color theme="1"/>
        <sz val="10.0"/>
      </rPr>
      <t>ဦးစိုင်းပန်ဖ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</si>
  <si>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</si>
  <si>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၁၇၅၂</t>
    </r>
  </si>
  <si>
    <r>
      <rPr>
        <rFont val="Myanmar Sangam MN"/>
        <color theme="1"/>
        <sz val="10.0"/>
      </rPr>
      <t>၅၇၉</t>
    </r>
  </si>
  <si>
    <r>
      <rPr>
        <rFont val="Myanmar Sangam MN"/>
        <color theme="1"/>
        <sz val="10.0"/>
      </rPr>
      <t>၂၃၃၁</t>
    </r>
  </si>
  <si>
    <r>
      <rPr>
        <rFont val="Myanmar Sangam MN"/>
        <b/>
        <color theme="1"/>
        <sz val="9.0"/>
      </rPr>
      <t>၅၅.၆၅%</t>
    </r>
  </si>
  <si>
    <r>
      <rPr>
        <rFont val="Myanmar Sangam MN"/>
        <color theme="1"/>
        <sz val="10.0"/>
      </rPr>
      <t>ဦးေအာင်ိုင်ဦး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</si>
  <si>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</si>
  <si>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၃၉၈</t>
    </r>
  </si>
  <si>
    <r>
      <rPr>
        <rFont val="Myanmar Sangam MN"/>
        <color theme="1"/>
        <sz val="10.0"/>
      </rPr>
      <t>၃၆၃</t>
    </r>
  </si>
  <si>
    <r>
      <rPr>
        <rFont val="Myanmar Sangam MN"/>
        <color theme="1"/>
        <sz val="10.0"/>
      </rPr>
      <t>၇၆၁</t>
    </r>
  </si>
  <si>
    <r>
      <rPr>
        <rFont val="Myanmar Sangam MN"/>
        <b/>
        <color theme="1"/>
        <sz val="9.0"/>
      </rPr>
      <t>၁၈.၁၇%</t>
    </r>
  </si>
  <si>
    <r>
      <rPr>
        <rFont val="Myanmar Sangam MN"/>
        <color theme="1"/>
        <sz val="10.0"/>
      </rPr>
      <t>ဦးေကျာ်ေကျာ်ထွန်း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</si>
  <si>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</si>
  <si>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၄၂၆</t>
    </r>
  </si>
  <si>
    <r>
      <rPr>
        <rFont val="Myanmar Sangam MN"/>
        <color theme="1"/>
        <sz val="10.0"/>
      </rPr>
      <t>၁၃၄</t>
    </r>
  </si>
  <si>
    <r>
      <rPr>
        <rFont val="Myanmar Sangam MN"/>
        <color theme="1"/>
        <sz val="10.0"/>
      </rPr>
      <t>၅၆၀</t>
    </r>
  </si>
  <si>
    <r>
      <rPr>
        <rFont val="Myanmar Sangam MN"/>
        <b/>
        <color theme="1"/>
        <sz val="9.0"/>
      </rPr>
      <t>၁၃.၃၇%</t>
    </r>
  </si>
  <si>
    <r>
      <rPr>
        <rFont val="Myanmar Sangam MN"/>
        <color theme="1"/>
        <sz val="10.0"/>
      </rPr>
      <t>နန်းြမဦး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</si>
  <si>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</si>
  <si>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၁၈၄</t>
    </r>
  </si>
  <si>
    <r>
      <rPr>
        <rFont val="Myanmar Sangam MN"/>
        <color theme="1"/>
        <sz val="9.0"/>
      </rPr>
      <t>၃၇</t>
    </r>
  </si>
  <si>
    <r>
      <rPr>
        <rFont val="Myanmar Sangam MN"/>
        <color theme="1"/>
        <sz val="10.0"/>
      </rPr>
      <t>၂၂၁</t>
    </r>
  </si>
  <si>
    <r>
      <rPr>
        <rFont val="Myanmar Sangam MN"/>
        <b/>
        <color theme="1"/>
        <sz val="9.0"/>
      </rPr>
      <t>၅.၂၈%</t>
    </r>
  </si>
  <si>
    <r>
      <rPr>
        <rFont val="Myanmar Sangam MN"/>
        <color theme="1"/>
        <sz val="10.0"/>
      </rPr>
      <t>ဦးမင်းလွင်ဦး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</si>
  <si>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</si>
  <si>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၁၄၁</t>
    </r>
  </si>
  <si>
    <r>
      <rPr>
        <rFont val="Myanmar Sangam MN"/>
        <color theme="1"/>
        <sz val="10.0"/>
      </rPr>
      <t>၄၁</t>
    </r>
  </si>
  <si>
    <r>
      <rPr>
        <rFont val="Myanmar Sangam MN"/>
        <color theme="1"/>
        <sz val="10.0"/>
      </rPr>
      <t>၁၈၂</t>
    </r>
  </si>
  <si>
    <r>
      <rPr>
        <rFont val="Myanmar Sangam MN"/>
        <b/>
        <color theme="1"/>
        <sz val="9.0"/>
      </rPr>
      <t>၄.၃၄%</t>
    </r>
  </si>
  <si>
    <r>
      <rPr>
        <rFont val="Myanmar Sangam MN"/>
        <color theme="1"/>
        <sz val="10.0"/>
      </rPr>
      <t>ေဒယိုအုတေရးဇာ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</si>
  <si>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</si>
  <si>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၆၆</t>
    </r>
  </si>
  <si>
    <r>
      <rPr>
        <rFont val="Myanmar Sangam MN"/>
        <color theme="1"/>
        <sz val="10.0"/>
      </rPr>
      <t>၂၃</t>
    </r>
  </si>
  <si>
    <r>
      <rPr>
        <rFont val="Myanmar Sangam MN"/>
        <color theme="1"/>
        <sz val="10.0"/>
      </rPr>
      <t>၈၉</t>
    </r>
  </si>
  <si>
    <r>
      <rPr>
        <rFont val="Myanmar Sangam MN"/>
        <b/>
        <color theme="1"/>
        <sz val="9.0"/>
      </rPr>
      <t>၂.၁၂%</t>
    </r>
  </si>
  <si>
    <r>
      <rPr>
        <rFont val="Myanmar Sangam MN"/>
        <color theme="1"/>
        <sz val="10.0"/>
      </rPr>
      <t>ဦးသန်းေအာင်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</si>
  <si>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</si>
  <si>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၃၃</t>
    </r>
  </si>
  <si>
    <r>
      <rPr>
        <rFont val="Myanmar Sangam MN"/>
        <color theme="1"/>
        <sz val="10.0"/>
      </rPr>
      <t>၁၂</t>
    </r>
  </si>
  <si>
    <r>
      <rPr>
        <rFont val="Myanmar Sangam MN"/>
        <color theme="1"/>
        <sz val="10.0"/>
      </rPr>
      <t>၄၅</t>
    </r>
  </si>
  <si>
    <r>
      <rPr>
        <rFont val="Myanmar Sangam MN"/>
        <b/>
        <color theme="1"/>
        <sz val="9.0"/>
      </rPr>
      <t>၁.၀၇%</t>
    </r>
  </si>
  <si>
    <r>
      <rPr>
        <rFont val="Myanmar Sangam MN"/>
        <b/>
        <color theme="1"/>
        <sz val="10.0"/>
      </rPr>
      <t>၁၈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</si>
  <si>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</si>
  <si>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၂၉၇၇၈</t>
    </r>
  </si>
  <si>
    <r>
      <rPr>
        <rFont val="Myanmar Sangam MN"/>
        <b/>
        <color theme="1"/>
        <sz val="10.0"/>
      </rPr>
      <t>၁၉၇၆၂</t>
    </r>
  </si>
  <si>
    <r>
      <rPr>
        <rFont val="Myanmar Sangam MN"/>
        <b/>
        <color theme="1"/>
        <sz val="10.0"/>
      </rPr>
      <t>၄၄၉၃</t>
    </r>
  </si>
  <si>
    <r>
      <rPr>
        <rFont val="Myanmar Sangam MN"/>
        <b/>
        <color theme="1"/>
        <sz val="10.0"/>
      </rPr>
      <t>၂၄၂၅၅</t>
    </r>
  </si>
  <si>
    <r>
      <rPr>
        <rFont val="Myanmar Sangam MN"/>
        <b/>
        <color theme="1"/>
        <sz val="10.0"/>
      </rPr>
      <t>၈၁.၄၅</t>
    </r>
  </si>
  <si>
    <r>
      <rPr>
        <rFont val="Myanmar Sangam MN"/>
        <b/>
        <color theme="1"/>
        <sz val="10.0"/>
      </rPr>
      <t>၇၇၁</t>
    </r>
  </si>
  <si>
    <r>
      <rPr>
        <rFont val="Myanmar Sangam MN"/>
        <b/>
        <color theme="1"/>
        <sz val="10.0"/>
      </rPr>
      <t>၂</t>
    </r>
  </si>
  <si>
    <r>
      <rPr>
        <rFont val="Myanmar Sangam MN"/>
        <b/>
        <color theme="1"/>
        <sz val="10.0"/>
      </rPr>
      <t>၇၇၃</t>
    </r>
  </si>
  <si>
    <r>
      <rPr>
        <rFont val="Myanmar Sangam MN"/>
        <b/>
        <color theme="1"/>
        <sz val="10.0"/>
      </rPr>
      <t>၁၉၁၀၂</t>
    </r>
  </si>
  <si>
    <r>
      <rPr>
        <rFont val="Myanmar Sangam MN"/>
        <b/>
        <color theme="1"/>
        <sz val="10.0"/>
      </rPr>
      <t>၄၃၈၀</t>
    </r>
  </si>
  <si>
    <r>
      <rPr>
        <rFont val="Myanmar Sangam MN"/>
        <b/>
        <color theme="1"/>
        <sz val="10.0"/>
      </rPr>
      <t>၂၃၄၈၂</t>
    </r>
  </si>
  <si>
    <r>
      <rPr>
        <rFont val="Myanmar Sangam MN"/>
        <color theme="1"/>
        <sz val="10.0"/>
      </rPr>
      <t>ေဒခင်သန်းု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</si>
  <si>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</si>
  <si>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၉၉၃၂</t>
    </r>
  </si>
  <si>
    <r>
      <rPr>
        <rFont val="Myanmar Sangam MN"/>
        <color theme="1"/>
        <sz val="10.0"/>
      </rPr>
      <t>၂၀၁၇</t>
    </r>
  </si>
  <si>
    <r>
      <rPr>
        <rFont val="Myanmar Sangam MN"/>
        <color theme="1"/>
        <sz val="10.0"/>
      </rPr>
      <t>၁၁၉၄၉</t>
    </r>
  </si>
  <si>
    <r>
      <rPr>
        <rFont val="Myanmar Sangam MN"/>
        <b/>
        <color theme="1"/>
        <sz val="9.0"/>
      </rPr>
      <t>၅၀.၈၈%</t>
    </r>
  </si>
  <si>
    <r>
      <rPr>
        <rFont val="Myanmar Sangam MN"/>
        <color theme="1"/>
        <sz val="10.0"/>
      </rPr>
      <t>ဦးေမာတယ်ခဲ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</si>
  <si>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</si>
  <si>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၇၀၀၇</t>
    </r>
  </si>
  <si>
    <r>
      <rPr>
        <rFont val="Myanmar Sangam MN"/>
        <color theme="1"/>
        <sz val="10.0"/>
      </rPr>
      <t>၁၅၈၂</t>
    </r>
  </si>
  <si>
    <r>
      <rPr>
        <rFont val="Myanmar Sangam MN"/>
        <color theme="1"/>
        <sz val="10.0"/>
      </rPr>
      <t>၈၅၈၉</t>
    </r>
  </si>
  <si>
    <r>
      <rPr>
        <rFont val="Myanmar Sangam MN"/>
        <b/>
        <color theme="1"/>
        <sz val="9.0"/>
      </rPr>
      <t>၃၆.၅၈%</t>
    </r>
  </si>
  <si>
    <r>
      <rPr>
        <rFont val="Myanmar Sangam MN"/>
        <color theme="1"/>
        <sz val="10.0"/>
      </rPr>
      <t>ဦးတာရယ်ေအာင်ဝင်း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</si>
  <si>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</si>
  <si>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၁၄၆၅</t>
    </r>
  </si>
  <si>
    <r>
      <rPr>
        <rFont val="Myanmar Sangam MN"/>
        <color theme="1"/>
        <sz val="10.0"/>
      </rPr>
      <t>၄၅၃</t>
    </r>
  </si>
  <si>
    <r>
      <rPr>
        <rFont val="Myanmar Sangam MN"/>
        <color theme="1"/>
        <sz val="10.0"/>
      </rPr>
      <t>၁၉၁၈</t>
    </r>
  </si>
  <si>
    <r>
      <rPr>
        <rFont val="Myanmar Sangam MN"/>
        <b/>
        <color theme="1"/>
        <sz val="9.0"/>
      </rPr>
      <t>၈.၁၇%</t>
    </r>
  </si>
  <si>
    <r>
      <rPr>
        <rFont val="Myanmar Sangam MN"/>
        <color theme="1"/>
        <sz val="10.0"/>
      </rPr>
      <t>ဦးဦးရယ်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</si>
  <si>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</si>
  <si>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၂၆၆</t>
    </r>
  </si>
  <si>
    <r>
      <rPr>
        <rFont val="Myanmar Sangam MN"/>
        <color theme="1"/>
        <sz val="10.0"/>
      </rPr>
      <t>၁၀၇</t>
    </r>
  </si>
  <si>
    <r>
      <rPr>
        <rFont val="Myanmar Sangam MN"/>
        <color theme="1"/>
        <sz val="10.0"/>
      </rPr>
      <t>၃၇၃</t>
    </r>
  </si>
  <si>
    <r>
      <rPr>
        <rFont val="Myanmar Sangam MN"/>
        <b/>
        <color theme="1"/>
        <sz val="9.0"/>
      </rPr>
      <t>၁.၅၉%</t>
    </r>
  </si>
  <si>
    <r>
      <rPr>
        <rFont val="Myanmar Sangam MN"/>
        <color theme="1"/>
        <sz val="10.0"/>
      </rPr>
      <t>ေဒသီတာသန ်ဇင်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</si>
  <si>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</si>
  <si>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၂၃၀</t>
    </r>
  </si>
  <si>
    <r>
      <rPr>
        <rFont val="Myanmar Sangam MN"/>
        <color theme="1"/>
        <sz val="10.0"/>
      </rPr>
      <t>၁၃၇</t>
    </r>
  </si>
  <si>
    <r>
      <rPr>
        <rFont val="Myanmar Sangam MN"/>
        <color theme="1"/>
        <sz val="10.0"/>
      </rPr>
      <t>၃၆၇</t>
    </r>
  </si>
  <si>
    <r>
      <rPr>
        <rFont val="Myanmar Sangam MN"/>
        <b/>
        <color theme="1"/>
        <sz val="9.0"/>
      </rPr>
      <t>၁.၅၆%</t>
    </r>
  </si>
  <si>
    <r>
      <rPr>
        <rFont val="Myanmar Sangam MN"/>
        <color theme="1"/>
        <sz val="10.0"/>
      </rPr>
      <t>ေဒေငးမာ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</si>
  <si>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</si>
  <si>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၂၀၂</t>
    </r>
  </si>
  <si>
    <r>
      <rPr>
        <rFont val="Myanmar Sangam MN"/>
        <color theme="1"/>
        <sz val="10.0"/>
      </rPr>
      <t>၈၄</t>
    </r>
  </si>
  <si>
    <r>
      <rPr>
        <rFont val="Myanmar Sangam MN"/>
        <color theme="1"/>
        <sz val="10.0"/>
      </rPr>
      <t>၂၈၆</t>
    </r>
  </si>
  <si>
    <r>
      <rPr>
        <rFont val="Myanmar Sangam MN"/>
        <b/>
        <color theme="1"/>
        <sz val="9.0"/>
      </rPr>
      <t>၁.၂၂%</t>
    </r>
  </si>
  <si>
    <r>
      <rPr>
        <rFont val="Myanmar Sangam MN"/>
        <b/>
        <color theme="1"/>
        <sz val="10.0"/>
      </rPr>
      <t>၁၉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</si>
  <si>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</si>
  <si>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၂၆၈၉၆</t>
    </r>
  </si>
  <si>
    <r>
      <rPr>
        <rFont val="Myanmar Sangam MN"/>
        <b/>
        <color theme="1"/>
        <sz val="10.0"/>
      </rPr>
      <t>၁၇၇၅၁</t>
    </r>
  </si>
  <si>
    <r>
      <rPr>
        <rFont val="Myanmar Sangam MN"/>
        <b/>
        <color theme="1"/>
        <sz val="10.0"/>
      </rPr>
      <t>၃၉၅၉</t>
    </r>
  </si>
  <si>
    <r>
      <rPr>
        <rFont val="Myanmar Sangam MN"/>
        <b/>
        <color theme="1"/>
        <sz val="10.0"/>
      </rPr>
      <t>၂၁၇၁၀</t>
    </r>
  </si>
  <si>
    <r>
      <rPr>
        <rFont val="Myanmar Sangam MN"/>
        <b/>
        <color theme="1"/>
        <sz val="10.0"/>
      </rPr>
      <t>၈၀.၇၂</t>
    </r>
  </si>
  <si>
    <r>
      <rPr>
        <rFont val="Myanmar Sangam MN"/>
        <b/>
        <color theme="1"/>
        <sz val="10.0"/>
      </rPr>
      <t>၈၂၂</t>
    </r>
  </si>
  <si>
    <r>
      <rPr>
        <rFont val="Myanmar Sangam MN"/>
        <b/>
        <color theme="1"/>
        <sz val="10.0"/>
      </rPr>
      <t>၁</t>
    </r>
  </si>
  <si>
    <r>
      <rPr>
        <rFont val="Myanmar Sangam MN"/>
        <b/>
        <color theme="1"/>
        <sz val="10.0"/>
      </rPr>
      <t>၈၂၃</t>
    </r>
  </si>
  <si>
    <r>
      <rPr>
        <rFont val="Myanmar Sangam MN"/>
        <b/>
        <color theme="1"/>
        <sz val="10.0"/>
      </rPr>
      <t>၁၇၀၃၁</t>
    </r>
  </si>
  <si>
    <r>
      <rPr>
        <rFont val="Myanmar Sangam MN"/>
        <b/>
        <color theme="1"/>
        <sz val="10.0"/>
      </rPr>
      <t>၃၈၅၆</t>
    </r>
  </si>
  <si>
    <r>
      <rPr>
        <rFont val="Myanmar Sangam MN"/>
        <b/>
        <color theme="1"/>
        <sz val="10.0"/>
      </rPr>
      <t>၂၀၈၈၇</t>
    </r>
  </si>
  <si>
    <r>
      <rPr>
        <rFont val="Myanmar Sangam MN"/>
        <color theme="1"/>
        <sz val="10.0"/>
      </rPr>
      <t>ဦးေပါလ်ဆိုင်း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</si>
  <si>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</si>
  <si>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၁၀၇၂၃</t>
    </r>
  </si>
  <si>
    <r>
      <rPr>
        <rFont val="Myanmar Sangam MN"/>
        <color theme="1"/>
        <sz val="10.0"/>
      </rPr>
      <t>၂၁၃၄</t>
    </r>
  </si>
  <si>
    <r>
      <rPr>
        <rFont val="Myanmar Sangam MN"/>
        <color theme="1"/>
        <sz val="10.0"/>
      </rPr>
      <t>၁၂၈၅၇</t>
    </r>
  </si>
  <si>
    <r>
      <rPr>
        <rFont val="Myanmar Sangam MN"/>
        <b/>
        <color theme="1"/>
        <sz val="9.0"/>
      </rPr>
      <t>၆၁.၅၆%</t>
    </r>
  </si>
  <si>
    <r>
      <rPr>
        <rFont val="Myanmar Sangam MN"/>
        <color theme="1"/>
        <sz val="10.0"/>
      </rPr>
      <t>ေဒအယ်လ်မာ</t>
    </r>
  </si>
  <si>
    <r>
      <rPr>
        <rFont val="Myanmar Sangam MN"/>
        <color theme="1"/>
        <sz val="10.0"/>
      </rPr>
      <t>ကယန်းအမျးိ သားပါတီ</t>
    </r>
  </si>
  <si>
    <r>
      <rPr>
        <rFont val="Myanmar Sangam MN"/>
        <color theme="1"/>
        <sz val="10.0"/>
      </rPr>
      <t>၃၈၄၅</t>
    </r>
  </si>
  <si>
    <r>
      <rPr>
        <rFont val="Myanmar Sangam MN"/>
        <color theme="1"/>
        <sz val="10.0"/>
      </rPr>
      <t>၉၃၃</t>
    </r>
  </si>
  <si>
    <r>
      <rPr>
        <rFont val="Myanmar Sangam MN"/>
        <color theme="1"/>
        <sz val="10.0"/>
      </rPr>
      <t>၄၇၇၈</t>
    </r>
  </si>
  <si>
    <r>
      <rPr>
        <rFont val="Myanmar Sangam MN"/>
        <b/>
        <color theme="1"/>
        <sz val="9.0"/>
      </rPr>
      <t>၂၂.၈၈%</t>
    </r>
  </si>
  <si>
    <r>
      <rPr>
        <rFont val="Myanmar Sangam MN"/>
        <color theme="1"/>
        <sz val="10.0"/>
      </rPr>
      <t>ေဒေဒါရစ်ေလး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</si>
  <si>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</si>
  <si>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၁၅၄၂</t>
    </r>
  </si>
  <si>
    <r>
      <rPr>
        <rFont val="Myanmar Sangam MN"/>
        <color theme="1"/>
        <sz val="10.0"/>
      </rPr>
      <t>၄၆၆</t>
    </r>
  </si>
  <si>
    <r>
      <rPr>
        <rFont val="Myanmar Sangam MN"/>
        <color theme="1"/>
        <sz val="10.0"/>
      </rPr>
      <t>၂၀၀၈</t>
    </r>
  </si>
  <si>
    <r>
      <rPr>
        <rFont val="Myanmar Sangam MN"/>
        <b/>
        <color theme="1"/>
        <sz val="9.0"/>
      </rPr>
      <t>၉.၆၁%</t>
    </r>
  </si>
  <si>
    <r>
      <rPr>
        <rFont val="Myanmar Sangam MN"/>
        <color theme="1"/>
        <sz val="10.0"/>
      </rPr>
      <t>ဦးေမာင်လျိ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</si>
  <si>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</si>
  <si>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၆၃၉</t>
    </r>
  </si>
  <si>
    <r>
      <rPr>
        <rFont val="Myanmar Sangam MN"/>
        <color theme="1"/>
        <sz val="10.0"/>
      </rPr>
      <t>၁၈၀</t>
    </r>
  </si>
  <si>
    <r>
      <rPr>
        <rFont val="Myanmar Sangam MN"/>
        <color theme="1"/>
        <sz val="10.0"/>
      </rPr>
      <t>၈၁၉</t>
    </r>
  </si>
  <si>
    <r>
      <rPr>
        <rFont val="Myanmar Sangam MN"/>
        <b/>
        <color theme="1"/>
        <sz val="9.0"/>
      </rPr>
      <t>၃.၉၂%</t>
    </r>
  </si>
  <si>
    <r>
      <rPr>
        <rFont val="Myanmar Sangam MN"/>
        <color theme="1"/>
        <sz val="10.0"/>
      </rPr>
      <t>ဦးေစာသန်းိုင်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</si>
  <si>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</si>
  <si>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၁၇၄</t>
    </r>
  </si>
  <si>
    <r>
      <rPr>
        <rFont val="Myanmar Sangam MN"/>
        <color theme="1"/>
        <sz val="10.0"/>
      </rPr>
      <t>၇၃</t>
    </r>
  </si>
  <si>
    <r>
      <rPr>
        <rFont val="Myanmar Sangam MN"/>
        <color theme="1"/>
        <sz val="10.0"/>
      </rPr>
      <t>၂၄၇</t>
    </r>
  </si>
  <si>
    <r>
      <rPr>
        <rFont val="Myanmar Sangam MN"/>
        <b/>
        <color theme="1"/>
        <sz val="9.0"/>
      </rPr>
      <t>၁.၁၈%</t>
    </r>
  </si>
  <si>
    <r>
      <rPr>
        <rFont val="Myanmar Sangam MN"/>
        <color theme="1"/>
        <sz val="10.0"/>
      </rPr>
      <t>ဦးဘိုဘိုေအာင်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</si>
  <si>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</si>
  <si>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၁၀၈</t>
    </r>
  </si>
  <si>
    <r>
      <rPr>
        <rFont val="Myanmar Sangam MN"/>
        <color theme="1"/>
        <sz val="10.0"/>
      </rPr>
      <t>၇၀</t>
    </r>
  </si>
  <si>
    <r>
      <rPr>
        <rFont val="Myanmar Sangam MN"/>
        <color theme="1"/>
        <sz val="10.0"/>
      </rPr>
      <t>၁၇၈</t>
    </r>
  </si>
  <si>
    <r>
      <rPr>
        <rFont val="Myanmar Sangam MN"/>
        <b/>
        <color theme="1"/>
        <sz val="9.0"/>
      </rPr>
      <t>၀.၈၅%</t>
    </r>
  </si>
  <si>
    <r>
      <rPr>
        <rFont val="Myanmar Sangam MN"/>
        <b/>
        <color theme="1"/>
        <sz val="10.0"/>
      </rPr>
      <t>၂၀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</si>
  <si>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</si>
  <si>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၁၀၆၄၈</t>
    </r>
  </si>
  <si>
    <r>
      <rPr>
        <rFont val="Myanmar Sangam MN"/>
        <b/>
        <color theme="1"/>
        <sz val="10.0"/>
      </rPr>
      <t>၆၈၁၂</t>
    </r>
  </si>
  <si>
    <r>
      <rPr>
        <rFont val="Myanmar Sangam MN"/>
        <b/>
        <color theme="1"/>
        <sz val="10.0"/>
      </rPr>
      <t>၁၆၂၇</t>
    </r>
  </si>
  <si>
    <r>
      <rPr>
        <rFont val="Myanmar Sangam MN"/>
        <b/>
        <color theme="1"/>
        <sz val="10.0"/>
      </rPr>
      <t>၈၄၃၉</t>
    </r>
  </si>
  <si>
    <r>
      <rPr>
        <rFont val="Myanmar Sangam MN"/>
        <b/>
        <color theme="1"/>
        <sz val="10.0"/>
      </rPr>
      <t>၇၉.၂၅</t>
    </r>
  </si>
  <si>
    <r>
      <rPr>
        <rFont val="Myanmar Sangam MN"/>
        <b/>
        <color theme="1"/>
        <sz val="10.0"/>
      </rPr>
      <t>၃၉၀</t>
    </r>
  </si>
  <si>
    <r>
      <rPr>
        <rFont val="Myanmar Sangam MN"/>
        <b/>
        <color theme="1"/>
        <sz val="10.0"/>
      </rPr>
      <t>၁</t>
    </r>
  </si>
  <si>
    <r>
      <rPr>
        <rFont val="Myanmar Sangam MN"/>
        <b/>
        <color theme="1"/>
        <sz val="10.0"/>
      </rPr>
      <t>၃၉၁</t>
    </r>
  </si>
  <si>
    <r>
      <rPr>
        <rFont val="Myanmar Sangam MN"/>
        <b/>
        <color theme="1"/>
        <sz val="10.0"/>
      </rPr>
      <t>၆၄၇၀</t>
    </r>
  </si>
  <si>
    <r>
      <rPr>
        <rFont val="Myanmar Sangam MN"/>
        <b/>
        <color theme="1"/>
        <sz val="10.0"/>
      </rPr>
      <t>၁၅၇၈</t>
    </r>
  </si>
  <si>
    <r>
      <rPr>
        <rFont val="Myanmar Sangam MN"/>
        <b/>
        <color theme="1"/>
        <sz val="10.0"/>
      </rPr>
      <t>၈၀၄၈</t>
    </r>
  </si>
  <si>
    <r>
      <rPr>
        <rFont val="Myanmar Sangam MN"/>
        <color theme="1"/>
        <sz val="10.0"/>
      </rPr>
      <t>ဦးတူရယ်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</si>
  <si>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</si>
  <si>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၃၃၄၉</t>
    </r>
  </si>
  <si>
    <r>
      <rPr>
        <rFont val="Myanmar Sangam MN"/>
        <color theme="1"/>
        <sz val="10.0"/>
      </rPr>
      <t>၇၀၆</t>
    </r>
  </si>
  <si>
    <r>
      <rPr>
        <rFont val="Myanmar Sangam MN"/>
        <color theme="1"/>
        <sz val="10.0"/>
      </rPr>
      <t>၄၀၅၅</t>
    </r>
  </si>
  <si>
    <r>
      <rPr>
        <rFont val="Myanmar Sangam MN"/>
        <b/>
        <color theme="1"/>
        <sz val="9.0"/>
      </rPr>
      <t>၅၀.၃၈%</t>
    </r>
  </si>
  <si>
    <r>
      <rPr>
        <rFont val="Myanmar Sangam MN"/>
        <color theme="1"/>
        <sz val="10.0"/>
      </rPr>
      <t>ဦးဦးရယ်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</si>
  <si>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</si>
  <si>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၁၄၆၇</t>
    </r>
  </si>
  <si>
    <r>
      <rPr>
        <rFont val="Myanmar Sangam MN"/>
        <color theme="1"/>
        <sz val="10.0"/>
      </rPr>
      <t>၃၉၁</t>
    </r>
  </si>
  <si>
    <r>
      <rPr>
        <rFont val="Myanmar Sangam MN"/>
        <color theme="1"/>
        <sz val="10.0"/>
      </rPr>
      <t>၁၈၅၈</t>
    </r>
  </si>
  <si>
    <r>
      <rPr>
        <rFont val="Myanmar Sangam MN"/>
        <b/>
        <color theme="1"/>
        <sz val="9.0"/>
      </rPr>
      <t>၂၃.၁၀%</t>
    </r>
  </si>
  <si>
    <r>
      <rPr>
        <rFont val="Myanmar Sangam MN"/>
        <color theme="1"/>
        <sz val="10.0"/>
      </rPr>
      <t>ဦးတူရယ်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</si>
  <si>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</si>
  <si>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၁၁၂၀</t>
    </r>
  </si>
  <si>
    <r>
      <rPr>
        <rFont val="Myanmar Sangam MN"/>
        <color theme="1"/>
        <sz val="10.0"/>
      </rPr>
      <t>၂၂၅</t>
    </r>
  </si>
  <si>
    <r>
      <rPr>
        <rFont val="Myanmar Sangam MN"/>
        <color theme="1"/>
        <sz val="10.0"/>
      </rPr>
      <t>၁၃၄၅</t>
    </r>
  </si>
  <si>
    <r>
      <rPr>
        <rFont val="Myanmar Sangam MN"/>
        <b/>
        <color theme="1"/>
        <sz val="9.0"/>
      </rPr>
      <t>၁၆.၇၁%</t>
    </r>
  </si>
  <si>
    <r>
      <rPr>
        <rFont val="Myanmar Sangam MN"/>
        <color theme="1"/>
        <sz val="10.0"/>
      </rPr>
      <t>ေဒရှားမူ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</si>
  <si>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</si>
  <si>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၁၉၃</t>
    </r>
  </si>
  <si>
    <r>
      <rPr>
        <rFont val="Myanmar Sangam MN"/>
        <color theme="1"/>
        <sz val="10.0"/>
      </rPr>
      <t>၇၆</t>
    </r>
  </si>
  <si>
    <r>
      <rPr>
        <rFont val="Myanmar Sangam MN"/>
        <color theme="1"/>
        <sz val="10.0"/>
      </rPr>
      <t>၂၆၉</t>
    </r>
  </si>
  <si>
    <r>
      <rPr>
        <rFont val="Myanmar Sangam MN"/>
        <b/>
        <color theme="1"/>
        <sz val="9.0"/>
      </rPr>
      <t>၃.၃၄%</t>
    </r>
  </si>
  <si>
    <r>
      <rPr>
        <rFont val="Myanmar Sangam MN"/>
        <color theme="1"/>
        <sz val="10.0"/>
      </rPr>
      <t>ေနာ်တဘိုးရာ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</si>
  <si>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</si>
  <si>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၁၇၈</t>
    </r>
  </si>
  <si>
    <r>
      <rPr>
        <rFont val="Myanmar Sangam MN"/>
        <color theme="1"/>
        <sz val="10.0"/>
      </rPr>
      <t>၉၀</t>
    </r>
  </si>
  <si>
    <r>
      <rPr>
        <rFont val="Myanmar Sangam MN"/>
        <color theme="1"/>
        <sz val="10.0"/>
      </rPr>
      <t>၂၆၈</t>
    </r>
  </si>
  <si>
    <r>
      <rPr>
        <rFont val="Myanmar Sangam MN"/>
        <b/>
        <color theme="1"/>
        <sz val="9.0"/>
      </rPr>
      <t>၃.၃၃%</t>
    </r>
  </si>
  <si>
    <r>
      <rPr>
        <rFont val="Myanmar Sangam MN"/>
        <color theme="1"/>
        <sz val="10.0"/>
      </rPr>
      <t>ဦးေစာဆာကေပရှီး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</si>
  <si>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</si>
  <si>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၁၀၁</t>
    </r>
  </si>
  <si>
    <r>
      <rPr>
        <rFont val="Myanmar Sangam MN"/>
        <color theme="1"/>
        <sz val="10.0"/>
      </rPr>
      <t>၆၂</t>
    </r>
  </si>
  <si>
    <r>
      <rPr>
        <rFont val="Myanmar Sangam MN"/>
        <color theme="1"/>
        <sz val="10.0"/>
      </rPr>
      <t>၁၆၃</t>
    </r>
  </si>
  <si>
    <r>
      <rPr>
        <rFont val="Myanmar Sangam MN"/>
        <b/>
        <color theme="1"/>
        <sz val="9.0"/>
      </rPr>
      <t>၂.၀၂%</t>
    </r>
  </si>
  <si>
    <r>
      <rPr>
        <rFont val="Myanmar Sangam MN"/>
        <color theme="1"/>
        <sz val="10.0"/>
      </rPr>
      <t>ဦးစံလွင်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</si>
  <si>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</si>
  <si>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၆၂</t>
    </r>
  </si>
  <si>
    <r>
      <rPr>
        <rFont val="Myanmar Sangam MN"/>
        <color theme="1"/>
        <sz val="10.0"/>
      </rPr>
      <t>၂၈</t>
    </r>
  </si>
  <si>
    <r>
      <rPr>
        <rFont val="Myanmar Sangam MN"/>
        <color theme="1"/>
        <sz val="10.0"/>
      </rPr>
      <t>၉၀</t>
    </r>
  </si>
  <si>
    <r>
      <rPr>
        <rFont val="Myanmar Sangam MN"/>
        <b/>
        <color theme="1"/>
        <sz val="9.0"/>
      </rPr>
      <t>၁.၁၂%</t>
    </r>
  </si>
  <si>
    <r>
      <rPr>
        <rFont val="Myanmar Sangam MN"/>
        <b/>
        <color theme="1"/>
        <sz val="10.0"/>
      </rPr>
      <t>၂၁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</si>
  <si>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</si>
  <si>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၉၃၀၅</t>
    </r>
  </si>
  <si>
    <r>
      <rPr>
        <rFont val="Myanmar Sangam MN"/>
        <b/>
        <color theme="1"/>
        <sz val="10.0"/>
      </rPr>
      <t>၅၃၀၃</t>
    </r>
  </si>
  <si>
    <r>
      <rPr>
        <rFont val="Myanmar Sangam MN"/>
        <b/>
        <color theme="1"/>
        <sz val="10.0"/>
      </rPr>
      <t>၉၃၆</t>
    </r>
  </si>
  <si>
    <r>
      <rPr>
        <rFont val="Myanmar Sangam MN"/>
        <b/>
        <color theme="1"/>
        <sz val="10.0"/>
      </rPr>
      <t>၆၂၃၉</t>
    </r>
  </si>
  <si>
    <r>
      <rPr>
        <rFont val="Myanmar Sangam MN"/>
        <b/>
        <color theme="1"/>
        <sz val="10.0"/>
      </rPr>
      <t>၆၇.၀၅</t>
    </r>
  </si>
  <si>
    <r>
      <rPr>
        <rFont val="Myanmar Sangam MN"/>
        <b/>
        <color theme="1"/>
        <sz val="10.0"/>
      </rPr>
      <t>၄၈၀</t>
    </r>
  </si>
  <si>
    <r>
      <rPr>
        <rFont val="Myanmar Sangam MN"/>
        <b/>
        <color theme="1"/>
        <sz val="10.0"/>
      </rPr>
      <t>၆</t>
    </r>
  </si>
  <si>
    <r>
      <rPr>
        <rFont val="Myanmar Sangam MN"/>
        <b/>
        <color theme="1"/>
        <sz val="10.0"/>
      </rPr>
      <t>၄၈၆</t>
    </r>
  </si>
  <si>
    <r>
      <rPr>
        <rFont val="Myanmar Sangam MN"/>
        <b/>
        <color theme="1"/>
        <sz val="10.0"/>
      </rPr>
      <t>၄၈၇၅</t>
    </r>
  </si>
  <si>
    <r>
      <rPr>
        <rFont val="Myanmar Sangam MN"/>
        <b/>
        <color theme="1"/>
        <sz val="10.0"/>
      </rPr>
      <t>၈၇၈</t>
    </r>
  </si>
  <si>
    <r>
      <rPr>
        <rFont val="Myanmar Sangam MN"/>
        <b/>
        <color theme="1"/>
        <sz val="10.0"/>
      </rPr>
      <t>၅၇၅၃</t>
    </r>
  </si>
  <si>
    <r>
      <rPr>
        <rFont val="Myanmar Sangam MN"/>
        <color theme="1"/>
        <sz val="10.0"/>
      </rPr>
      <t>ေစာအားလ်ဒို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</si>
  <si>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</si>
  <si>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၂၁၀၈</t>
    </r>
  </si>
  <si>
    <r>
      <rPr>
        <rFont val="Myanmar Sangam MN"/>
        <color theme="1"/>
        <sz val="10.0"/>
      </rPr>
      <t>၃၁၇</t>
    </r>
  </si>
  <si>
    <r>
      <rPr>
        <rFont val="Myanmar Sangam MN"/>
        <color theme="1"/>
        <sz val="10.0"/>
      </rPr>
      <t>၂၄၂၅</t>
    </r>
  </si>
  <si>
    <r>
      <rPr>
        <rFont val="Myanmar Sangam MN"/>
        <b/>
        <color theme="1"/>
        <sz val="9.0"/>
      </rPr>
      <t>၄၂.၁၅%</t>
    </r>
  </si>
  <si>
    <r>
      <rPr>
        <rFont val="Myanmar Sangam MN"/>
        <color theme="1"/>
        <sz val="10.0"/>
      </rPr>
      <t>ေဒလွီးဇာ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</si>
  <si>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</si>
  <si>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၁၃၆၁</t>
    </r>
  </si>
  <si>
    <r>
      <rPr>
        <rFont val="Myanmar Sangam MN"/>
        <color theme="1"/>
        <sz val="10.0"/>
      </rPr>
      <t>၂၁၁</t>
    </r>
  </si>
  <si>
    <r>
      <rPr>
        <rFont val="Myanmar Sangam MN"/>
        <color theme="1"/>
        <sz val="10.0"/>
      </rPr>
      <t>၁၅၇၂</t>
    </r>
  </si>
  <si>
    <r>
      <rPr>
        <rFont val="Myanmar Sangam MN"/>
        <b/>
        <color theme="1"/>
        <sz val="9.0"/>
      </rPr>
      <t>၂၇.၃၂%</t>
    </r>
  </si>
  <si>
    <r>
      <rPr>
        <rFont val="Myanmar Sangam MN"/>
        <color theme="1"/>
        <sz val="10.0"/>
      </rPr>
      <t>ဦးဆားရယ်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</si>
  <si>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</si>
  <si>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၇၂၂</t>
    </r>
  </si>
  <si>
    <r>
      <rPr>
        <rFont val="Myanmar Sangam MN"/>
        <color theme="1"/>
        <sz val="10.0"/>
      </rPr>
      <t>၁၈၆</t>
    </r>
  </si>
  <si>
    <r>
      <rPr>
        <rFont val="Myanmar Sangam MN"/>
        <color theme="1"/>
        <sz val="10.0"/>
      </rPr>
      <t>၉၀၈</t>
    </r>
  </si>
  <si>
    <r>
      <rPr>
        <rFont val="Myanmar Sangam MN"/>
        <b/>
        <color theme="1"/>
        <sz val="9.0"/>
      </rPr>
      <t>၁၅.၇၈%</t>
    </r>
  </si>
  <si>
    <r>
      <rPr>
        <rFont val="Myanmar Sangam MN"/>
        <color theme="1"/>
        <sz val="10.0"/>
      </rPr>
      <t>ေဒကက်ထု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</si>
  <si>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</si>
  <si>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၂၇၆</t>
    </r>
  </si>
  <si>
    <r>
      <rPr>
        <rFont val="Myanmar Sangam MN"/>
        <color theme="1"/>
        <sz val="10.0"/>
      </rPr>
      <t>၅၀</t>
    </r>
  </si>
  <si>
    <r>
      <rPr>
        <rFont val="Myanmar Sangam MN"/>
        <color theme="1"/>
        <sz val="10.0"/>
      </rPr>
      <t>၃၂၆</t>
    </r>
  </si>
  <si>
    <r>
      <rPr>
        <rFont val="Myanmar Sangam MN"/>
        <b/>
        <color theme="1"/>
        <sz val="9.0"/>
      </rPr>
      <t>၅.၆၆%</t>
    </r>
  </si>
  <si>
    <r>
      <rPr>
        <rFont val="Myanmar Sangam MN"/>
        <color theme="1"/>
        <sz val="10.0"/>
      </rPr>
      <t>ဦးဖရန်စစကိုဖါတု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</si>
  <si>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</si>
  <si>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၂၀၂</t>
    </r>
  </si>
  <si>
    <r>
      <rPr>
        <rFont val="Myanmar Sangam MN"/>
        <color theme="1"/>
        <sz val="10.0"/>
      </rPr>
      <t>၄၃</t>
    </r>
  </si>
  <si>
    <r>
      <rPr>
        <rFont val="Myanmar Sangam MN"/>
        <color theme="1"/>
        <sz val="10.0"/>
      </rPr>
      <t>၂၄၅</t>
    </r>
  </si>
  <si>
    <r>
      <rPr>
        <rFont val="Myanmar Sangam MN"/>
        <b/>
        <color theme="1"/>
        <sz val="9.0"/>
      </rPr>
      <t>၄.၂၅%</t>
    </r>
  </si>
  <si>
    <r>
      <rPr>
        <rFont val="Myanmar Sangam MN"/>
        <color theme="1"/>
        <sz val="10.0"/>
      </rPr>
      <t>ဦးကိုဘားတို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</si>
  <si>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</si>
  <si>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၁၈၄</t>
    </r>
  </si>
  <si>
    <r>
      <rPr>
        <rFont val="Myanmar Sangam MN"/>
        <color theme="1"/>
        <sz val="10.0"/>
      </rPr>
      <t>၆၀</t>
    </r>
  </si>
  <si>
    <r>
      <rPr>
        <rFont val="Myanmar Sangam MN"/>
        <color theme="1"/>
        <sz val="10.0"/>
      </rPr>
      <t>၂၄၄</t>
    </r>
  </si>
  <si>
    <r>
      <rPr>
        <rFont val="Myanmar Sangam MN"/>
        <b/>
        <color theme="1"/>
        <sz val="9.0"/>
      </rPr>
      <t>၄.၂၄%</t>
    </r>
  </si>
  <si>
    <r>
      <rPr>
        <rFont val="Myanmar Sangam MN"/>
        <color theme="1"/>
        <sz val="10.0"/>
      </rPr>
      <t>ဦးသန်းထိုက်ေအာင်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</si>
  <si>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</si>
  <si>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၂၂</t>
    </r>
  </si>
  <si>
    <r>
      <rPr>
        <rFont val="Myanmar Sangam MN"/>
        <color theme="1"/>
        <sz val="10.0"/>
      </rPr>
      <t>၁၁</t>
    </r>
  </si>
  <si>
    <r>
      <rPr>
        <rFont val="Myanmar Sangam MN"/>
        <color theme="1"/>
        <sz val="10.0"/>
      </rPr>
      <t>၃၃</t>
    </r>
  </si>
  <si>
    <r>
      <rPr>
        <rFont val="Myanmar Sangam MN"/>
        <b/>
        <color theme="1"/>
        <sz val="9.0"/>
      </rPr>
      <t>၀.၆၀%</t>
    </r>
  </si>
  <si>
    <r>
      <rPr>
        <rFont val="Myanmar Sangam MN"/>
        <b/>
        <color theme="1"/>
        <sz val="10.0"/>
      </rPr>
      <t>၂၂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</si>
  <si>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</si>
  <si>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၅၆၂၈</t>
    </r>
  </si>
  <si>
    <r>
      <rPr>
        <rFont val="Myanmar Sangam MN"/>
        <b/>
        <color theme="1"/>
        <sz val="10.0"/>
      </rPr>
      <t>၃၂၀၅</t>
    </r>
  </si>
  <si>
    <r>
      <rPr>
        <rFont val="Myanmar Sangam MN"/>
        <b/>
        <color theme="1"/>
        <sz val="10.0"/>
      </rPr>
      <t>၁၁၀၅</t>
    </r>
  </si>
  <si>
    <r>
      <rPr>
        <rFont val="Myanmar Sangam MN"/>
        <b/>
        <color theme="1"/>
        <sz val="10.0"/>
      </rPr>
      <t>၄၃၁၀</t>
    </r>
  </si>
  <si>
    <r>
      <rPr>
        <rFont val="Myanmar Sangam MN"/>
        <b/>
        <color theme="1"/>
        <sz val="10.0"/>
      </rPr>
      <t>၇၆.၅၈</t>
    </r>
  </si>
  <si>
    <r>
      <rPr>
        <rFont val="Myanmar Sangam MN"/>
        <b/>
        <color theme="1"/>
        <sz val="10.0"/>
      </rPr>
      <t>၁၉၁</t>
    </r>
  </si>
  <si>
    <r>
      <rPr>
        <rFont val="Myanmar Sangam MN"/>
        <b/>
        <color theme="1"/>
        <sz val="10.0"/>
      </rPr>
      <t>၂</t>
    </r>
  </si>
  <si>
    <r>
      <rPr>
        <rFont val="Myanmar Sangam MN"/>
        <b/>
        <color theme="1"/>
        <sz val="10.0"/>
      </rPr>
      <t>၁၉၃</t>
    </r>
  </si>
  <si>
    <r>
      <rPr>
        <rFont val="Myanmar Sangam MN"/>
        <b/>
        <color theme="1"/>
        <sz val="10.0"/>
      </rPr>
      <t>၃၀၆၂</t>
    </r>
  </si>
  <si>
    <r>
      <rPr>
        <rFont val="Myanmar Sangam MN"/>
        <b/>
        <color theme="1"/>
        <sz val="10.0"/>
      </rPr>
      <t>၁၀၅၅</t>
    </r>
  </si>
  <si>
    <r>
      <rPr>
        <rFont val="Myanmar Sangam MN"/>
        <b/>
        <color theme="1"/>
        <sz val="10.0"/>
      </rPr>
      <t>၄၁၁၇</t>
    </r>
  </si>
  <si>
    <r>
      <rPr>
        <rFont val="Myanmar Sangam MN"/>
        <color theme="1"/>
        <sz val="10.0"/>
      </rPr>
      <t>ဦးေရာဘတ်ေညးရယ်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</si>
  <si>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</si>
  <si>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၁၅၄၂</t>
    </r>
  </si>
  <si>
    <r>
      <rPr>
        <rFont val="Myanmar Sangam MN"/>
        <color theme="1"/>
        <sz val="10.0"/>
      </rPr>
      <t>၂၁၃</t>
    </r>
  </si>
  <si>
    <r>
      <rPr>
        <rFont val="Myanmar Sangam MN"/>
        <color theme="1"/>
        <sz val="10.0"/>
      </rPr>
      <t>၁၇၅၅</t>
    </r>
  </si>
  <si>
    <r>
      <rPr>
        <rFont val="Myanmar Sangam MN"/>
        <b/>
        <color theme="1"/>
        <sz val="9.0"/>
      </rPr>
      <t>၄၂.၆၃%</t>
    </r>
  </si>
  <si>
    <r>
      <rPr>
        <rFont val="Myanmar Sangam MN"/>
        <color theme="1"/>
        <sz val="10.0"/>
      </rPr>
      <t>ဦးရဲဝင်း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</si>
  <si>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</si>
  <si>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၆၄၀</t>
    </r>
  </si>
  <si>
    <r>
      <rPr>
        <rFont val="Myanmar Sangam MN"/>
        <color theme="1"/>
        <sz val="10.0"/>
      </rPr>
      <t>၅၅၄</t>
    </r>
  </si>
  <si>
    <r>
      <rPr>
        <rFont val="Myanmar Sangam MN"/>
        <color theme="1"/>
        <sz val="10.0"/>
      </rPr>
      <t>၁၁၉၄</t>
    </r>
  </si>
  <si>
    <r>
      <rPr>
        <rFont val="Myanmar Sangam MN"/>
        <b/>
        <color theme="1"/>
        <sz val="9.0"/>
      </rPr>
      <t>၂၉.၀၀%</t>
    </r>
  </si>
  <si>
    <r>
      <rPr>
        <rFont val="Myanmar Sangam MN"/>
        <color theme="1"/>
        <sz val="10.0"/>
      </rPr>
      <t>ဦးေအာင်ေကျာ်စိုး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</si>
  <si>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</si>
  <si>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၆၀၄</t>
    </r>
  </si>
  <si>
    <r>
      <rPr>
        <rFont val="Myanmar Sangam MN"/>
        <color theme="1"/>
        <sz val="10.0"/>
      </rPr>
      <t>၂၀၉</t>
    </r>
  </si>
  <si>
    <r>
      <rPr>
        <rFont val="Myanmar Sangam MN"/>
        <color theme="1"/>
        <sz val="10.0"/>
      </rPr>
      <t>၈၁၃</t>
    </r>
  </si>
  <si>
    <r>
      <rPr>
        <rFont val="Myanmar Sangam MN"/>
        <b/>
        <color theme="1"/>
        <sz val="9.0"/>
      </rPr>
      <t>၁၉.၇၅%</t>
    </r>
  </si>
  <si>
    <r>
      <rPr>
        <rFont val="Myanmar Sangam MN"/>
        <color rgb="FF000000"/>
        <sz val="10.0"/>
      </rPr>
      <t xml:space="preserve">ေဒသန်းသန်းလွင်(ခ)
</t>
    </r>
    <r>
      <rPr>
        <rFont val="Myanmar Sangam MN"/>
        <color rgb="FF000000"/>
        <sz val="10.0"/>
      </rPr>
      <t>ေဒမီးြမာ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</si>
  <si>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</si>
  <si>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၂၅၀</t>
    </r>
  </si>
  <si>
    <r>
      <rPr>
        <rFont val="Myanmar Sangam MN"/>
        <color theme="1"/>
        <sz val="10.0"/>
      </rPr>
      <t>၇၁</t>
    </r>
  </si>
  <si>
    <r>
      <rPr>
        <rFont val="Myanmar Sangam MN"/>
        <color theme="1"/>
        <sz val="10.0"/>
      </rPr>
      <t>၃၂၁</t>
    </r>
  </si>
  <si>
    <r>
      <rPr>
        <rFont val="Myanmar Sangam MN"/>
        <b/>
        <color theme="1"/>
        <sz val="9.0"/>
      </rPr>
      <t>၇.၈၀%</t>
    </r>
  </si>
  <si>
    <r>
      <rPr>
        <rFont val="Myanmar Sangam MN"/>
        <color theme="1"/>
        <sz val="10.0"/>
      </rPr>
      <t>ဦးြမင့်သိန်း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</si>
  <si>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</si>
  <si>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၂၆</t>
    </r>
  </si>
  <si>
    <r>
      <rPr>
        <rFont val="Myanmar Sangam MN"/>
        <color theme="1"/>
        <sz val="10.0"/>
      </rPr>
      <t>၈</t>
    </r>
  </si>
  <si>
    <r>
      <rPr>
        <rFont val="Myanmar Sangam MN"/>
        <color theme="1"/>
        <sz val="10.0"/>
      </rPr>
      <t>၃၄</t>
    </r>
  </si>
  <si>
    <r>
      <rPr>
        <rFont val="Myanmar Sangam MN"/>
        <b/>
        <color theme="1"/>
        <sz val="9.0"/>
      </rPr>
      <t>၀.၈၂%</t>
    </r>
  </si>
  <si>
    <r>
      <rPr>
        <rFont val="Myanmar Sangam MN"/>
        <b/>
        <color theme="1"/>
        <sz val="10.0"/>
      </rPr>
      <t>၂၃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</si>
  <si>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</si>
  <si>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၄၉၈၀၀</t>
    </r>
  </si>
  <si>
    <r>
      <rPr>
        <rFont val="Myanmar Sangam MN"/>
        <b/>
        <color theme="1"/>
        <sz val="10.0"/>
      </rPr>
      <t>၂၉၃၇၅</t>
    </r>
  </si>
  <si>
    <r>
      <rPr>
        <rFont val="Myanmar Sangam MN"/>
        <b/>
        <color theme="1"/>
        <sz val="10.0"/>
      </rPr>
      <t>၈၀၆၇</t>
    </r>
  </si>
  <si>
    <r>
      <rPr>
        <rFont val="Myanmar Sangam MN"/>
        <b/>
        <color theme="1"/>
        <sz val="10.0"/>
      </rPr>
      <t>၃၇၄၄၂</t>
    </r>
  </si>
  <si>
    <r>
      <rPr>
        <rFont val="Myanmar Sangam MN"/>
        <b/>
        <color theme="1"/>
        <sz val="10.0"/>
      </rPr>
      <t>၇၅.၁၈</t>
    </r>
  </si>
  <si>
    <r>
      <rPr>
        <rFont val="Myanmar Sangam MN"/>
        <b/>
        <color theme="1"/>
        <sz val="10.0"/>
      </rPr>
      <t>၁၄၄၇</t>
    </r>
  </si>
  <si>
    <r>
      <rPr>
        <rFont val="Myanmar Sangam MN"/>
        <b/>
        <color theme="1"/>
        <sz val="10.0"/>
      </rPr>
      <t>၂၁</t>
    </r>
  </si>
  <si>
    <r>
      <rPr>
        <rFont val="Myanmar Sangam MN"/>
        <b/>
        <color theme="1"/>
        <sz val="10.0"/>
      </rPr>
      <t>၁၄၆၈</t>
    </r>
  </si>
  <si>
    <r>
      <rPr>
        <rFont val="Myanmar Sangam MN"/>
        <b/>
        <color theme="1"/>
        <sz val="10.0"/>
      </rPr>
      <t>၂၇၉၁၁</t>
    </r>
  </si>
  <si>
    <r>
      <rPr>
        <rFont val="Myanmar Sangam MN"/>
        <b/>
        <color theme="1"/>
        <sz val="10.0"/>
      </rPr>
      <t>၈၀၆၃</t>
    </r>
  </si>
  <si>
    <r>
      <rPr>
        <rFont val="Myanmar Sangam MN"/>
        <b/>
        <color theme="1"/>
        <sz val="10.0"/>
      </rPr>
      <t>၃၅၉၇၄</t>
    </r>
  </si>
  <si>
    <r>
      <rPr>
        <rFont val="Myanmar Sangam MN"/>
        <color theme="1"/>
        <sz val="10.0"/>
      </rPr>
      <t>ဦးေြဖရယ်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</si>
  <si>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</si>
  <si>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၁၅၁၆၆</t>
    </r>
  </si>
  <si>
    <r>
      <rPr>
        <rFont val="Myanmar Sangam MN"/>
        <color theme="1"/>
        <sz val="10.0"/>
      </rPr>
      <t>၃၉၆၁</t>
    </r>
  </si>
  <si>
    <r>
      <rPr>
        <rFont val="Myanmar Sangam MN"/>
        <color theme="1"/>
        <sz val="10.0"/>
      </rPr>
      <t>၁၉၁၂၇</t>
    </r>
  </si>
  <si>
    <r>
      <rPr>
        <rFont val="Myanmar Sangam MN"/>
        <b/>
        <color theme="1"/>
        <sz val="9.0"/>
      </rPr>
      <t>၅၃.၁၇%</t>
    </r>
  </si>
  <si>
    <r>
      <rPr>
        <rFont val="Myanmar Sangam MN"/>
        <color theme="1"/>
        <sz val="10.0"/>
      </rPr>
      <t>ေဒမာရီထွန်း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</si>
  <si>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</si>
  <si>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၅၅၀၄</t>
    </r>
  </si>
  <si>
    <r>
      <rPr>
        <rFont val="Myanmar Sangam MN"/>
        <color theme="1"/>
        <sz val="10.0"/>
      </rPr>
      <t>၁၅၂၂</t>
    </r>
  </si>
  <si>
    <r>
      <rPr>
        <rFont val="Myanmar Sangam MN"/>
        <color theme="1"/>
        <sz val="10.0"/>
      </rPr>
      <t>၇၀၂၆</t>
    </r>
  </si>
  <si>
    <r>
      <rPr>
        <rFont val="Myanmar Sangam MN"/>
        <b/>
        <color theme="1"/>
        <sz val="9.0"/>
      </rPr>
      <t>၁၉.၅၃%</t>
    </r>
  </si>
  <si>
    <r>
      <rPr>
        <rFont val="Myanmar Sangam MN"/>
        <color theme="1"/>
        <sz val="10.0"/>
      </rPr>
      <t>ဦးပိုးရယ်ေအာင်သိန်း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</si>
  <si>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</si>
  <si>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၃၆၉၄</t>
    </r>
  </si>
  <si>
    <r>
      <rPr>
        <rFont val="Myanmar Sangam MN"/>
        <color theme="1"/>
        <sz val="10.0"/>
      </rPr>
      <t>၁၅၄၆</t>
    </r>
  </si>
  <si>
    <r>
      <rPr>
        <rFont val="Myanmar Sangam MN"/>
        <color theme="1"/>
        <sz val="10.0"/>
      </rPr>
      <t>၅၂၄၀</t>
    </r>
  </si>
  <si>
    <r>
      <rPr>
        <rFont val="Myanmar Sangam MN"/>
        <b/>
        <color theme="1"/>
        <sz val="9.0"/>
      </rPr>
      <t>၁၄.၅၇%</t>
    </r>
  </si>
  <si>
    <r>
      <rPr>
        <rFont val="Myanmar Sangam MN"/>
        <color theme="1"/>
        <sz val="10.0"/>
      </rPr>
      <t>ဦးခွန်ေအာင်ေဇယျ</t>
    </r>
  </si>
  <si>
    <r>
      <rPr>
        <rFont val="Myanmar Sangam MN"/>
        <color theme="1"/>
        <sz val="10.0"/>
      </rPr>
      <t>ပအိုဝ်းအမျးိ သားအဖွဲချပ်ပါတီ</t>
    </r>
  </si>
  <si>
    <r>
      <rPr>
        <rFont val="Myanmar Sangam MN"/>
        <color theme="1"/>
        <sz val="10.0"/>
      </rPr>
      <t>၁၉၀၄</t>
    </r>
  </si>
  <si>
    <r>
      <rPr>
        <rFont val="Myanmar Sangam MN"/>
        <color theme="1"/>
        <sz val="10.0"/>
      </rPr>
      <t>၂၄၉</t>
    </r>
  </si>
  <si>
    <r>
      <rPr>
        <rFont val="Myanmar Sangam MN"/>
        <color theme="1"/>
        <sz val="10.0"/>
      </rPr>
      <t>၂၁၅၃</t>
    </r>
  </si>
  <si>
    <r>
      <rPr>
        <rFont val="Myanmar Sangam MN"/>
        <b/>
        <color theme="1"/>
        <sz val="9.0"/>
      </rPr>
      <t>၅.၉၈%</t>
    </r>
  </si>
  <si>
    <r>
      <rPr>
        <rFont val="Myanmar Sangam MN"/>
        <color theme="1"/>
        <sz val="10.0"/>
      </rPr>
      <t>ေဒမာရီအားမူ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</si>
  <si>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</si>
  <si>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၄၉၂</t>
    </r>
  </si>
  <si>
    <r>
      <rPr>
        <rFont val="Myanmar Sangam MN"/>
        <color theme="1"/>
        <sz val="10.0"/>
      </rPr>
      <t>၂၂၀</t>
    </r>
  </si>
  <si>
    <r>
      <rPr>
        <rFont val="Myanmar Sangam MN"/>
        <color theme="1"/>
        <sz val="10.0"/>
      </rPr>
      <t>၇၁၂</t>
    </r>
  </si>
  <si>
    <r>
      <rPr>
        <rFont val="Myanmar Sangam MN"/>
        <b/>
        <color theme="1"/>
        <sz val="9.0"/>
      </rPr>
      <t>၁.၉၈%</t>
    </r>
  </si>
  <si>
    <r>
      <rPr>
        <rFont val="Myanmar Sangam MN"/>
        <color theme="1"/>
        <sz val="10.0"/>
      </rPr>
      <t>ဦးလှသွင်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</si>
  <si>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</si>
  <si>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၃၇၄</t>
    </r>
  </si>
  <si>
    <r>
      <rPr>
        <rFont val="Myanmar Sangam MN"/>
        <color theme="1"/>
        <sz val="10.0"/>
      </rPr>
      <t>၂၆၇</t>
    </r>
  </si>
  <si>
    <r>
      <rPr>
        <rFont val="Myanmar Sangam MN"/>
        <color theme="1"/>
        <sz val="10.0"/>
      </rPr>
      <t>၆၄၁</t>
    </r>
  </si>
  <si>
    <r>
      <rPr>
        <rFont val="Myanmar Sangam MN"/>
        <b/>
        <color theme="1"/>
        <sz val="9.0"/>
      </rPr>
      <t>၁.၇၈%</t>
    </r>
  </si>
  <si>
    <r>
      <rPr>
        <rFont val="Myanmar Sangam MN"/>
        <color theme="1"/>
        <sz val="10.0"/>
      </rPr>
      <t>ဦးေဇာ်မင်းထူး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</si>
  <si>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</si>
  <si>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၂၉၈</t>
    </r>
  </si>
  <si>
    <r>
      <rPr>
        <rFont val="Myanmar Sangam MN"/>
        <color theme="1"/>
        <sz val="10.0"/>
      </rPr>
      <t>၁၂၅</t>
    </r>
  </si>
  <si>
    <r>
      <rPr>
        <rFont val="Myanmar Sangam MN"/>
        <color theme="1"/>
        <sz val="10.0"/>
      </rPr>
      <t>၄၂၃</t>
    </r>
  </si>
  <si>
    <r>
      <rPr>
        <rFont val="Myanmar Sangam MN"/>
        <b/>
        <color theme="1"/>
        <sz val="9.0"/>
      </rPr>
      <t>၁.၁၈%</t>
    </r>
  </si>
  <si>
    <r>
      <rPr>
        <rFont val="Myanmar Sangam MN"/>
        <color theme="1"/>
        <sz val="10.0"/>
      </rPr>
      <t>ဦးေဇာ်မျးိ ထက်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</si>
  <si>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</si>
  <si>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၂၉၈</t>
    </r>
  </si>
  <si>
    <r>
      <rPr>
        <rFont val="Myanmar Sangam MN"/>
        <color theme="1"/>
        <sz val="9.0"/>
      </rPr>
      <t>၇၁</t>
    </r>
  </si>
  <si>
    <r>
      <rPr>
        <rFont val="Myanmar Sangam MN"/>
        <color theme="1"/>
        <sz val="10.0"/>
      </rPr>
      <t>၃၆၉</t>
    </r>
  </si>
  <si>
    <r>
      <rPr>
        <rFont val="Myanmar Sangam MN"/>
        <b/>
        <color theme="1"/>
        <sz val="9.0"/>
      </rPr>
      <t>၁.၀၂%</t>
    </r>
  </si>
  <si>
    <r>
      <rPr>
        <rFont val="Myanmar Sangam MN"/>
        <color theme="1"/>
        <sz val="10.0"/>
      </rPr>
      <t>ဦးဆန်းမင်း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</si>
  <si>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</si>
  <si>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၁၈၁</t>
    </r>
  </si>
  <si>
    <r>
      <rPr>
        <rFont val="Myanmar Sangam MN"/>
        <color theme="1"/>
        <sz val="10.0"/>
      </rPr>
      <t>၁၀၂</t>
    </r>
  </si>
  <si>
    <r>
      <rPr>
        <rFont val="Myanmar Sangam MN"/>
        <color theme="1"/>
        <sz val="10.0"/>
      </rPr>
      <t>၂၈၃</t>
    </r>
  </si>
  <si>
    <r>
      <rPr>
        <rFont val="Myanmar Sangam MN"/>
        <b/>
        <color theme="1"/>
        <sz val="9.0"/>
      </rPr>
      <t>၀.၇၉%</t>
    </r>
  </si>
  <si>
    <r>
      <rPr>
        <rFont val="Myanmar Sangam MN"/>
        <b/>
        <color theme="1"/>
        <sz val="10.0"/>
      </rPr>
      <t>၂၄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</si>
  <si>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</si>
  <si>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၅၀၄၆၇</t>
    </r>
  </si>
  <si>
    <r>
      <rPr>
        <rFont val="Myanmar Sangam MN"/>
        <b/>
        <color theme="1"/>
        <sz val="10.0"/>
      </rPr>
      <t>၂၉၇၆၉</t>
    </r>
  </si>
  <si>
    <r>
      <rPr>
        <rFont val="Myanmar Sangam MN"/>
        <b/>
        <color theme="1"/>
        <sz val="10.0"/>
      </rPr>
      <t>၈၅၄၆</t>
    </r>
  </si>
  <si>
    <r>
      <rPr>
        <rFont val="Myanmar Sangam MN"/>
        <b/>
        <color theme="1"/>
        <sz val="10.0"/>
      </rPr>
      <t>၃၈၃၁၅</t>
    </r>
  </si>
  <si>
    <r>
      <rPr>
        <rFont val="Myanmar Sangam MN"/>
        <b/>
        <color theme="1"/>
        <sz val="10.0"/>
      </rPr>
      <t>၇၅.၉၂</t>
    </r>
  </si>
  <si>
    <r>
      <rPr>
        <rFont val="Myanmar Sangam MN"/>
        <b/>
        <color theme="1"/>
        <sz val="10.0"/>
      </rPr>
      <t>၁၀၇၁</t>
    </r>
  </si>
  <si>
    <r>
      <rPr>
        <rFont val="Myanmar Sangam MN"/>
        <b/>
        <color theme="1"/>
        <sz val="10.0"/>
      </rPr>
      <t>၆၁</t>
    </r>
  </si>
  <si>
    <r>
      <rPr>
        <rFont val="Myanmar Sangam MN"/>
        <b/>
        <color theme="1"/>
        <sz val="10.0"/>
      </rPr>
      <t>၁၁၃၂</t>
    </r>
  </si>
  <si>
    <r>
      <rPr>
        <rFont val="Myanmar Sangam MN"/>
        <b/>
        <color theme="1"/>
        <sz val="10.0"/>
      </rPr>
      <t>၂၈၆၄၁</t>
    </r>
  </si>
  <si>
    <r>
      <rPr>
        <rFont val="Myanmar Sangam MN"/>
        <b/>
        <color theme="1"/>
        <sz val="10.0"/>
      </rPr>
      <t>၈၅၄၂</t>
    </r>
  </si>
  <si>
    <r>
      <rPr>
        <rFont val="Myanmar Sangam MN"/>
        <b/>
        <color theme="1"/>
        <sz val="10.0"/>
      </rPr>
      <t>၃၇၁၈၃</t>
    </r>
  </si>
  <si>
    <r>
      <rPr>
        <rFont val="Myanmar Sangam MN"/>
        <color theme="1"/>
        <sz val="10.0"/>
      </rPr>
      <t>ဦးခွန်ေရ ထီး(ခ) ဦးေဆွထီး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</si>
  <si>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</si>
  <si>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၁၈၀၅၅</t>
    </r>
  </si>
  <si>
    <r>
      <rPr>
        <rFont val="Myanmar Sangam MN"/>
        <color theme="1"/>
        <sz val="10.0"/>
      </rPr>
      <t>၄၇၁၄</t>
    </r>
  </si>
  <si>
    <r>
      <rPr>
        <rFont val="Myanmar Sangam MN"/>
        <color theme="1"/>
        <sz val="10.0"/>
      </rPr>
      <t>၂၂၇၆၉</t>
    </r>
  </si>
  <si>
    <r>
      <rPr>
        <rFont val="Myanmar Sangam MN"/>
        <b/>
        <color theme="1"/>
        <sz val="9.0"/>
      </rPr>
      <t>၆၁.၂၃%</t>
    </r>
  </si>
  <si>
    <r>
      <rPr>
        <rFont val="Myanmar Sangam MN"/>
        <color theme="1"/>
        <sz val="10.0"/>
      </rPr>
      <t>ဦးခင်ေမာင်ညိ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</si>
  <si>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</si>
  <si>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၅၃၅၄</t>
    </r>
  </si>
  <si>
    <r>
      <rPr>
        <rFont val="Myanmar Sangam MN"/>
        <color theme="1"/>
        <sz val="10.0"/>
      </rPr>
      <t>၂၁၉၄</t>
    </r>
  </si>
  <si>
    <r>
      <rPr>
        <rFont val="Myanmar Sangam MN"/>
        <color theme="1"/>
        <sz val="10.0"/>
      </rPr>
      <t>၇၅၄၈</t>
    </r>
  </si>
  <si>
    <r>
      <rPr>
        <rFont val="Myanmar Sangam MN"/>
        <b/>
        <color theme="1"/>
        <sz val="9.0"/>
      </rPr>
      <t>၂၀.၂၉%</t>
    </r>
  </si>
  <si>
    <r>
      <rPr>
        <rFont val="Myanmar Sangam MN"/>
        <color theme="1"/>
        <sz val="10.0"/>
      </rPr>
      <t xml:space="preserve">ဦးွန ်ေရ </t>
    </r>
  </si>
  <si>
    <r>
      <rPr>
        <rFont val="Myanmar Sangam MN"/>
        <color theme="1"/>
        <sz val="10.0"/>
      </rPr>
      <t>ကယားြပည်နယ်ဒီမိုကရက်တစ်ပါတီ</t>
    </r>
  </si>
  <si>
    <r>
      <rPr>
        <rFont val="Myanmar Sangam MN"/>
        <color theme="1"/>
        <sz val="10.0"/>
      </rPr>
      <t>၃၁၅၆</t>
    </r>
  </si>
  <si>
    <r>
      <rPr>
        <rFont val="Myanmar Sangam MN"/>
        <color theme="1"/>
        <sz val="10.0"/>
      </rPr>
      <t>၇၃၉</t>
    </r>
  </si>
  <si>
    <r>
      <rPr>
        <rFont val="Myanmar Sangam MN"/>
        <color theme="1"/>
        <sz val="10.0"/>
      </rPr>
      <t>၃၈၉၅</t>
    </r>
  </si>
  <si>
    <r>
      <rPr>
        <rFont val="Myanmar Sangam MN"/>
        <b/>
        <color theme="1"/>
        <sz val="9.0"/>
      </rPr>
      <t>၁၀.၄၈%</t>
    </r>
  </si>
  <si>
    <r>
      <rPr>
        <rFont val="Myanmar Sangam MN"/>
        <color theme="1"/>
        <sz val="10.0"/>
      </rPr>
      <t>ဦးသိန်းေအာင်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</si>
  <si>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</si>
  <si>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၅၉၇</t>
    </r>
  </si>
  <si>
    <r>
      <rPr>
        <rFont val="Myanmar Sangam MN"/>
        <color theme="1"/>
        <sz val="10.0"/>
      </rPr>
      <t>၁၆၈</t>
    </r>
  </si>
  <si>
    <r>
      <rPr>
        <rFont val="Myanmar Sangam MN"/>
        <color theme="1"/>
        <sz val="10.0"/>
      </rPr>
      <t>၇၆၅</t>
    </r>
  </si>
  <si>
    <r>
      <rPr>
        <rFont val="Myanmar Sangam MN"/>
        <b/>
        <color theme="1"/>
        <sz val="9.0"/>
      </rPr>
      <t>၂.၀၆%</t>
    </r>
  </si>
  <si>
    <r>
      <rPr>
        <rFont val="Myanmar Sangam MN"/>
        <color theme="1"/>
        <sz val="10.0"/>
      </rPr>
      <t>ဦးကိုရယ်</t>
    </r>
  </si>
  <si>
    <r>
      <rPr>
        <rFont val="Myanmar Sangam MN"/>
        <color rgb="FF000000"/>
        <sz val="9.0"/>
      </rPr>
      <t xml:space="preserve">ြမန်မာိုင်ငံေတာင်သူလယ်သမားအလုပ်သမား
</t>
    </r>
    <r>
      <rPr>
        <rFont val="Myanmar Sangam MN"/>
        <color rgb="FF000000"/>
        <sz val="9.0"/>
      </rPr>
      <t>ြပည်သူ ပါတီ</t>
    </r>
  </si>
  <si>
    <r>
      <rPr>
        <rFont val="Myanmar Sangam MN"/>
        <color theme="1"/>
        <sz val="9.0"/>
      </rPr>
      <t>၅၆၁</t>
    </r>
  </si>
  <si>
    <r>
      <rPr>
        <rFont val="Myanmar Sangam MN"/>
        <color theme="1"/>
        <sz val="9.0"/>
      </rPr>
      <t>၁၈၁</t>
    </r>
  </si>
  <si>
    <r>
      <rPr>
        <rFont val="Myanmar Sangam MN"/>
        <color theme="1"/>
        <sz val="10.0"/>
      </rPr>
      <t>၇၄၂</t>
    </r>
  </si>
  <si>
    <r>
      <rPr>
        <rFont val="Myanmar Sangam MN"/>
        <b/>
        <color theme="1"/>
        <sz val="9.0"/>
      </rPr>
      <t>၂.၀၀%</t>
    </r>
  </si>
  <si>
    <r>
      <rPr>
        <rFont val="Myanmar Sangam MN"/>
        <color theme="1"/>
        <sz val="10.0"/>
      </rPr>
      <t>ေဒဒါလီေဆွ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</si>
  <si>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</si>
  <si>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၃၇၄</t>
    </r>
  </si>
  <si>
    <r>
      <rPr>
        <rFont val="Myanmar Sangam MN"/>
        <color theme="1"/>
        <sz val="10.0"/>
      </rPr>
      <t>၂၆၄</t>
    </r>
  </si>
  <si>
    <r>
      <rPr>
        <rFont val="Myanmar Sangam MN"/>
        <color theme="1"/>
        <sz val="10.0"/>
      </rPr>
      <t>၆၃၈</t>
    </r>
  </si>
  <si>
    <r>
      <rPr>
        <rFont val="Myanmar Sangam MN"/>
        <b/>
        <color theme="1"/>
        <sz val="9.0"/>
      </rPr>
      <t>၁.၇၂%</t>
    </r>
  </si>
  <si>
    <r>
      <rPr>
        <rFont val="Myanmar Sangam MN"/>
        <color rgb="FF000000"/>
        <sz val="10.0"/>
      </rPr>
      <t xml:space="preserve">ေဒသီတာဦး(ခ)
</t>
    </r>
    <r>
      <rPr>
        <rFont val="Myanmar Sangam MN"/>
        <color rgb="FF000000"/>
        <sz val="10.0"/>
      </rPr>
      <t>ေဒြဖြဖခိုင်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</si>
  <si>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</si>
  <si>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၂၀၈</t>
    </r>
  </si>
  <si>
    <r>
      <rPr>
        <rFont val="Myanmar Sangam MN"/>
        <color theme="1"/>
        <sz val="10.0"/>
      </rPr>
      <t>၉၈</t>
    </r>
  </si>
  <si>
    <r>
      <rPr>
        <rFont val="Myanmar Sangam MN"/>
        <color theme="1"/>
        <sz val="10.0"/>
      </rPr>
      <t>၃၀၆</t>
    </r>
  </si>
  <si>
    <r>
      <rPr>
        <rFont val="Myanmar Sangam MN"/>
        <b/>
        <color theme="1"/>
        <sz val="9.0"/>
      </rPr>
      <t>၀.၈၂%</t>
    </r>
  </si>
  <si>
    <r>
      <rPr>
        <rFont val="Myanmar Sangam MN"/>
        <color theme="1"/>
        <sz val="10.0"/>
      </rPr>
      <t>ဦးေဇာ်ေဇာ်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</si>
  <si>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</si>
  <si>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၂၀၂</t>
    </r>
  </si>
  <si>
    <r>
      <rPr>
        <rFont val="Myanmar Sangam MN"/>
        <color theme="1"/>
        <sz val="9.0"/>
      </rPr>
      <t>၉၂</t>
    </r>
  </si>
  <si>
    <r>
      <rPr>
        <rFont val="Myanmar Sangam MN"/>
        <color theme="1"/>
        <sz val="10.0"/>
      </rPr>
      <t>၂၉၄</t>
    </r>
  </si>
  <si>
    <r>
      <rPr>
        <rFont val="Myanmar Sangam MN"/>
        <b/>
        <color theme="1"/>
        <sz val="9.0"/>
      </rPr>
      <t>၀.၇၉%</t>
    </r>
  </si>
  <si>
    <r>
      <rPr>
        <rFont val="Myanmar Sangam MN"/>
        <color theme="1"/>
        <sz val="10.0"/>
      </rPr>
      <t>ဦးခင်ြမင့်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</si>
  <si>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</si>
  <si>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၁၃၄</t>
    </r>
  </si>
  <si>
    <r>
      <rPr>
        <rFont val="Myanmar Sangam MN"/>
        <color theme="1"/>
        <sz val="10.0"/>
      </rPr>
      <t>၉၂</t>
    </r>
  </si>
  <si>
    <r>
      <rPr>
        <rFont val="Myanmar Sangam MN"/>
        <color theme="1"/>
        <sz val="10.0"/>
      </rPr>
      <t>၂၂၆</t>
    </r>
  </si>
  <si>
    <r>
      <rPr>
        <rFont val="Myanmar Sangam MN"/>
        <b/>
        <color theme="1"/>
        <sz val="9.0"/>
      </rPr>
      <t>၀.၆၁%</t>
    </r>
  </si>
  <si>
    <r>
      <rPr>
        <rFont val="Myanmar Sangam MN"/>
        <b/>
        <color theme="1"/>
        <sz val="10.0"/>
      </rPr>
      <t>ကရင်ြပည်နယ်</t>
    </r>
  </si>
  <si>
    <r>
      <rPr>
        <rFont val="Myanmar Sangam MN"/>
        <b/>
        <color theme="1"/>
        <sz val="10.0"/>
      </rPr>
      <t>၁၂၃၆၈၃၈</t>
    </r>
  </si>
  <si>
    <r>
      <rPr>
        <rFont val="Myanmar Sangam MN"/>
        <b/>
        <color theme="1"/>
        <sz val="10.0"/>
      </rPr>
      <t>၄၇၅၂၄၂</t>
    </r>
  </si>
  <si>
    <r>
      <rPr>
        <rFont val="Myanmar Sangam MN"/>
        <b/>
        <color theme="1"/>
        <sz val="10.0"/>
      </rPr>
      <t>၁၈၃၀၂၁</t>
    </r>
  </si>
  <si>
    <r>
      <rPr>
        <rFont val="Myanmar Sangam MN"/>
        <b/>
        <color theme="1"/>
        <sz val="10.0"/>
      </rPr>
      <t>၆၅၈၂၆၃</t>
    </r>
  </si>
  <si>
    <r>
      <rPr>
        <rFont val="Myanmar Sangam MN"/>
        <b/>
        <color theme="1"/>
        <sz val="10.0"/>
      </rPr>
      <t>၅၃.၂၂</t>
    </r>
  </si>
  <si>
    <r>
      <rPr>
        <rFont val="Myanmar Sangam MN"/>
        <b/>
        <color theme="1"/>
        <sz val="10.0"/>
      </rPr>
      <t>၃၁၃၀၅</t>
    </r>
  </si>
  <si>
    <r>
      <rPr>
        <rFont val="Myanmar Sangam MN"/>
        <b/>
        <color theme="1"/>
        <sz val="10.0"/>
      </rPr>
      <t>၄၂၉၇</t>
    </r>
  </si>
  <si>
    <r>
      <rPr>
        <rFont val="Myanmar Sangam MN"/>
        <b/>
        <color theme="1"/>
        <sz val="10.0"/>
      </rPr>
      <t>၃၅၆၀၂</t>
    </r>
  </si>
  <si>
    <r>
      <rPr>
        <rFont val="Myanmar Sangam MN"/>
        <b/>
        <color theme="1"/>
        <sz val="10.0"/>
      </rPr>
      <t>၄၄၉၁၁၆</t>
    </r>
  </si>
  <si>
    <r>
      <rPr>
        <rFont val="Myanmar Sangam MN"/>
        <b/>
        <color theme="1"/>
        <sz val="10.0"/>
      </rPr>
      <t>၁၇၃၅၄၅</t>
    </r>
  </si>
  <si>
    <r>
      <rPr>
        <rFont val="Myanmar Sangam MN"/>
        <b/>
        <color theme="1"/>
        <sz val="10.0"/>
      </rPr>
      <t>၆၂၂၆၆၁</t>
    </r>
  </si>
  <si>
    <r>
      <rPr>
        <rFont val="Myanmar Sangam MN"/>
        <b/>
        <color theme="1"/>
        <sz val="10.0"/>
      </rPr>
      <t>၂၅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</si>
  <si>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</si>
  <si>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၉၇၈၈၇</t>
    </r>
  </si>
  <si>
    <r>
      <rPr>
        <rFont val="Myanmar Sangam MN"/>
        <b/>
        <color theme="1"/>
        <sz val="10.0"/>
      </rPr>
      <t>၃၆၅၈၅</t>
    </r>
  </si>
  <si>
    <r>
      <rPr>
        <rFont val="Myanmar Sangam MN"/>
        <b/>
        <color theme="1"/>
        <sz val="10.0"/>
      </rPr>
      <t>၁၄၈၄၅</t>
    </r>
  </si>
  <si>
    <r>
      <rPr>
        <rFont val="Myanmar Sangam MN"/>
        <b/>
        <color theme="1"/>
        <sz val="10.0"/>
      </rPr>
      <t>၅၁၄၃၀</t>
    </r>
  </si>
  <si>
    <r>
      <rPr>
        <rFont val="Myanmar Sangam MN"/>
        <b/>
        <color theme="1"/>
        <sz val="10.0"/>
      </rPr>
      <t>၅၂.၅၄</t>
    </r>
  </si>
  <si>
    <r>
      <rPr>
        <rFont val="Myanmar Sangam MN"/>
        <b/>
        <color theme="1"/>
        <sz val="10.0"/>
      </rPr>
      <t>၂၀၀၅</t>
    </r>
  </si>
  <si>
    <r>
      <rPr>
        <rFont val="Myanmar Sangam MN"/>
        <b/>
        <color theme="1"/>
        <sz val="10.0"/>
      </rPr>
      <t>၁၂၀</t>
    </r>
  </si>
  <si>
    <r>
      <rPr>
        <rFont val="Myanmar Sangam MN"/>
        <b/>
        <color theme="1"/>
        <sz val="10.0"/>
      </rPr>
      <t>၂၁၂၅</t>
    </r>
  </si>
  <si>
    <r>
      <rPr>
        <rFont val="Myanmar Sangam MN"/>
        <b/>
        <color theme="1"/>
        <sz val="10.0"/>
      </rPr>
      <t>၃၅၀၅၀</t>
    </r>
  </si>
  <si>
    <r>
      <rPr>
        <rFont val="Myanmar Sangam MN"/>
        <b/>
        <color theme="1"/>
        <sz val="10.0"/>
      </rPr>
      <t>၁၄၂၅၅</t>
    </r>
  </si>
  <si>
    <r>
      <rPr>
        <rFont val="Myanmar Sangam MN"/>
        <b/>
        <color theme="1"/>
        <sz val="10.0"/>
      </rPr>
      <t>၄၉၃၀၅</t>
    </r>
  </si>
  <si>
    <r>
      <rPr>
        <rFont val="Myanmar Sangam MN"/>
        <color theme="1"/>
        <sz val="10.0"/>
      </rPr>
      <t>ေစာဘီစံသိန်းြမင့်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</si>
  <si>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</si>
  <si>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၁၉၀၀၉</t>
    </r>
  </si>
  <si>
    <r>
      <rPr>
        <rFont val="Myanmar Sangam MN"/>
        <color theme="1"/>
        <sz val="10.0"/>
      </rPr>
      <t>၆၆၉၆</t>
    </r>
  </si>
  <si>
    <r>
      <rPr>
        <rFont val="Myanmar Sangam MN"/>
        <color theme="1"/>
        <sz val="10.0"/>
      </rPr>
      <t>၂၅၇၀၅</t>
    </r>
  </si>
  <si>
    <r>
      <rPr>
        <rFont val="Myanmar Sangam MN"/>
        <b/>
        <color theme="1"/>
        <sz val="9.0"/>
      </rPr>
      <t>၅၂.၁၃%</t>
    </r>
  </si>
  <si>
    <r>
      <rPr>
        <rFont val="Myanmar Sangam MN"/>
        <color theme="1"/>
        <sz val="10.0"/>
      </rPr>
      <t>မန်းေအာင်ကိင်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</si>
  <si>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</si>
  <si>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၈၄၂၇</t>
    </r>
  </si>
  <si>
    <r>
      <rPr>
        <rFont val="Myanmar Sangam MN"/>
        <color theme="1"/>
        <sz val="10.0"/>
      </rPr>
      <t>၃၃၉၃</t>
    </r>
  </si>
  <si>
    <r>
      <rPr>
        <rFont val="Myanmar Sangam MN"/>
        <color theme="1"/>
        <sz val="10.0"/>
      </rPr>
      <t>၁၁၈၂၀</t>
    </r>
  </si>
  <si>
    <r>
      <rPr>
        <rFont val="Myanmar Sangam MN"/>
        <b/>
        <color theme="1"/>
        <sz val="9.0"/>
      </rPr>
      <t>၂၃.၉၇%</t>
    </r>
  </si>
  <si>
    <r>
      <rPr>
        <rFont val="Myanmar Sangam MN"/>
        <color theme="1"/>
        <sz val="10.0"/>
      </rPr>
      <t>ဦးေအာင်ြမင့်သိန်း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</si>
  <si>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</si>
  <si>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၇၁၂၅</t>
    </r>
  </si>
  <si>
    <r>
      <rPr>
        <rFont val="Myanmar Sangam MN"/>
        <color theme="1"/>
        <sz val="10.0"/>
      </rPr>
      <t>၃၈၁၄</t>
    </r>
  </si>
  <si>
    <r>
      <rPr>
        <rFont val="Myanmar Sangam MN"/>
        <color theme="1"/>
        <sz val="10.0"/>
      </rPr>
      <t>၁၀၉၃၉</t>
    </r>
  </si>
  <si>
    <r>
      <rPr>
        <rFont val="Myanmar Sangam MN"/>
        <b/>
        <color theme="1"/>
        <sz val="9.0"/>
      </rPr>
      <t>၂၂.၁၉%</t>
    </r>
  </si>
  <si>
    <r>
      <rPr>
        <rFont val="Myanmar Sangam MN"/>
        <color theme="1"/>
        <sz val="10.0"/>
      </rPr>
      <t>ဦးေနမျးိ ွန 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</si>
  <si>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</si>
  <si>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၄၈၉</t>
    </r>
  </si>
  <si>
    <r>
      <rPr>
        <rFont val="Myanmar Sangam MN"/>
        <color theme="1"/>
        <sz val="10.0"/>
      </rPr>
      <t>၃၅၂</t>
    </r>
  </si>
  <si>
    <r>
      <rPr>
        <rFont val="Myanmar Sangam MN"/>
        <color theme="1"/>
        <sz val="10.0"/>
      </rPr>
      <t>၈၄၁</t>
    </r>
  </si>
  <si>
    <r>
      <rPr>
        <rFont val="Myanmar Sangam MN"/>
        <b/>
        <color theme="1"/>
        <sz val="9.0"/>
      </rPr>
      <t>၁.၇၁%</t>
    </r>
  </si>
  <si>
    <r>
      <rPr>
        <rFont val="Myanmar Sangam MN"/>
        <b/>
        <color theme="1"/>
        <sz val="10.0"/>
      </rPr>
      <t>၂၆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</si>
  <si>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</si>
  <si>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၁၀၇၄၆၉</t>
    </r>
  </si>
  <si>
    <r>
      <rPr>
        <rFont val="Myanmar Sangam MN"/>
        <b/>
        <color theme="1"/>
        <sz val="10.0"/>
      </rPr>
      <t>၃၈၀၉၁</t>
    </r>
  </si>
  <si>
    <r>
      <rPr>
        <rFont val="Myanmar Sangam MN"/>
        <b/>
        <color theme="1"/>
        <sz val="10.0"/>
      </rPr>
      <t>၁၅၅၆၁</t>
    </r>
  </si>
  <si>
    <r>
      <rPr>
        <rFont val="Myanmar Sangam MN"/>
        <b/>
        <color theme="1"/>
        <sz val="10.0"/>
      </rPr>
      <t>၅၃၆၅၂</t>
    </r>
  </si>
  <si>
    <r>
      <rPr>
        <rFont val="Myanmar Sangam MN"/>
        <b/>
        <color theme="1"/>
        <sz val="10.0"/>
      </rPr>
      <t>၄၉.၉၂</t>
    </r>
  </si>
  <si>
    <r>
      <rPr>
        <rFont val="Myanmar Sangam MN"/>
        <b/>
        <color theme="1"/>
        <sz val="10.0"/>
      </rPr>
      <t>၃၀၄၂</t>
    </r>
  </si>
  <si>
    <r>
      <rPr>
        <rFont val="Myanmar Sangam MN"/>
        <b/>
        <color theme="1"/>
        <sz val="10.0"/>
      </rPr>
      <t>၆၁</t>
    </r>
  </si>
  <si>
    <r>
      <rPr>
        <rFont val="Myanmar Sangam MN"/>
        <b/>
        <color theme="1"/>
        <sz val="10.0"/>
      </rPr>
      <t>၃၁၀၃</t>
    </r>
  </si>
  <si>
    <r>
      <rPr>
        <rFont val="Myanmar Sangam MN"/>
        <b/>
        <color theme="1"/>
        <sz val="10.0"/>
      </rPr>
      <t>၃၅၇၄၂</t>
    </r>
  </si>
  <si>
    <r>
      <rPr>
        <rFont val="Myanmar Sangam MN"/>
        <b/>
        <color theme="1"/>
        <sz val="10.0"/>
      </rPr>
      <t>၁၄၈၀၇</t>
    </r>
  </si>
  <si>
    <r>
      <rPr>
        <rFont val="Myanmar Sangam MN"/>
        <b/>
        <color theme="1"/>
        <sz val="10.0"/>
      </rPr>
      <t>၅၀၅၄၉</t>
    </r>
  </si>
  <si>
    <r>
      <rPr>
        <rFont val="Myanmar Sangam MN"/>
        <color theme="1"/>
        <sz val="10.0"/>
      </rPr>
      <t>ေဒါက်တာမျးိ ေအာင်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</si>
  <si>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</si>
  <si>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၁၄၆၂၇</t>
    </r>
  </si>
  <si>
    <r>
      <rPr>
        <rFont val="Myanmar Sangam MN"/>
        <color theme="1"/>
        <sz val="10.0"/>
      </rPr>
      <t>၅၆၂၉</t>
    </r>
  </si>
  <si>
    <r>
      <rPr>
        <rFont val="Myanmar Sangam MN"/>
        <color theme="1"/>
        <sz val="10.0"/>
      </rPr>
      <t>၂၀၂၅၆</t>
    </r>
  </si>
  <si>
    <r>
      <rPr>
        <rFont val="Myanmar Sangam MN"/>
        <b/>
        <color theme="1"/>
        <sz val="9.0"/>
      </rPr>
      <t>၄၀.၀၇%</t>
    </r>
  </si>
  <si>
    <r>
      <rPr>
        <rFont val="Myanmar Sangam MN"/>
        <color theme="1"/>
        <sz val="10.0"/>
      </rPr>
      <t>မိေအးယဉ်ဝင်း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</si>
  <si>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</si>
  <si>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၁၀၉၃၇</t>
    </r>
  </si>
  <si>
    <r>
      <rPr>
        <rFont val="Myanmar Sangam MN"/>
        <color theme="1"/>
        <sz val="10.0"/>
      </rPr>
      <t>၄၆၉၄</t>
    </r>
  </si>
  <si>
    <r>
      <rPr>
        <rFont val="Myanmar Sangam MN"/>
        <color theme="1"/>
        <sz val="10.0"/>
      </rPr>
      <t>၁၅၆၃၁</t>
    </r>
  </si>
  <si>
    <r>
      <rPr>
        <rFont val="Myanmar Sangam MN"/>
        <b/>
        <color theme="1"/>
        <sz val="9.0"/>
      </rPr>
      <t>၃၀.၉၂%</t>
    </r>
  </si>
  <si>
    <r>
      <rPr>
        <rFont val="Myanmar Sangam MN"/>
        <color theme="1"/>
        <sz val="10.0"/>
      </rPr>
      <t>ဦးပါဝင်း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</si>
  <si>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</si>
  <si>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၄၃၃၅</t>
    </r>
  </si>
  <si>
    <r>
      <rPr>
        <rFont val="Myanmar Sangam MN"/>
        <color theme="1"/>
        <sz val="10.0"/>
      </rPr>
      <t>၂၇၆၂</t>
    </r>
  </si>
  <si>
    <r>
      <rPr>
        <rFont val="Myanmar Sangam MN"/>
        <color theme="1"/>
        <sz val="10.0"/>
      </rPr>
      <t>၇၀၉၇</t>
    </r>
  </si>
  <si>
    <r>
      <rPr>
        <rFont val="Myanmar Sangam MN"/>
        <b/>
        <color theme="1"/>
        <sz val="9.0"/>
      </rPr>
      <t>၁၄.၀၄%</t>
    </r>
  </si>
  <si>
    <r>
      <rPr>
        <rFont val="Myanmar Sangam MN"/>
        <color theme="1"/>
        <sz val="10.0"/>
      </rPr>
      <t>ေစာမင်းမင်းမိင်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</si>
  <si>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</si>
  <si>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၅၄၉၅</t>
    </r>
  </si>
  <si>
    <r>
      <rPr>
        <rFont val="Myanmar Sangam MN"/>
        <color theme="1"/>
        <sz val="10.0"/>
      </rPr>
      <t>၁၅၃၄</t>
    </r>
  </si>
  <si>
    <r>
      <rPr>
        <rFont val="Myanmar Sangam MN"/>
        <color theme="1"/>
        <sz val="10.0"/>
      </rPr>
      <t>၇၀၂၉</t>
    </r>
  </si>
  <si>
    <r>
      <rPr>
        <rFont val="Myanmar Sangam MN"/>
        <b/>
        <color theme="1"/>
        <sz val="9.0"/>
      </rPr>
      <t>၁၃.၉၁%</t>
    </r>
  </si>
  <si>
    <r>
      <rPr>
        <rFont val="Myanmar Sangam MN"/>
        <color theme="1"/>
        <sz val="10.0"/>
      </rPr>
      <t>ဦးေစာေနလင်းေဇာ်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</si>
  <si>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</si>
  <si>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၃၄၈</t>
    </r>
  </si>
  <si>
    <r>
      <rPr>
        <rFont val="Myanmar Sangam MN"/>
        <color theme="1"/>
        <sz val="10.0"/>
      </rPr>
      <t>၁၈၈</t>
    </r>
  </si>
  <si>
    <r>
      <rPr>
        <rFont val="Myanmar Sangam MN"/>
        <color theme="1"/>
        <sz val="10.0"/>
      </rPr>
      <t>၅၃၆</t>
    </r>
  </si>
  <si>
    <r>
      <rPr>
        <rFont val="Myanmar Sangam MN"/>
        <b/>
        <color theme="1"/>
        <sz val="9.0"/>
      </rPr>
      <t>၁.၀၆%</t>
    </r>
  </si>
  <si>
    <r>
      <rPr>
        <rFont val="Myanmar Sangam MN"/>
        <b/>
        <color theme="1"/>
        <sz val="10.0"/>
      </rPr>
      <t>၂၇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</si>
  <si>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</si>
  <si>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၆၆၄၇၅</t>
    </r>
  </si>
  <si>
    <r>
      <rPr>
        <rFont val="Myanmar Sangam MN"/>
        <b/>
        <color theme="1"/>
        <sz val="10.0"/>
      </rPr>
      <t>၂၆၈၇၃</t>
    </r>
  </si>
  <si>
    <r>
      <rPr>
        <rFont val="Myanmar Sangam MN"/>
        <b/>
        <color theme="1"/>
        <sz val="10.0"/>
      </rPr>
      <t>၁၀၁၈၇</t>
    </r>
  </si>
  <si>
    <r>
      <rPr>
        <rFont val="Myanmar Sangam MN"/>
        <b/>
        <color theme="1"/>
        <sz val="10.0"/>
      </rPr>
      <t>၃၇၀၆၀</t>
    </r>
  </si>
  <si>
    <r>
      <rPr>
        <rFont val="Myanmar Sangam MN"/>
        <b/>
        <color theme="1"/>
        <sz val="10.0"/>
      </rPr>
      <t>၅၅.၇၅</t>
    </r>
  </si>
  <si>
    <r>
      <rPr>
        <rFont val="Myanmar Sangam MN"/>
        <b/>
        <color theme="1"/>
        <sz val="10.0"/>
      </rPr>
      <t>၁၈၈၄</t>
    </r>
  </si>
  <si>
    <r>
      <rPr>
        <rFont val="Myanmar Sangam MN"/>
        <b/>
        <color theme="1"/>
        <sz val="10.0"/>
      </rPr>
      <t>၁၈</t>
    </r>
  </si>
  <si>
    <r>
      <rPr>
        <rFont val="Myanmar Sangam MN"/>
        <b/>
        <color theme="1"/>
        <sz val="10.0"/>
      </rPr>
      <t>၁၉၀၂</t>
    </r>
  </si>
  <si>
    <r>
      <rPr>
        <rFont val="Myanmar Sangam MN"/>
        <b/>
        <color theme="1"/>
        <sz val="10.0"/>
      </rPr>
      <t>၂၅၄၆၇</t>
    </r>
  </si>
  <si>
    <r>
      <rPr>
        <rFont val="Myanmar Sangam MN"/>
        <b/>
        <color theme="1"/>
        <sz val="10.0"/>
      </rPr>
      <t>၉၆၉၁</t>
    </r>
  </si>
  <si>
    <r>
      <rPr>
        <rFont val="Myanmar Sangam MN"/>
        <b/>
        <color theme="1"/>
        <sz val="10.0"/>
      </rPr>
      <t>၃၅၁၅၈</t>
    </r>
  </si>
  <si>
    <r>
      <rPr>
        <rFont val="Myanmar Sangam MN"/>
        <color theme="1"/>
        <sz val="10.0"/>
      </rPr>
      <t>ေစာေငွေစာ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</si>
  <si>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</si>
  <si>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၁၄၅၈၇</t>
    </r>
  </si>
  <si>
    <r>
      <rPr>
        <rFont val="Myanmar Sangam MN"/>
        <color theme="1"/>
        <sz val="10.0"/>
      </rPr>
      <t>၄၆၃၀</t>
    </r>
  </si>
  <si>
    <r>
      <rPr>
        <rFont val="Myanmar Sangam MN"/>
        <color theme="1"/>
        <sz val="10.0"/>
      </rPr>
      <t>၁၉၂၁၇</t>
    </r>
  </si>
  <si>
    <r>
      <rPr>
        <rFont val="Myanmar Sangam MN"/>
        <b/>
        <color theme="1"/>
        <sz val="9.0"/>
      </rPr>
      <t>၅၄.၆၆%</t>
    </r>
  </si>
  <si>
    <r>
      <rPr>
        <rFont val="Myanmar Sangam MN"/>
        <color theme="1"/>
        <sz val="10.0"/>
      </rPr>
      <t>ဦးေစာဒိုးဝါး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</si>
  <si>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</si>
  <si>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၃၂၈၄</t>
    </r>
  </si>
  <si>
    <r>
      <rPr>
        <rFont val="Myanmar Sangam MN"/>
        <color theme="1"/>
        <sz val="10.0"/>
      </rPr>
      <t>၂၅၁၅</t>
    </r>
  </si>
  <si>
    <r>
      <rPr>
        <rFont val="Myanmar Sangam MN"/>
        <color theme="1"/>
        <sz val="10.0"/>
      </rPr>
      <t>၅၇၉၉</t>
    </r>
  </si>
  <si>
    <r>
      <rPr>
        <rFont val="Myanmar Sangam MN"/>
        <b/>
        <color theme="1"/>
        <sz val="9.0"/>
      </rPr>
      <t>၁၆.၄၉%</t>
    </r>
  </si>
  <si>
    <r>
      <rPr>
        <rFont val="Myanmar Sangam MN"/>
        <color theme="1"/>
        <sz val="10.0"/>
      </rPr>
      <t>ေစာဘဲထူး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</si>
  <si>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</si>
  <si>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၃၈၈၀</t>
    </r>
  </si>
  <si>
    <r>
      <rPr>
        <rFont val="Myanmar Sangam MN"/>
        <color theme="1"/>
        <sz val="10.0"/>
      </rPr>
      <t>၁၀၂၄</t>
    </r>
  </si>
  <si>
    <r>
      <rPr>
        <rFont val="Myanmar Sangam MN"/>
        <color theme="1"/>
        <sz val="10.0"/>
      </rPr>
      <t>၄၉၀၄</t>
    </r>
  </si>
  <si>
    <r>
      <rPr>
        <rFont val="Myanmar Sangam MN"/>
        <b/>
        <color theme="1"/>
        <sz val="9.0"/>
      </rPr>
      <t>၁၃.၉၅%</t>
    </r>
  </si>
  <si>
    <r>
      <rPr>
        <rFont val="Myanmar Sangam MN"/>
        <color theme="1"/>
        <sz val="10.0"/>
      </rPr>
      <t>မင်းစံထွန်း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</si>
  <si>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</si>
  <si>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၃၂၈၁</t>
    </r>
  </si>
  <si>
    <r>
      <rPr>
        <rFont val="Myanmar Sangam MN"/>
        <color theme="1"/>
        <sz val="10.0"/>
      </rPr>
      <t>၁၂၁၄</t>
    </r>
  </si>
  <si>
    <r>
      <rPr>
        <rFont val="Myanmar Sangam MN"/>
        <color theme="1"/>
        <sz val="10.0"/>
      </rPr>
      <t>၄၄၉၅</t>
    </r>
  </si>
  <si>
    <r>
      <rPr>
        <rFont val="Myanmar Sangam MN"/>
        <b/>
        <color theme="1"/>
        <sz val="9.0"/>
      </rPr>
      <t>၁၂.၇၉%</t>
    </r>
  </si>
  <si>
    <r>
      <rPr>
        <rFont val="Myanmar Sangam MN"/>
        <color theme="1"/>
        <sz val="10.0"/>
      </rPr>
      <t>ဦးေအးသိန်း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</si>
  <si>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</si>
  <si>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၄၃၅</t>
    </r>
  </si>
  <si>
    <r>
      <rPr>
        <rFont val="Myanmar Sangam MN"/>
        <color theme="1"/>
        <sz val="10.0"/>
      </rPr>
      <t>၃၀၈</t>
    </r>
  </si>
  <si>
    <r>
      <rPr>
        <rFont val="Myanmar Sangam MN"/>
        <color theme="1"/>
        <sz val="10.0"/>
      </rPr>
      <t>၇၄၃</t>
    </r>
  </si>
  <si>
    <r>
      <rPr>
        <rFont val="Myanmar Sangam MN"/>
        <b/>
        <color theme="1"/>
        <sz val="9.0"/>
      </rPr>
      <t>၂.၁၁%</t>
    </r>
  </si>
  <si>
    <r>
      <rPr>
        <rFont val="Myanmar Sangam MN"/>
        <b/>
        <color theme="1"/>
        <sz val="10.0"/>
      </rPr>
      <t>၂၈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</si>
  <si>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</si>
  <si>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၉၇၄၉၁</t>
    </r>
  </si>
  <si>
    <r>
      <rPr>
        <rFont val="Myanmar Sangam MN"/>
        <b/>
        <color theme="1"/>
        <sz val="10.0"/>
      </rPr>
      <t>၃၄၀၁၆</t>
    </r>
  </si>
  <si>
    <r>
      <rPr>
        <rFont val="Myanmar Sangam MN"/>
        <b/>
        <color theme="1"/>
        <sz val="10.0"/>
      </rPr>
      <t>၁၂၁၉၈</t>
    </r>
  </si>
  <si>
    <r>
      <rPr>
        <rFont val="Myanmar Sangam MN"/>
        <b/>
        <color theme="1"/>
        <sz val="10.0"/>
      </rPr>
      <t>၄၆၂၁၄</t>
    </r>
  </si>
  <si>
    <r>
      <rPr>
        <rFont val="Myanmar Sangam MN"/>
        <b/>
        <color theme="1"/>
        <sz val="10.0"/>
      </rPr>
      <t>၄၇.၄၀</t>
    </r>
  </si>
  <si>
    <r>
      <rPr>
        <rFont val="Myanmar Sangam MN"/>
        <b/>
        <color theme="1"/>
        <sz val="10.0"/>
      </rPr>
      <t>၂၂၃၅</t>
    </r>
  </si>
  <si>
    <r>
      <rPr>
        <rFont val="Myanmar Sangam MN"/>
        <b/>
        <color theme="1"/>
        <sz val="10.0"/>
      </rPr>
      <t>၃၇</t>
    </r>
  </si>
  <si>
    <r>
      <rPr>
        <rFont val="Myanmar Sangam MN"/>
        <b/>
        <color theme="1"/>
        <sz val="10.0"/>
      </rPr>
      <t>၂၂၇၂</t>
    </r>
  </si>
  <si>
    <r>
      <rPr>
        <rFont val="Myanmar Sangam MN"/>
        <b/>
        <color theme="1"/>
        <sz val="10.0"/>
      </rPr>
      <t>၃၁၈၆၈</t>
    </r>
  </si>
  <si>
    <r>
      <rPr>
        <rFont val="Myanmar Sangam MN"/>
        <b/>
        <color theme="1"/>
        <sz val="10.0"/>
      </rPr>
      <t>၁၂၀၇၄</t>
    </r>
  </si>
  <si>
    <r>
      <rPr>
        <rFont val="Myanmar Sangam MN"/>
        <b/>
        <color theme="1"/>
        <sz val="10.0"/>
      </rPr>
      <t>၄၃၉၄၂</t>
    </r>
  </si>
  <si>
    <r>
      <rPr>
        <rFont val="Myanmar Sangam MN"/>
        <color theme="1"/>
        <sz val="10.0"/>
      </rPr>
      <t>ေစာယှားေဖာင်အွာ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</si>
  <si>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</si>
  <si>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၁၃၆၂၆</t>
    </r>
  </si>
  <si>
    <r>
      <rPr>
        <rFont val="Myanmar Sangam MN"/>
        <color theme="1"/>
        <sz val="10.0"/>
      </rPr>
      <t>၄၀၁၀</t>
    </r>
  </si>
  <si>
    <r>
      <rPr>
        <rFont val="Myanmar Sangam MN"/>
        <color theme="1"/>
        <sz val="10.0"/>
      </rPr>
      <t>၁၇၆၃၆</t>
    </r>
  </si>
  <si>
    <r>
      <rPr>
        <rFont val="Myanmar Sangam MN"/>
        <b/>
        <color theme="1"/>
        <sz val="9.0"/>
      </rPr>
      <t>၄၀.၁၃%</t>
    </r>
  </si>
  <si>
    <r>
      <rPr>
        <rFont val="Myanmar Sangam MN"/>
        <color theme="1"/>
        <sz val="10.0"/>
      </rPr>
      <t>ေဒေဝသီဖိး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</si>
  <si>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</si>
  <si>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၅၈၆၆</t>
    </r>
  </si>
  <si>
    <r>
      <rPr>
        <rFont val="Myanmar Sangam MN"/>
        <color theme="1"/>
        <sz val="10.0"/>
      </rPr>
      <t>၃၈၅၃</t>
    </r>
  </si>
  <si>
    <r>
      <rPr>
        <rFont val="Myanmar Sangam MN"/>
        <color theme="1"/>
        <sz val="10.0"/>
      </rPr>
      <t>၉၇၁၉</t>
    </r>
  </si>
  <si>
    <r>
      <rPr>
        <rFont val="Myanmar Sangam MN"/>
        <b/>
        <color theme="1"/>
        <sz val="9.0"/>
      </rPr>
      <t>၂၂.၁၂%</t>
    </r>
  </si>
  <si>
    <r>
      <rPr>
        <rFont val="Myanmar Sangam MN"/>
        <color theme="1"/>
        <sz val="10.0"/>
      </rPr>
      <t>ေစာြမင့်ေထွး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</si>
  <si>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</si>
  <si>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၇၁၈၁</t>
    </r>
  </si>
  <si>
    <r>
      <rPr>
        <rFont val="Myanmar Sangam MN"/>
        <color theme="1"/>
        <sz val="10.0"/>
      </rPr>
      <t>၁၈၄၀</t>
    </r>
  </si>
  <si>
    <r>
      <rPr>
        <rFont val="Myanmar Sangam MN"/>
        <color theme="1"/>
        <sz val="10.0"/>
      </rPr>
      <t>၉၀၂၁</t>
    </r>
  </si>
  <si>
    <r>
      <rPr>
        <rFont val="Myanmar Sangam MN"/>
        <b/>
        <color theme="1"/>
        <sz val="9.0"/>
      </rPr>
      <t>၂၀.၅၃%</t>
    </r>
  </si>
  <si>
    <r>
      <rPr>
        <rFont val="Myanmar Sangam MN"/>
        <color theme="1"/>
        <sz val="10.0"/>
      </rPr>
      <t>ဦးေစာြမဝင်း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</si>
  <si>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</si>
  <si>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၅၀၀၂</t>
    </r>
  </si>
  <si>
    <r>
      <rPr>
        <rFont val="Myanmar Sangam MN"/>
        <color theme="1"/>
        <sz val="10.0"/>
      </rPr>
      <t>၂၂၃၀</t>
    </r>
  </si>
  <si>
    <r>
      <rPr>
        <rFont val="Myanmar Sangam MN"/>
        <color theme="1"/>
        <sz val="10.0"/>
      </rPr>
      <t>၇၂၃၂</t>
    </r>
  </si>
  <si>
    <r>
      <rPr>
        <rFont val="Myanmar Sangam MN"/>
        <b/>
        <color theme="1"/>
        <sz val="9.0"/>
      </rPr>
      <t>၁၆.၄၆%</t>
    </r>
  </si>
  <si>
    <r>
      <rPr>
        <rFont val="Myanmar Sangam MN"/>
        <color theme="1"/>
        <sz val="10.0"/>
      </rPr>
      <t>ေဒေအးသွယ်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</si>
  <si>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</si>
  <si>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၁၉၃</t>
    </r>
  </si>
  <si>
    <r>
      <rPr>
        <rFont val="Myanmar Sangam MN"/>
        <color theme="1"/>
        <sz val="10.0"/>
      </rPr>
      <t>၁၄၁</t>
    </r>
  </si>
  <si>
    <r>
      <rPr>
        <rFont val="Myanmar Sangam MN"/>
        <color theme="1"/>
        <sz val="10.0"/>
      </rPr>
      <t>၃၃၄</t>
    </r>
  </si>
  <si>
    <r>
      <rPr>
        <rFont val="Myanmar Sangam MN"/>
        <b/>
        <color theme="1"/>
        <sz val="9.0"/>
      </rPr>
      <t>၀.၇၆%</t>
    </r>
  </si>
  <si>
    <r>
      <rPr>
        <rFont val="Myanmar Sangam MN"/>
        <b/>
        <color theme="1"/>
        <sz val="10.0"/>
      </rPr>
      <t>၂၉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</si>
  <si>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</si>
  <si>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၂၂၈၃၀</t>
    </r>
  </si>
  <si>
    <r>
      <rPr>
        <rFont val="Myanmar Sangam MN"/>
        <b/>
        <color theme="1"/>
        <sz val="10.0"/>
      </rPr>
      <t>၁၀၁၂၈</t>
    </r>
  </si>
  <si>
    <r>
      <rPr>
        <rFont val="Myanmar Sangam MN"/>
        <b/>
        <color theme="1"/>
        <sz val="10.0"/>
      </rPr>
      <t>၅၉၁၀</t>
    </r>
  </si>
  <si>
    <r>
      <rPr>
        <rFont val="Myanmar Sangam MN"/>
        <b/>
        <color theme="1"/>
        <sz val="10.0"/>
      </rPr>
      <t>၁၆၀၃၈</t>
    </r>
  </si>
  <si>
    <r>
      <rPr>
        <rFont val="Myanmar Sangam MN"/>
        <b/>
        <color theme="1"/>
        <sz val="10.0"/>
      </rPr>
      <t>၇၀.၂၅</t>
    </r>
  </si>
  <si>
    <r>
      <rPr>
        <rFont val="Myanmar Sangam MN"/>
        <b/>
        <color theme="1"/>
        <sz val="10.0"/>
      </rPr>
      <t>၅၃၉</t>
    </r>
  </si>
  <si>
    <r>
      <rPr>
        <rFont val="Myanmar Sangam MN"/>
        <b/>
        <color theme="1"/>
        <sz val="10.0"/>
      </rPr>
      <t>၂၃</t>
    </r>
  </si>
  <si>
    <r>
      <rPr>
        <rFont val="Myanmar Sangam MN"/>
        <b/>
        <color theme="1"/>
        <sz val="10.0"/>
      </rPr>
      <t>၅၆၂</t>
    </r>
  </si>
  <si>
    <r>
      <rPr>
        <rFont val="Myanmar Sangam MN"/>
        <b/>
        <color theme="1"/>
        <sz val="10.0"/>
      </rPr>
      <t>၉၇၇၀</t>
    </r>
  </si>
  <si>
    <r>
      <rPr>
        <rFont val="Myanmar Sangam MN"/>
        <b/>
        <color theme="1"/>
        <sz val="10.0"/>
      </rPr>
      <t>၅၇၀၆</t>
    </r>
  </si>
  <si>
    <r>
      <rPr>
        <rFont val="Myanmar Sangam MN"/>
        <b/>
        <color theme="1"/>
        <sz val="10.0"/>
      </rPr>
      <t>၁၅၄၇၆</t>
    </r>
  </si>
  <si>
    <r>
      <rPr>
        <rFont val="Myanmar Sangam MN"/>
        <color theme="1"/>
        <sz val="10.0"/>
      </rPr>
      <t>ဦးစိုင်းသန်းိုင်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</si>
  <si>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</si>
  <si>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၄၃၃၁</t>
    </r>
  </si>
  <si>
    <r>
      <rPr>
        <rFont val="Myanmar Sangam MN"/>
        <color theme="1"/>
        <sz val="10.0"/>
      </rPr>
      <t>၃၄၁၀</t>
    </r>
  </si>
  <si>
    <r>
      <rPr>
        <rFont val="Myanmar Sangam MN"/>
        <color theme="1"/>
        <sz val="10.0"/>
      </rPr>
      <t>၇၇၄၁</t>
    </r>
  </si>
  <si>
    <r>
      <rPr>
        <rFont val="Myanmar Sangam MN"/>
        <b/>
        <color theme="1"/>
        <sz val="9.0"/>
      </rPr>
      <t>၅၀.၀၂%</t>
    </r>
  </si>
  <si>
    <r>
      <rPr>
        <rFont val="Myanmar Sangam MN"/>
        <color theme="1"/>
        <sz val="10.0"/>
      </rPr>
      <t>ဦးစည်သူဟိန်း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</si>
  <si>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</si>
  <si>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၄၂၉၃</t>
    </r>
  </si>
  <si>
    <r>
      <rPr>
        <rFont val="Myanmar Sangam MN"/>
        <color theme="1"/>
        <sz val="10.0"/>
      </rPr>
      <t>၁၇၉၉</t>
    </r>
  </si>
  <si>
    <r>
      <rPr>
        <rFont val="Myanmar Sangam MN"/>
        <color theme="1"/>
        <sz val="10.0"/>
      </rPr>
      <t>၆၀၉၂</t>
    </r>
  </si>
  <si>
    <r>
      <rPr>
        <rFont val="Myanmar Sangam MN"/>
        <b/>
        <color theme="1"/>
        <sz val="9.0"/>
      </rPr>
      <t>၃၉.၃၆%</t>
    </r>
  </si>
  <si>
    <r>
      <rPr>
        <rFont val="Myanmar Sangam MN"/>
        <color theme="1"/>
        <sz val="10.0"/>
      </rPr>
      <t>ေစာေကျာ်လင်းစိုး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</si>
  <si>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</si>
  <si>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၉၄၅</t>
    </r>
  </si>
  <si>
    <r>
      <rPr>
        <rFont val="Myanmar Sangam MN"/>
        <color theme="1"/>
        <sz val="10.0"/>
      </rPr>
      <t>၃၃၃</t>
    </r>
  </si>
  <si>
    <r>
      <rPr>
        <rFont val="Myanmar Sangam MN"/>
        <color theme="1"/>
        <sz val="10.0"/>
      </rPr>
      <t>၁၂၇၈</t>
    </r>
  </si>
  <si>
    <r>
      <rPr>
        <rFont val="Myanmar Sangam MN"/>
        <b/>
        <color theme="1"/>
        <sz val="9.0"/>
      </rPr>
      <t>၈.၂၆%</t>
    </r>
  </si>
  <si>
    <r>
      <rPr>
        <rFont val="Myanmar Sangam MN"/>
        <color theme="1"/>
        <sz val="10.0"/>
      </rPr>
      <t>ဦးစိုင်းသိန်းကယ်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</si>
  <si>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</si>
  <si>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၂၀၁</t>
    </r>
  </si>
  <si>
    <r>
      <rPr>
        <rFont val="Myanmar Sangam MN"/>
        <color theme="1"/>
        <sz val="10.0"/>
      </rPr>
      <t>၁၆၄</t>
    </r>
  </si>
  <si>
    <r>
      <rPr>
        <rFont val="Myanmar Sangam MN"/>
        <color theme="1"/>
        <sz val="10.0"/>
      </rPr>
      <t>၃၆၅</t>
    </r>
  </si>
  <si>
    <r>
      <rPr>
        <rFont val="Myanmar Sangam MN"/>
        <b/>
        <color theme="1"/>
        <sz val="9.0"/>
      </rPr>
      <t>၂.၃၆%</t>
    </r>
  </si>
  <si>
    <r>
      <rPr>
        <rFont val="Myanmar Sangam MN"/>
        <b/>
        <color theme="1"/>
        <sz val="10.0"/>
      </rPr>
      <t>၃၀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</si>
  <si>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</si>
  <si>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၁၈၄၄၅၈</t>
    </r>
  </si>
  <si>
    <r>
      <rPr>
        <rFont val="Myanmar Sangam MN"/>
        <b/>
        <color theme="1"/>
        <sz val="10.0"/>
      </rPr>
      <t>၆၈၈၇၇</t>
    </r>
  </si>
  <si>
    <r>
      <rPr>
        <rFont val="Myanmar Sangam MN"/>
        <b/>
        <color theme="1"/>
        <sz val="10.0"/>
      </rPr>
      <t>၃၃၃၃၇</t>
    </r>
  </si>
  <si>
    <r>
      <rPr>
        <rFont val="Myanmar Sangam MN"/>
        <b/>
        <color theme="1"/>
        <sz val="10.0"/>
      </rPr>
      <t>၁၀၂၂၁၄</t>
    </r>
  </si>
  <si>
    <r>
      <rPr>
        <rFont val="Myanmar Sangam MN"/>
        <b/>
        <color theme="1"/>
        <sz val="10.0"/>
      </rPr>
      <t>၅၅.၄၁</t>
    </r>
  </si>
  <si>
    <r>
      <rPr>
        <rFont val="Myanmar Sangam MN"/>
        <b/>
        <color theme="1"/>
        <sz val="10.0"/>
      </rPr>
      <t>၃၆၅၈</t>
    </r>
  </si>
  <si>
    <r>
      <rPr>
        <rFont val="Myanmar Sangam MN"/>
        <b/>
        <color theme="1"/>
        <sz val="10.0"/>
      </rPr>
      <t>၇၅</t>
    </r>
  </si>
  <si>
    <r>
      <rPr>
        <rFont val="Myanmar Sangam MN"/>
        <b/>
        <color theme="1"/>
        <sz val="10.0"/>
      </rPr>
      <t>၃၇၃၃</t>
    </r>
  </si>
  <si>
    <r>
      <rPr>
        <rFont val="Myanmar Sangam MN"/>
        <b/>
        <color theme="1"/>
        <sz val="10.0"/>
      </rPr>
      <t>၆၆၃၅၀</t>
    </r>
  </si>
  <si>
    <r>
      <rPr>
        <rFont val="Myanmar Sangam MN"/>
        <b/>
        <color theme="1"/>
        <sz val="10.0"/>
      </rPr>
      <t>၃၂၁၃၁</t>
    </r>
  </si>
  <si>
    <r>
      <rPr>
        <rFont val="Myanmar Sangam MN"/>
        <b/>
        <color theme="1"/>
        <sz val="10.0"/>
      </rPr>
      <t>၉၈၄၈၁</t>
    </r>
  </si>
  <si>
    <r>
      <rPr>
        <rFont val="Myanmar Sangam MN"/>
        <color theme="1"/>
        <sz val="10.0"/>
      </rPr>
      <t>ေစာမိုးြမင့်(ခ)ဆင်ြမရယ်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</si>
  <si>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</si>
  <si>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၃၉၉၉၆</t>
    </r>
  </si>
  <si>
    <r>
      <rPr>
        <rFont val="Myanmar Sangam MN"/>
        <color theme="1"/>
        <sz val="10.0"/>
      </rPr>
      <t>၁၇၃၄၁</t>
    </r>
  </si>
  <si>
    <r>
      <rPr>
        <rFont val="Myanmar Sangam MN"/>
        <color theme="1"/>
        <sz val="10.0"/>
      </rPr>
      <t>၅၇၃၃၇</t>
    </r>
  </si>
  <si>
    <r>
      <rPr>
        <rFont val="Myanmar Sangam MN"/>
        <b/>
        <color theme="1"/>
        <sz val="9.0"/>
      </rPr>
      <t>၅၈.၂၂%</t>
    </r>
  </si>
  <si>
    <r>
      <rPr>
        <rFont val="Myanmar Sangam MN"/>
        <color theme="1"/>
        <sz val="10.0"/>
      </rPr>
      <t>နန်းလှယဉ်ေမ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</si>
  <si>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</si>
  <si>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၉၁၆၇</t>
    </r>
  </si>
  <si>
    <r>
      <rPr>
        <rFont val="Myanmar Sangam MN"/>
        <color theme="1"/>
        <sz val="10.0"/>
      </rPr>
      <t>၄၆၆၉</t>
    </r>
  </si>
  <si>
    <r>
      <rPr>
        <rFont val="Myanmar Sangam MN"/>
        <color theme="1"/>
        <sz val="10.0"/>
      </rPr>
      <t>၁၃၈၃၆</t>
    </r>
  </si>
  <si>
    <r>
      <rPr>
        <rFont val="Myanmar Sangam MN"/>
        <b/>
        <color theme="1"/>
        <sz val="9.0"/>
      </rPr>
      <t>၁၄.၀၅%</t>
    </r>
  </si>
  <si>
    <r>
      <rPr>
        <rFont val="Myanmar Sangam MN"/>
        <color rgb="FF000000"/>
        <sz val="10.0"/>
      </rPr>
      <t xml:space="preserve">ဦးေစာြမင့်ဝင်းေအာင်(ခ)
</t>
    </r>
    <r>
      <rPr>
        <rFont val="Myanmar Sangam MN"/>
        <color rgb="FF000000"/>
        <sz val="10.0"/>
      </rPr>
      <t>ေစာထူး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</si>
  <si>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</si>
  <si>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၆၈၂၂</t>
    </r>
  </si>
  <si>
    <r>
      <rPr>
        <rFont val="Myanmar Sangam MN"/>
        <color theme="1"/>
        <sz val="10.0"/>
      </rPr>
      <t>၄၉၅၀</t>
    </r>
  </si>
  <si>
    <r>
      <rPr>
        <rFont val="Myanmar Sangam MN"/>
        <color theme="1"/>
        <sz val="10.0"/>
      </rPr>
      <t>၁၁၇၇၂</t>
    </r>
  </si>
  <si>
    <r>
      <rPr>
        <rFont val="Myanmar Sangam MN"/>
        <b/>
        <color theme="1"/>
        <sz val="9.0"/>
      </rPr>
      <t>၁၁.၉၅%</t>
    </r>
  </si>
  <si>
    <r>
      <rPr>
        <rFont val="Myanmar Sangam MN"/>
        <color theme="1"/>
        <sz val="10.0"/>
      </rPr>
      <t>ေဒြဖြမင့်စံ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</si>
  <si>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</si>
  <si>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၇၆၆၆</t>
    </r>
  </si>
  <si>
    <r>
      <rPr>
        <rFont val="Myanmar Sangam MN"/>
        <color theme="1"/>
        <sz val="10.0"/>
      </rPr>
      <t>၃၃၄၈</t>
    </r>
  </si>
  <si>
    <r>
      <rPr>
        <rFont val="Myanmar Sangam MN"/>
        <color theme="1"/>
        <sz val="10.0"/>
      </rPr>
      <t>၁၁၀၁၄</t>
    </r>
  </si>
  <si>
    <r>
      <rPr>
        <rFont val="Myanmar Sangam MN"/>
        <b/>
        <color theme="1"/>
        <sz val="9.0"/>
      </rPr>
      <t>၁၁.၁၈%</t>
    </r>
  </si>
  <si>
    <r>
      <rPr>
        <rFont val="Myanmar Sangam MN"/>
        <color theme="1"/>
        <sz val="10.0"/>
      </rPr>
      <t>ေစာြပည်ေအးေမာင်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</si>
  <si>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</si>
  <si>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၁၂၇၄</t>
    </r>
  </si>
  <si>
    <r>
      <rPr>
        <rFont val="Myanmar Sangam MN"/>
        <color theme="1"/>
        <sz val="10.0"/>
      </rPr>
      <t>၇၅၈</t>
    </r>
  </si>
  <si>
    <r>
      <rPr>
        <rFont val="Myanmar Sangam MN"/>
        <color theme="1"/>
        <sz val="10.0"/>
      </rPr>
      <t>၂၀၃၂</t>
    </r>
  </si>
  <si>
    <r>
      <rPr>
        <rFont val="Myanmar Sangam MN"/>
        <b/>
        <color theme="1"/>
        <sz val="9.0"/>
      </rPr>
      <t>၂.၀၆%</t>
    </r>
  </si>
  <si>
    <r>
      <rPr>
        <rFont val="Myanmar Sangam MN"/>
        <color theme="1"/>
        <sz val="10.0"/>
      </rPr>
      <t>ဦးဝင်းေအာင်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</si>
  <si>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</si>
  <si>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၁၀၁၆</t>
    </r>
  </si>
  <si>
    <r>
      <rPr>
        <rFont val="Myanmar Sangam MN"/>
        <color theme="1"/>
        <sz val="10.0"/>
      </rPr>
      <t>၇၀၉</t>
    </r>
  </si>
  <si>
    <r>
      <rPr>
        <rFont val="Myanmar Sangam MN"/>
        <color theme="1"/>
        <sz val="10.0"/>
      </rPr>
      <t>၁၇၂၅</t>
    </r>
  </si>
  <si>
    <r>
      <rPr>
        <rFont val="Myanmar Sangam MN"/>
        <b/>
        <color theme="1"/>
        <sz val="9.0"/>
      </rPr>
      <t>၁.၇၅%</t>
    </r>
  </si>
  <si>
    <r>
      <rPr>
        <rFont val="Myanmar Sangam MN"/>
        <color theme="1"/>
        <sz val="10.0"/>
      </rPr>
      <t>ဦးမင်းေဇာ်သက်</t>
    </r>
  </si>
  <si>
    <r>
      <rPr>
        <rFont val="Myanmar Sangam MN"/>
        <color theme="1"/>
        <sz val="10.0"/>
      </rPr>
      <t>ညီွတ်ေသာတိုင်းရင်းသားလူမျးိ များ ဒီမိုကေရစီပါတီ</t>
    </r>
  </si>
  <si>
    <r>
      <rPr>
        <rFont val="Myanmar Sangam MN"/>
        <color theme="1"/>
        <sz val="10.0"/>
      </rPr>
      <t>၄၀၉</t>
    </r>
  </si>
  <si>
    <r>
      <rPr>
        <rFont val="Myanmar Sangam MN"/>
        <color theme="1"/>
        <sz val="10.0"/>
      </rPr>
      <t>၃၅၆</t>
    </r>
  </si>
  <si>
    <r>
      <rPr>
        <rFont val="Myanmar Sangam MN"/>
        <color theme="1"/>
        <sz val="10.0"/>
      </rPr>
      <t>၇၆၅</t>
    </r>
  </si>
  <si>
    <r>
      <rPr>
        <rFont val="Myanmar Sangam MN"/>
        <b/>
        <color theme="1"/>
        <sz val="9.0"/>
      </rPr>
      <t>၀.၇၈%</t>
    </r>
  </si>
  <si>
    <r>
      <rPr>
        <rFont val="Myanmar Sangam MN"/>
        <b/>
        <color theme="1"/>
        <sz val="10.0"/>
      </rPr>
      <t>၃၁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</si>
  <si>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</si>
  <si>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၁၈၆၂၉၄</t>
    </r>
  </si>
  <si>
    <r>
      <rPr>
        <rFont val="Myanmar Sangam MN"/>
        <b/>
        <color theme="1"/>
        <sz val="10.0"/>
      </rPr>
      <t>၇၇၅၃၁</t>
    </r>
  </si>
  <si>
    <r>
      <rPr>
        <rFont val="Myanmar Sangam MN"/>
        <b/>
        <color theme="1"/>
        <sz val="10.0"/>
      </rPr>
      <t>၃၂၁၀၁</t>
    </r>
  </si>
  <si>
    <r>
      <rPr>
        <rFont val="Myanmar Sangam MN"/>
        <b/>
        <color theme="1"/>
        <sz val="10.0"/>
      </rPr>
      <t>၁၀၉၆၃၂</t>
    </r>
  </si>
  <si>
    <r>
      <rPr>
        <rFont val="Myanmar Sangam MN"/>
        <b/>
        <color theme="1"/>
        <sz val="10.0"/>
      </rPr>
      <t>၅၈.၈၅</t>
    </r>
  </si>
  <si>
    <r>
      <rPr>
        <rFont val="Myanmar Sangam MN"/>
        <b/>
        <color theme="1"/>
        <sz val="10.0"/>
      </rPr>
      <t>၆၂၈၀</t>
    </r>
  </si>
  <si>
    <r>
      <rPr>
        <rFont val="Myanmar Sangam MN"/>
        <b/>
        <color theme="1"/>
        <sz val="10.0"/>
      </rPr>
      <t>၃၁၂၀</t>
    </r>
  </si>
  <si>
    <r>
      <rPr>
        <rFont val="Myanmar Sangam MN"/>
        <b/>
        <color theme="1"/>
        <sz val="10.0"/>
      </rPr>
      <t>၉၄၀၀</t>
    </r>
  </si>
  <si>
    <r>
      <rPr>
        <rFont val="Myanmar Sangam MN"/>
        <b/>
        <color theme="1"/>
        <sz val="10.0"/>
      </rPr>
      <t>၇၁၉၄၂</t>
    </r>
  </si>
  <si>
    <r>
      <rPr>
        <rFont val="Myanmar Sangam MN"/>
        <b/>
        <color theme="1"/>
        <sz val="10.0"/>
      </rPr>
      <t>၂၈၂၉၀</t>
    </r>
  </si>
  <si>
    <r>
      <rPr>
        <rFont val="Myanmar Sangam MN"/>
        <b/>
        <color theme="1"/>
        <sz val="10.0"/>
      </rPr>
      <t>၁၀၀၂၃၂</t>
    </r>
  </si>
  <si>
    <r>
      <rPr>
        <rFont val="Myanmar Sangam MN"/>
        <color theme="1"/>
        <sz val="10.0"/>
      </rPr>
      <t>ေစာသန်းထွဋ်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</si>
  <si>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</si>
  <si>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၄၅၂၀၄</t>
    </r>
  </si>
  <si>
    <r>
      <rPr>
        <rFont val="Myanmar Sangam MN"/>
        <color theme="1"/>
        <sz val="10.0"/>
      </rPr>
      <t>၁၃၃၃၇</t>
    </r>
  </si>
  <si>
    <r>
      <rPr>
        <rFont val="Myanmar Sangam MN"/>
        <color theme="1"/>
        <sz val="10.0"/>
      </rPr>
      <t>၅၈၅၄၁</t>
    </r>
  </si>
  <si>
    <r>
      <rPr>
        <rFont val="Myanmar Sangam MN"/>
        <b/>
        <color theme="1"/>
        <sz val="9.0"/>
      </rPr>
      <t>၅၈.၄၁%</t>
    </r>
  </si>
  <si>
    <r>
      <rPr>
        <rFont val="Myanmar Sangam MN"/>
        <color theme="1"/>
        <sz val="10.0"/>
      </rPr>
      <t>ေစာစံယဉ်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</si>
  <si>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</si>
  <si>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၁၂၈၆၉</t>
    </r>
  </si>
  <si>
    <r>
      <rPr>
        <rFont val="Myanmar Sangam MN"/>
        <color theme="1"/>
        <sz val="10.0"/>
      </rPr>
      <t>၅၈၁၇</t>
    </r>
  </si>
  <si>
    <r>
      <rPr>
        <rFont val="Myanmar Sangam MN"/>
        <color theme="1"/>
        <sz val="10.0"/>
      </rPr>
      <t>၁၈၆၈၆</t>
    </r>
  </si>
  <si>
    <r>
      <rPr>
        <rFont val="Myanmar Sangam MN"/>
        <b/>
        <color theme="1"/>
        <sz val="9.0"/>
      </rPr>
      <t>၁၈.၆၄%</t>
    </r>
  </si>
  <si>
    <r>
      <rPr>
        <rFont val="Myanmar Sangam MN"/>
        <color theme="1"/>
        <sz val="10.0"/>
      </rPr>
      <t>ဦးဝင်းတင်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</si>
  <si>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</si>
  <si>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၁၀၃၀၀</t>
    </r>
  </si>
  <si>
    <r>
      <rPr>
        <rFont val="Myanmar Sangam MN"/>
        <color theme="1"/>
        <sz val="10.0"/>
      </rPr>
      <t>၆၆၄၄</t>
    </r>
  </si>
  <si>
    <r>
      <rPr>
        <rFont val="Myanmar Sangam MN"/>
        <color theme="1"/>
        <sz val="10.0"/>
      </rPr>
      <t>၁၆၉၄၄</t>
    </r>
  </si>
  <si>
    <r>
      <rPr>
        <rFont val="Myanmar Sangam MN"/>
        <b/>
        <color theme="1"/>
        <sz val="9.0"/>
      </rPr>
      <t>၁၆.၉၀%</t>
    </r>
  </si>
  <si>
    <r>
      <rPr>
        <rFont val="Myanmar Sangam MN"/>
        <color theme="1"/>
        <sz val="10.0"/>
      </rPr>
      <t>နန်းခင်သက်မာဝင်း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</si>
  <si>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</si>
  <si>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၁၉၈၆</t>
    </r>
  </si>
  <si>
    <r>
      <rPr>
        <rFont val="Myanmar Sangam MN"/>
        <color theme="1"/>
        <sz val="10.0"/>
      </rPr>
      <t>၁၂၃၄</t>
    </r>
  </si>
  <si>
    <r>
      <rPr>
        <rFont val="Myanmar Sangam MN"/>
        <color theme="1"/>
        <sz val="10.0"/>
      </rPr>
      <t>၃၂၂၀</t>
    </r>
  </si>
  <si>
    <r>
      <rPr>
        <rFont val="Myanmar Sangam MN"/>
        <b/>
        <color theme="1"/>
        <sz val="9.0"/>
      </rPr>
      <t>၃.၂၁%</t>
    </r>
  </si>
  <si>
    <r>
      <rPr>
        <rFont val="Myanmar Sangam MN"/>
        <color theme="1"/>
        <sz val="10.0"/>
      </rPr>
      <t>ဦးစိုးြမင့်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</si>
  <si>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</si>
  <si>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၇၉၈</t>
    </r>
  </si>
  <si>
    <r>
      <rPr>
        <rFont val="Myanmar Sangam MN"/>
        <color theme="1"/>
        <sz val="10.0"/>
      </rPr>
      <t>၇၁၇</t>
    </r>
  </si>
  <si>
    <r>
      <rPr>
        <rFont val="Myanmar Sangam MN"/>
        <color theme="1"/>
        <sz val="10.0"/>
      </rPr>
      <t>၁၅၁၅</t>
    </r>
  </si>
  <si>
    <r>
      <rPr>
        <rFont val="Myanmar Sangam MN"/>
        <b/>
        <color theme="1"/>
        <sz val="9.0"/>
      </rPr>
      <t>၁.၅၁%</t>
    </r>
  </si>
  <si>
    <r>
      <rPr>
        <rFont val="Myanmar Sangam MN"/>
        <color theme="1"/>
        <sz val="10.0"/>
      </rPr>
      <t>ေဒတင်ေဆွေဆွလတ်</t>
    </r>
  </si>
  <si>
    <r>
      <rPr>
        <rFont val="Myanmar Sangam MN"/>
        <color theme="1"/>
        <sz val="10.0"/>
      </rPr>
      <t>ညီွတ်ေသာတိုင်းရင်းသားလူမျးိ များ ဒီမိုကေရစီပါတီ</t>
    </r>
  </si>
  <si>
    <r>
      <rPr>
        <rFont val="Myanmar Sangam MN"/>
        <color theme="1"/>
        <sz val="10.0"/>
      </rPr>
      <t>၇၈၅</t>
    </r>
  </si>
  <si>
    <r>
      <rPr>
        <rFont val="Myanmar Sangam MN"/>
        <color theme="1"/>
        <sz val="10.0"/>
      </rPr>
      <t>၅၄၁</t>
    </r>
  </si>
  <si>
    <r>
      <rPr>
        <rFont val="Myanmar Sangam MN"/>
        <color theme="1"/>
        <sz val="10.0"/>
      </rPr>
      <t>၁၃၂၆</t>
    </r>
  </si>
  <si>
    <r>
      <rPr>
        <rFont val="Myanmar Sangam MN"/>
        <b/>
        <color theme="1"/>
        <sz val="9.0"/>
      </rPr>
      <t>၁.၃၂%</t>
    </r>
  </si>
  <si>
    <r>
      <rPr>
        <rFont val="Myanmar Sangam MN"/>
        <b/>
        <color theme="1"/>
        <sz val="10.0"/>
      </rPr>
      <t>၃၂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</si>
  <si>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</si>
  <si>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၁၁၅၇၅၉</t>
    </r>
  </si>
  <si>
    <r>
      <rPr>
        <rFont val="Myanmar Sangam MN"/>
        <b/>
        <color theme="1"/>
        <sz val="10.0"/>
      </rPr>
      <t>၄၄၂၅၀</t>
    </r>
  </si>
  <si>
    <r>
      <rPr>
        <rFont val="Myanmar Sangam MN"/>
        <b/>
        <color theme="1"/>
        <sz val="10.0"/>
      </rPr>
      <t>၁၆၂၉၅</t>
    </r>
  </si>
  <si>
    <r>
      <rPr>
        <rFont val="Myanmar Sangam MN"/>
        <b/>
        <color theme="1"/>
        <sz val="10.0"/>
      </rPr>
      <t>၆၀၅၄၅</t>
    </r>
  </si>
  <si>
    <r>
      <rPr>
        <rFont val="Myanmar Sangam MN"/>
        <b/>
        <color theme="1"/>
        <sz val="10.0"/>
      </rPr>
      <t>၅၂.၃၀</t>
    </r>
  </si>
  <si>
    <r>
      <rPr>
        <rFont val="Myanmar Sangam MN"/>
        <b/>
        <color theme="1"/>
        <sz val="10.0"/>
      </rPr>
      <t>၂၈၅၉</t>
    </r>
  </si>
  <si>
    <r>
      <rPr>
        <rFont val="Myanmar Sangam MN"/>
        <b/>
        <color theme="1"/>
        <sz val="10.0"/>
      </rPr>
      <t>၃၆၈</t>
    </r>
  </si>
  <si>
    <r>
      <rPr>
        <rFont val="Myanmar Sangam MN"/>
        <b/>
        <color theme="1"/>
        <sz val="10.0"/>
      </rPr>
      <t>၃၂၂၇</t>
    </r>
  </si>
  <si>
    <r>
      <rPr>
        <rFont val="Myanmar Sangam MN"/>
        <b/>
        <color theme="1"/>
        <sz val="10.0"/>
      </rPr>
      <t>၄၁၉၈၇</t>
    </r>
  </si>
  <si>
    <r>
      <rPr>
        <rFont val="Myanmar Sangam MN"/>
        <b/>
        <color theme="1"/>
        <sz val="10.0"/>
      </rPr>
      <t>၁၅၃၃၁</t>
    </r>
  </si>
  <si>
    <r>
      <rPr>
        <rFont val="Myanmar Sangam MN"/>
        <b/>
        <color theme="1"/>
        <sz val="10.0"/>
      </rPr>
      <t>၅၇၃၁၈</t>
    </r>
  </si>
  <si>
    <r>
      <rPr>
        <rFont val="Myanmar Sangam MN"/>
        <color theme="1"/>
        <sz val="10.0"/>
      </rPr>
      <t>ေစာချစ်ဦး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</si>
  <si>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</si>
  <si>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၂၄၇၄၉</t>
    </r>
  </si>
  <si>
    <r>
      <rPr>
        <rFont val="Myanmar Sangam MN"/>
        <color theme="1"/>
        <sz val="10.0"/>
      </rPr>
      <t>၈၁၂၄</t>
    </r>
  </si>
  <si>
    <r>
      <rPr>
        <rFont val="Myanmar Sangam MN"/>
        <color theme="1"/>
        <sz val="10.0"/>
      </rPr>
      <t>၃၂၈၇၃</t>
    </r>
  </si>
  <si>
    <r>
      <rPr>
        <rFont val="Myanmar Sangam MN"/>
        <b/>
        <color theme="1"/>
        <sz val="9.0"/>
      </rPr>
      <t>၅၇.၃၅%</t>
    </r>
  </si>
  <si>
    <r>
      <rPr>
        <rFont val="Myanmar Sangam MN"/>
        <color theme="1"/>
        <sz val="10.0"/>
      </rPr>
      <t>နန်းေစာြမ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</si>
  <si>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</si>
  <si>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၁၁၃၀၁</t>
    </r>
  </si>
  <si>
    <r>
      <rPr>
        <rFont val="Myanmar Sangam MN"/>
        <color theme="1"/>
        <sz val="10.0"/>
      </rPr>
      <t>၃၄၄၃</t>
    </r>
  </si>
  <si>
    <r>
      <rPr>
        <rFont val="Myanmar Sangam MN"/>
        <color theme="1"/>
        <sz val="10.0"/>
      </rPr>
      <t>၁၄၇၄၄</t>
    </r>
  </si>
  <si>
    <r>
      <rPr>
        <rFont val="Myanmar Sangam MN"/>
        <b/>
        <color theme="1"/>
        <sz val="9.0"/>
      </rPr>
      <t>၂၅.၇၃%</t>
    </r>
  </si>
  <si>
    <r>
      <rPr>
        <rFont val="Myanmar Sangam MN"/>
        <color theme="1"/>
        <sz val="10.0"/>
      </rPr>
      <t>ဦးသက်ိုင်ဦး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</si>
  <si>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</si>
  <si>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၄၆၅၉</t>
    </r>
  </si>
  <si>
    <r>
      <rPr>
        <rFont val="Myanmar Sangam MN"/>
        <color theme="1"/>
        <sz val="10.0"/>
      </rPr>
      <t>၂၉၉၄</t>
    </r>
  </si>
  <si>
    <r>
      <rPr>
        <rFont val="Myanmar Sangam MN"/>
        <color theme="1"/>
        <sz val="10.0"/>
      </rPr>
      <t>၇၆၅၃</t>
    </r>
  </si>
  <si>
    <r>
      <rPr>
        <rFont val="Myanmar Sangam MN"/>
        <b/>
        <color theme="1"/>
        <sz val="9.0"/>
      </rPr>
      <t>၁၃.၃၅%</t>
    </r>
  </si>
  <si>
    <r>
      <rPr>
        <rFont val="Myanmar Sangam MN"/>
        <color theme="1"/>
        <sz val="10.0"/>
      </rPr>
      <t>ေစာစိုးေအာင်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</si>
  <si>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</si>
  <si>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၆၈၂</t>
    </r>
  </si>
  <si>
    <r>
      <rPr>
        <rFont val="Myanmar Sangam MN"/>
        <color theme="1"/>
        <sz val="10.0"/>
      </rPr>
      <t>၄၂၀</t>
    </r>
  </si>
  <si>
    <r>
      <rPr>
        <rFont val="Myanmar Sangam MN"/>
        <color theme="1"/>
        <sz val="10.0"/>
      </rPr>
      <t>၁၁၀၂</t>
    </r>
  </si>
  <si>
    <r>
      <rPr>
        <rFont val="Myanmar Sangam MN"/>
        <b/>
        <color theme="1"/>
        <sz val="9.0"/>
      </rPr>
      <t>၁.၉၂%</t>
    </r>
  </si>
  <si>
    <r>
      <rPr>
        <rFont val="Myanmar Sangam MN"/>
        <color theme="1"/>
        <sz val="10.0"/>
      </rPr>
      <t>ဦးစိုးေအာင်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</si>
  <si>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</si>
  <si>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၅၉၆</t>
    </r>
  </si>
  <si>
    <r>
      <rPr>
        <rFont val="Myanmar Sangam MN"/>
        <color theme="1"/>
        <sz val="10.0"/>
      </rPr>
      <t>၃၅၀</t>
    </r>
  </si>
  <si>
    <r>
      <rPr>
        <rFont val="Myanmar Sangam MN"/>
        <color theme="1"/>
        <sz val="10.0"/>
      </rPr>
      <t>၉၄၆</t>
    </r>
  </si>
  <si>
    <r>
      <rPr>
        <rFont val="Myanmar Sangam MN"/>
        <b/>
        <color theme="1"/>
        <sz val="9.0"/>
      </rPr>
      <t>၁.၆၅%</t>
    </r>
  </si>
  <si>
    <r>
      <rPr>
        <rFont val="Myanmar Sangam MN"/>
        <b/>
        <color theme="1"/>
        <sz val="10.0"/>
      </rPr>
      <t>၃၃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</si>
  <si>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</si>
  <si>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၁၂၃၈၆၁</t>
    </r>
  </si>
  <si>
    <r>
      <rPr>
        <rFont val="Myanmar Sangam MN"/>
        <b/>
        <color theme="1"/>
        <sz val="10.0"/>
      </rPr>
      <t>၄၄၃၁၈</t>
    </r>
  </si>
  <si>
    <r>
      <rPr>
        <rFont val="Myanmar Sangam MN"/>
        <b/>
        <color theme="1"/>
        <sz val="10.0"/>
      </rPr>
      <t>၁၄၄၂၈</t>
    </r>
  </si>
  <si>
    <r>
      <rPr>
        <rFont val="Myanmar Sangam MN"/>
        <b/>
        <color theme="1"/>
        <sz val="10.0"/>
      </rPr>
      <t>၅၈၇၄၆</t>
    </r>
  </si>
  <si>
    <r>
      <rPr>
        <rFont val="Myanmar Sangam MN"/>
        <b/>
        <color theme="1"/>
        <sz val="10.0"/>
      </rPr>
      <t>၄၇.၄၃</t>
    </r>
  </si>
  <si>
    <r>
      <rPr>
        <rFont val="Myanmar Sangam MN"/>
        <b/>
        <color theme="1"/>
        <sz val="10.0"/>
      </rPr>
      <t>၄၅၂၀</t>
    </r>
  </si>
  <si>
    <r>
      <rPr>
        <rFont val="Myanmar Sangam MN"/>
        <b/>
        <color theme="1"/>
        <sz val="10.0"/>
      </rPr>
      <t>၁၈၅</t>
    </r>
  </si>
  <si>
    <r>
      <rPr>
        <rFont val="Myanmar Sangam MN"/>
        <b/>
        <color theme="1"/>
        <sz val="10.0"/>
      </rPr>
      <t>၄၇၀၅</t>
    </r>
  </si>
  <si>
    <r>
      <rPr>
        <rFont val="Myanmar Sangam MN"/>
        <b/>
        <color theme="1"/>
        <sz val="10.0"/>
      </rPr>
      <t>၄၀၇၄၈</t>
    </r>
  </si>
  <si>
    <r>
      <rPr>
        <rFont val="Myanmar Sangam MN"/>
        <b/>
        <color theme="1"/>
        <sz val="10.0"/>
      </rPr>
      <t>၁၃၂၉၃</t>
    </r>
  </si>
  <si>
    <r>
      <rPr>
        <rFont val="Myanmar Sangam MN"/>
        <b/>
        <color theme="1"/>
        <sz val="10.0"/>
      </rPr>
      <t>၅၄၀၄၁</t>
    </r>
  </si>
  <si>
    <r>
      <rPr>
        <rFont val="Myanmar Sangam MN"/>
        <color theme="1"/>
        <sz val="10.0"/>
      </rPr>
      <t>နန်းမိုးမိုးေထွး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</si>
  <si>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</si>
  <si>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၁၄၉၅၄</t>
    </r>
  </si>
  <si>
    <r>
      <rPr>
        <rFont val="Myanmar Sangam MN"/>
        <color theme="1"/>
        <sz val="10.0"/>
      </rPr>
      <t>၅၁၉၂</t>
    </r>
  </si>
  <si>
    <r>
      <rPr>
        <rFont val="Myanmar Sangam MN"/>
        <color theme="1"/>
        <sz val="10.0"/>
      </rPr>
      <t>၂၀၁၄၆</t>
    </r>
  </si>
  <si>
    <r>
      <rPr>
        <rFont val="Myanmar Sangam MN"/>
        <b/>
        <color theme="1"/>
        <sz val="9.0"/>
      </rPr>
      <t>၃၇.၂၈%</t>
    </r>
  </si>
  <si>
    <r>
      <rPr>
        <rFont val="Myanmar Sangam MN"/>
        <color theme="1"/>
        <sz val="10.0"/>
      </rPr>
      <t>ေစာြမင့်ဟန်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</si>
  <si>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</si>
  <si>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၁၆၁၆၉</t>
    </r>
  </si>
  <si>
    <r>
      <rPr>
        <rFont val="Myanmar Sangam MN"/>
        <color theme="1"/>
        <sz val="10.0"/>
      </rPr>
      <t>၃၉၇၂</t>
    </r>
  </si>
  <si>
    <r>
      <rPr>
        <rFont val="Myanmar Sangam MN"/>
        <color theme="1"/>
        <sz val="10.0"/>
      </rPr>
      <t>၂၀၁၄၁</t>
    </r>
  </si>
  <si>
    <r>
      <rPr>
        <rFont val="Myanmar Sangam MN"/>
        <b/>
        <color theme="1"/>
        <sz val="9.0"/>
      </rPr>
      <t>၃၇.၂၇%</t>
    </r>
  </si>
  <si>
    <r>
      <rPr>
        <rFont val="Myanmar Sangam MN"/>
        <color theme="1"/>
        <sz val="10.0"/>
      </rPr>
      <t>ဦးထွန်းထွန်းဦး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</si>
  <si>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</si>
  <si>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၉၁၇၄</t>
    </r>
  </si>
  <si>
    <r>
      <rPr>
        <rFont val="Myanmar Sangam MN"/>
        <color theme="1"/>
        <sz val="10.0"/>
      </rPr>
      <t>၃၉၁၇</t>
    </r>
  </si>
  <si>
    <r>
      <rPr>
        <rFont val="Myanmar Sangam MN"/>
        <color theme="1"/>
        <sz val="10.0"/>
      </rPr>
      <t>၁၃၀၉၁</t>
    </r>
  </si>
  <si>
    <r>
      <rPr>
        <rFont val="Myanmar Sangam MN"/>
        <b/>
        <color theme="1"/>
        <sz val="9.0"/>
      </rPr>
      <t>၂၄.၂၂%</t>
    </r>
  </si>
  <si>
    <r>
      <rPr>
        <rFont val="Myanmar Sangam MN"/>
        <color theme="1"/>
        <sz val="10.0"/>
      </rPr>
      <t>ဦးြမတ်ေကျာ်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</si>
  <si>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</si>
  <si>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၄၅၁</t>
    </r>
  </si>
  <si>
    <r>
      <rPr>
        <rFont val="Myanmar Sangam MN"/>
        <color theme="1"/>
        <sz val="10.0"/>
      </rPr>
      <t>၂၁၂</t>
    </r>
  </si>
  <si>
    <r>
      <rPr>
        <rFont val="Myanmar Sangam MN"/>
        <color theme="1"/>
        <sz val="10.0"/>
      </rPr>
      <t>၆၆၃</t>
    </r>
  </si>
  <si>
    <r>
      <rPr>
        <rFont val="Myanmar Sangam MN"/>
        <b/>
        <color theme="1"/>
        <sz val="9.0"/>
      </rPr>
      <t>၁.၂၃%</t>
    </r>
  </si>
  <si>
    <r>
      <rPr>
        <rFont val="Myanmar Sangam MN"/>
        <b/>
        <color theme="1"/>
        <sz val="10.0"/>
      </rPr>
      <t>၃၄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</si>
  <si>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</si>
  <si>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၆၂၂၈၉</t>
    </r>
  </si>
  <si>
    <r>
      <rPr>
        <rFont val="Myanmar Sangam MN"/>
        <b/>
        <color theme="1"/>
        <sz val="10.0"/>
      </rPr>
      <t>၃၀၈၃၈</t>
    </r>
  </si>
  <si>
    <r>
      <rPr>
        <rFont val="Myanmar Sangam MN"/>
        <b/>
        <color theme="1"/>
        <sz val="10.0"/>
      </rPr>
      <t>၁၀၁၀၇</t>
    </r>
  </si>
  <si>
    <r>
      <rPr>
        <rFont val="Myanmar Sangam MN"/>
        <b/>
        <color theme="1"/>
        <sz val="10.0"/>
      </rPr>
      <t>၄၀၉၄၅</t>
    </r>
  </si>
  <si>
    <r>
      <rPr>
        <rFont val="Myanmar Sangam MN"/>
        <b/>
        <color theme="1"/>
        <sz val="10.0"/>
      </rPr>
      <t>၆၅.၇၃</t>
    </r>
  </si>
  <si>
    <r>
      <rPr>
        <rFont val="Myanmar Sangam MN"/>
        <b/>
        <color theme="1"/>
        <sz val="10.0"/>
      </rPr>
      <t>၁၈၇၄</t>
    </r>
  </si>
  <si>
    <r>
      <rPr>
        <rFont val="Myanmar Sangam MN"/>
        <b/>
        <color theme="1"/>
        <sz val="10.0"/>
      </rPr>
      <t>၃၁</t>
    </r>
  </si>
  <si>
    <r>
      <rPr>
        <rFont val="Myanmar Sangam MN"/>
        <b/>
        <color theme="1"/>
        <sz val="10.0"/>
      </rPr>
      <t>၁၉၀၅</t>
    </r>
  </si>
  <si>
    <r>
      <rPr>
        <rFont val="Myanmar Sangam MN"/>
        <b/>
        <color theme="1"/>
        <sz val="10.0"/>
      </rPr>
      <t>၂၈၉၈၃</t>
    </r>
  </si>
  <si>
    <r>
      <rPr>
        <rFont val="Myanmar Sangam MN"/>
        <b/>
        <color theme="1"/>
        <sz val="10.0"/>
      </rPr>
      <t>၁၀၀၅၇</t>
    </r>
  </si>
  <si>
    <r>
      <rPr>
        <rFont val="Myanmar Sangam MN"/>
        <b/>
        <color theme="1"/>
        <sz val="10.0"/>
      </rPr>
      <t>၃၉၀၄၀</t>
    </r>
  </si>
  <si>
    <r>
      <rPr>
        <rFont val="Myanmar Sangam MN"/>
        <color rgb="FF000000"/>
        <sz val="10.0"/>
      </rPr>
      <t xml:space="preserve">ေဒါက်တာေနာ်ခရစထွန်း
</t>
    </r>
    <r>
      <rPr>
        <rFont val="Myanmar Sangam MN"/>
        <color rgb="FF000000"/>
        <sz val="10.0"/>
      </rPr>
      <t>(ခ)အားကာမိုး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</si>
  <si>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</si>
  <si>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၁၄၃၀၅</t>
    </r>
  </si>
  <si>
    <r>
      <rPr>
        <rFont val="Myanmar Sangam MN"/>
        <color theme="1"/>
        <sz val="10.0"/>
      </rPr>
      <t>၃၇၄၅</t>
    </r>
  </si>
  <si>
    <r>
      <rPr>
        <rFont val="Myanmar Sangam MN"/>
        <color theme="1"/>
        <sz val="10.0"/>
      </rPr>
      <t>၁၈၀၅၀</t>
    </r>
  </si>
  <si>
    <r>
      <rPr>
        <rFont val="Myanmar Sangam MN"/>
        <b/>
        <color theme="1"/>
        <sz val="9.0"/>
      </rPr>
      <t>၄၆.၂၃%</t>
    </r>
  </si>
  <si>
    <r>
      <rPr>
        <rFont val="Myanmar Sangam MN"/>
        <color rgb="FF000000"/>
        <sz val="10.0"/>
      </rPr>
      <t xml:space="preserve">ဦးထွန်းေအာင်ြမင့်(ခ)
</t>
    </r>
    <r>
      <rPr>
        <rFont val="Myanmar Sangam MN"/>
        <color rgb="FF000000"/>
        <sz val="10.0"/>
      </rPr>
      <t>ေစာထွန်းေအာင်ြမင့်</t>
    </r>
  </si>
  <si>
    <r>
      <rPr>
        <rFont val="Myanmar Sangam MN"/>
        <color theme="1"/>
        <sz val="10.0"/>
      </rPr>
      <t>ကရင်ြပည်သူ ပါတီ</t>
    </r>
  </si>
  <si>
    <r>
      <rPr>
        <rFont val="Myanmar Sangam MN"/>
        <color theme="1"/>
        <sz val="10.0"/>
      </rPr>
      <t>၁၁၁၇၆</t>
    </r>
  </si>
  <si>
    <r>
      <rPr>
        <rFont val="Myanmar Sangam MN"/>
        <color theme="1"/>
        <sz val="10.0"/>
      </rPr>
      <t>၃၁၂၄</t>
    </r>
  </si>
  <si>
    <r>
      <rPr>
        <rFont val="Myanmar Sangam MN"/>
        <color theme="1"/>
        <sz val="10.0"/>
      </rPr>
      <t>၁၄၃၀၀</t>
    </r>
  </si>
  <si>
    <r>
      <rPr>
        <rFont val="Myanmar Sangam MN"/>
        <b/>
        <color theme="1"/>
        <sz val="9.0"/>
      </rPr>
      <t>၃၆.၆၃%</t>
    </r>
  </si>
  <si>
    <r>
      <rPr>
        <rFont val="Myanmar Sangam MN"/>
        <color theme="1"/>
        <sz val="10.0"/>
      </rPr>
      <t>ေနာ်ေမေစး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</si>
  <si>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</si>
  <si>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၂၈၄၀</t>
    </r>
  </si>
  <si>
    <r>
      <rPr>
        <rFont val="Myanmar Sangam MN"/>
        <color theme="1"/>
        <sz val="10.0"/>
      </rPr>
      <t>၂၉၄၂</t>
    </r>
  </si>
  <si>
    <r>
      <rPr>
        <rFont val="Myanmar Sangam MN"/>
        <color theme="1"/>
        <sz val="10.0"/>
      </rPr>
      <t>၅၇၈၂</t>
    </r>
  </si>
  <si>
    <r>
      <rPr>
        <rFont val="Myanmar Sangam MN"/>
        <b/>
        <color theme="1"/>
        <sz val="9.0"/>
      </rPr>
      <t>၁၄.၈၁%</t>
    </r>
  </si>
  <si>
    <r>
      <rPr>
        <rFont val="Myanmar Sangam MN"/>
        <color theme="1"/>
        <sz val="10.0"/>
      </rPr>
      <t>ေနာ်လားေစးဝါး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</si>
  <si>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</si>
  <si>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၆၆၂</t>
    </r>
  </si>
  <si>
    <r>
      <rPr>
        <rFont val="Myanmar Sangam MN"/>
        <color theme="1"/>
        <sz val="10.0"/>
      </rPr>
      <t>၂၄၆</t>
    </r>
  </si>
  <si>
    <r>
      <rPr>
        <rFont val="Myanmar Sangam MN"/>
        <color theme="1"/>
        <sz val="10.0"/>
      </rPr>
      <t>၉၀၈</t>
    </r>
  </si>
  <si>
    <r>
      <rPr>
        <rFont val="Myanmar Sangam MN"/>
        <b/>
        <color theme="1"/>
        <sz val="9.0"/>
      </rPr>
      <t>၂.၃၃%</t>
    </r>
  </si>
  <si>
    <r>
      <rPr>
        <rFont val="Myanmar Sangam MN"/>
        <b/>
        <color theme="1"/>
        <sz val="10.0"/>
      </rPr>
      <t>၃၅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</si>
  <si>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</si>
  <si>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၁၀၃၄၅၅</t>
    </r>
  </si>
  <si>
    <r>
      <rPr>
        <rFont val="Myanmar Sangam MN"/>
        <b/>
        <color theme="1"/>
        <sz val="10.0"/>
      </rPr>
      <t>၃၇၄၅၄</t>
    </r>
  </si>
  <si>
    <r>
      <rPr>
        <rFont val="Myanmar Sangam MN"/>
        <b/>
        <color theme="1"/>
        <sz val="10.0"/>
      </rPr>
      <t>၁၁၄၂၆</t>
    </r>
  </si>
  <si>
    <r>
      <rPr>
        <rFont val="Myanmar Sangam MN"/>
        <b/>
        <color theme="1"/>
        <sz val="10.0"/>
      </rPr>
      <t>၄၈၈၈၀</t>
    </r>
  </si>
  <si>
    <r>
      <rPr>
        <rFont val="Myanmar Sangam MN"/>
        <b/>
        <color theme="1"/>
        <sz val="10.0"/>
      </rPr>
      <t>၄၇.၂၅</t>
    </r>
  </si>
  <si>
    <r>
      <rPr>
        <rFont val="Myanmar Sangam MN"/>
        <b/>
        <color theme="1"/>
        <sz val="10.0"/>
      </rPr>
      <t>၁၆၆၂</t>
    </r>
  </si>
  <si>
    <r>
      <rPr>
        <rFont val="Myanmar Sangam MN"/>
        <b/>
        <color theme="1"/>
        <sz val="10.0"/>
      </rPr>
      <t>၁၃၀</t>
    </r>
  </si>
  <si>
    <r>
      <rPr>
        <rFont val="Myanmar Sangam MN"/>
        <b/>
        <color theme="1"/>
        <sz val="10.0"/>
      </rPr>
      <t>၁၇၉၂</t>
    </r>
  </si>
  <si>
    <r>
      <rPr>
        <rFont val="Myanmar Sangam MN"/>
        <b/>
        <color theme="1"/>
        <sz val="10.0"/>
      </rPr>
      <t>၃၅၇၃၀</t>
    </r>
  </si>
  <si>
    <r>
      <rPr>
        <rFont val="Myanmar Sangam MN"/>
        <b/>
        <color theme="1"/>
        <sz val="10.0"/>
      </rPr>
      <t>၁၁၃၅၈</t>
    </r>
  </si>
  <si>
    <r>
      <rPr>
        <rFont val="Myanmar Sangam MN"/>
        <b/>
        <color theme="1"/>
        <sz val="10.0"/>
      </rPr>
      <t>၄၇၀၈၈</t>
    </r>
  </si>
  <si>
    <r>
      <rPr>
        <rFont val="Myanmar Sangam MN"/>
        <color theme="1"/>
        <sz val="10.0"/>
      </rPr>
      <t>မန်းဝင်းခိုင်သန်း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</si>
  <si>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</si>
  <si>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၂၄၈၅၀</t>
    </r>
  </si>
  <si>
    <r>
      <rPr>
        <rFont val="Myanmar Sangam MN"/>
        <color theme="1"/>
        <sz val="10.0"/>
      </rPr>
      <t>၅၅၀၃</t>
    </r>
  </si>
  <si>
    <r>
      <rPr>
        <rFont val="Myanmar Sangam MN"/>
        <color theme="1"/>
        <sz val="10.0"/>
      </rPr>
      <t>၃၀၃၅၃</t>
    </r>
  </si>
  <si>
    <r>
      <rPr>
        <rFont val="Myanmar Sangam MN"/>
        <b/>
        <color theme="1"/>
        <sz val="9.0"/>
      </rPr>
      <t>၆၄.၄၆%</t>
    </r>
  </si>
  <si>
    <r>
      <rPr>
        <rFont val="Myanmar Sangam MN"/>
        <color theme="1"/>
        <sz val="10.0"/>
      </rPr>
      <t>ဦးတင်ဦး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</si>
  <si>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</si>
  <si>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၅၅၅၃</t>
    </r>
  </si>
  <si>
    <r>
      <rPr>
        <rFont val="Myanmar Sangam MN"/>
        <color theme="1"/>
        <sz val="10.0"/>
      </rPr>
      <t>၄၀၉၂</t>
    </r>
  </si>
  <si>
    <r>
      <rPr>
        <rFont val="Myanmar Sangam MN"/>
        <color theme="1"/>
        <sz val="10.0"/>
      </rPr>
      <t>၉၆၄၅</t>
    </r>
  </si>
  <si>
    <r>
      <rPr>
        <rFont val="Myanmar Sangam MN"/>
        <b/>
        <color theme="1"/>
        <sz val="9.0"/>
      </rPr>
      <t>၂၀.၄၈%</t>
    </r>
  </si>
  <si>
    <r>
      <rPr>
        <rFont val="Myanmar Sangam MN"/>
        <color theme="1"/>
        <sz val="10.0"/>
      </rPr>
      <t>ေစာစိန်ဝင်း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</si>
  <si>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</si>
  <si>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၄၅၀၄</t>
    </r>
  </si>
  <si>
    <r>
      <rPr>
        <rFont val="Myanmar Sangam MN"/>
        <color theme="1"/>
        <sz val="10.0"/>
      </rPr>
      <t>၁၃၇၄</t>
    </r>
  </si>
  <si>
    <r>
      <rPr>
        <rFont val="Myanmar Sangam MN"/>
        <color theme="1"/>
        <sz val="10.0"/>
      </rPr>
      <t>၅၈၇၈</t>
    </r>
  </si>
  <si>
    <r>
      <rPr>
        <rFont val="Myanmar Sangam MN"/>
        <b/>
        <color theme="1"/>
        <sz val="9.0"/>
      </rPr>
      <t>၁၂.၄၈%</t>
    </r>
  </si>
  <si>
    <r>
      <rPr>
        <rFont val="Myanmar Sangam MN"/>
        <color theme="1"/>
        <sz val="10.0"/>
      </rPr>
      <t>ေဒစန်းစန်းေဝ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</si>
  <si>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</si>
  <si>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၂၆၈</t>
    </r>
  </si>
  <si>
    <r>
      <rPr>
        <rFont val="Myanmar Sangam MN"/>
        <color theme="1"/>
        <sz val="10.0"/>
      </rPr>
      <t>၁၅၆</t>
    </r>
  </si>
  <si>
    <r>
      <rPr>
        <rFont val="Myanmar Sangam MN"/>
        <color theme="1"/>
        <sz val="10.0"/>
      </rPr>
      <t>၄၂၄</t>
    </r>
  </si>
  <si>
    <r>
      <rPr>
        <rFont val="Myanmar Sangam MN"/>
        <b/>
        <color theme="1"/>
        <sz val="9.0"/>
      </rPr>
      <t>၀.၉၀%</t>
    </r>
  </si>
  <si>
    <r>
      <rPr>
        <rFont val="Myanmar Sangam MN"/>
        <color theme="1"/>
        <sz val="10.0"/>
      </rPr>
      <t>ဦးေကျာ်ဝင်းေအာင်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</si>
  <si>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</si>
  <si>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၃၀၈</t>
    </r>
  </si>
  <si>
    <r>
      <rPr>
        <rFont val="Myanmar Sangam MN"/>
        <color theme="1"/>
        <sz val="10.0"/>
      </rPr>
      <t>၁၀၁</t>
    </r>
  </si>
  <si>
    <r>
      <rPr>
        <rFont val="Myanmar Sangam MN"/>
        <color theme="1"/>
        <sz val="10.0"/>
      </rPr>
      <t>၄၀၉</t>
    </r>
  </si>
  <si>
    <r>
      <rPr>
        <rFont val="Myanmar Sangam MN"/>
        <b/>
        <color theme="1"/>
        <sz val="9.0"/>
      </rPr>
      <t>၀.၈၇%</t>
    </r>
  </si>
  <si>
    <r>
      <rPr>
        <rFont val="Myanmar Sangam MN"/>
        <color theme="1"/>
        <sz val="10.0"/>
      </rPr>
      <t>ေဒုုယဉ်(ခ)နီနီလွင်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</si>
  <si>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</si>
  <si>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၂၄၇</t>
    </r>
  </si>
  <si>
    <r>
      <rPr>
        <rFont val="Myanmar Sangam MN"/>
        <color theme="1"/>
        <sz val="10.0"/>
      </rPr>
      <t>၁၃၂</t>
    </r>
  </si>
  <si>
    <r>
      <rPr>
        <rFont val="Myanmar Sangam MN"/>
        <color theme="1"/>
        <sz val="10.0"/>
      </rPr>
      <t>၃၇၉</t>
    </r>
  </si>
  <si>
    <r>
      <rPr>
        <rFont val="Myanmar Sangam MN"/>
        <b/>
        <color theme="1"/>
        <sz val="9.0"/>
      </rPr>
      <t>၀.၈၀%</t>
    </r>
  </si>
  <si>
    <r>
      <rPr>
        <rFont val="Myanmar Sangam MN"/>
        <b/>
        <color theme="1"/>
        <sz val="10.0"/>
      </rPr>
      <t>၃၆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</si>
  <si>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</si>
  <si>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၆၈၅၇၀</t>
    </r>
  </si>
  <si>
    <r>
      <rPr>
        <rFont val="Myanmar Sangam MN"/>
        <b/>
        <color theme="1"/>
        <sz val="10.0"/>
      </rPr>
      <t>၂၆၂၈၁</t>
    </r>
  </si>
  <si>
    <r>
      <rPr>
        <rFont val="Myanmar Sangam MN"/>
        <b/>
        <color theme="1"/>
        <sz val="10.0"/>
      </rPr>
      <t>၆၆၂၆</t>
    </r>
  </si>
  <si>
    <r>
      <rPr>
        <rFont val="Myanmar Sangam MN"/>
        <b/>
        <color theme="1"/>
        <sz val="10.0"/>
      </rPr>
      <t>၃၂၉၀၇</t>
    </r>
  </si>
  <si>
    <r>
      <rPr>
        <rFont val="Myanmar Sangam MN"/>
        <b/>
        <color theme="1"/>
        <sz val="10.0"/>
      </rPr>
      <t>၄၇.၉၉</t>
    </r>
  </si>
  <si>
    <r>
      <rPr>
        <rFont val="Myanmar Sangam MN"/>
        <b/>
        <color theme="1"/>
        <sz val="10.0"/>
      </rPr>
      <t>၇၄၇</t>
    </r>
  </si>
  <si>
    <r>
      <rPr>
        <rFont val="Myanmar Sangam MN"/>
        <b/>
        <color theme="1"/>
        <sz val="10.0"/>
      </rPr>
      <t>၁၂၉</t>
    </r>
  </si>
  <si>
    <r>
      <rPr>
        <rFont val="Myanmar Sangam MN"/>
        <b/>
        <color theme="1"/>
        <sz val="10.0"/>
      </rPr>
      <t>၈၇၆</t>
    </r>
  </si>
  <si>
    <r>
      <rPr>
        <rFont val="Myanmar Sangam MN"/>
        <b/>
        <color theme="1"/>
        <sz val="10.0"/>
      </rPr>
      <t>၂၅၄၇၉</t>
    </r>
  </si>
  <si>
    <r>
      <rPr>
        <rFont val="Myanmar Sangam MN"/>
        <b/>
        <color theme="1"/>
        <sz val="10.0"/>
      </rPr>
      <t>၆၅၅၂</t>
    </r>
  </si>
  <si>
    <r>
      <rPr>
        <rFont val="Myanmar Sangam MN"/>
        <b/>
        <color theme="1"/>
        <sz val="10.0"/>
      </rPr>
      <t>၃၂၀၃၁</t>
    </r>
  </si>
  <si>
    <r>
      <rPr>
        <rFont val="Myanmar Sangam MN"/>
        <color theme="1"/>
        <sz val="10.0"/>
      </rPr>
      <t>ေစာေကျာ်မင်းထူး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</si>
  <si>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</si>
  <si>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၁၉၈၁၂</t>
    </r>
  </si>
  <si>
    <r>
      <rPr>
        <rFont val="Myanmar Sangam MN"/>
        <color theme="1"/>
        <sz val="10.0"/>
      </rPr>
      <t>၃၆၉၃</t>
    </r>
  </si>
  <si>
    <r>
      <rPr>
        <rFont val="Myanmar Sangam MN"/>
        <color theme="1"/>
        <sz val="10.0"/>
      </rPr>
      <t>၂၃၅၀၅</t>
    </r>
  </si>
  <si>
    <r>
      <rPr>
        <rFont val="Myanmar Sangam MN"/>
        <b/>
        <color theme="1"/>
        <sz val="9.0"/>
      </rPr>
      <t>၇၃.၃၈%</t>
    </r>
  </si>
  <si>
    <r>
      <rPr>
        <rFont val="Myanmar Sangam MN"/>
        <color theme="1"/>
        <sz val="10.0"/>
      </rPr>
      <t>ဦးသန်းဦး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</si>
  <si>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</si>
  <si>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၃၁၄၅</t>
    </r>
  </si>
  <si>
    <r>
      <rPr>
        <rFont val="Myanmar Sangam MN"/>
        <color theme="1"/>
        <sz val="10.0"/>
      </rPr>
      <t>၁၈၈၀</t>
    </r>
  </si>
  <si>
    <r>
      <rPr>
        <rFont val="Myanmar Sangam MN"/>
        <color theme="1"/>
        <sz val="10.0"/>
      </rPr>
      <t>၅၀၂၅</t>
    </r>
  </si>
  <si>
    <r>
      <rPr>
        <rFont val="Myanmar Sangam MN"/>
        <b/>
        <color theme="1"/>
        <sz val="9.0"/>
      </rPr>
      <t>၁၅.၆၉%</t>
    </r>
  </si>
  <si>
    <r>
      <rPr>
        <rFont val="Myanmar Sangam MN"/>
        <color theme="1"/>
        <sz val="10.0"/>
      </rPr>
      <t>ေစာကည်ဝင်း</t>
    </r>
  </si>
  <si>
    <r>
      <rPr>
        <rFont val="Myanmar Sangam MN"/>
        <color theme="1"/>
        <sz val="10.0"/>
      </rPr>
      <t>ကရင်အမျးိ သားဒီမိုကရက်တစ်ပါတီ</t>
    </r>
  </si>
  <si>
    <r>
      <rPr>
        <rFont val="Myanmar Sangam MN"/>
        <color theme="1"/>
        <sz val="10.0"/>
      </rPr>
      <t>၁၉၃၆</t>
    </r>
  </si>
  <si>
    <r>
      <rPr>
        <rFont val="Myanmar Sangam MN"/>
        <color theme="1"/>
        <sz val="10.0"/>
      </rPr>
      <t>၆၇၉</t>
    </r>
  </si>
  <si>
    <r>
      <rPr>
        <rFont val="Myanmar Sangam MN"/>
        <color theme="1"/>
        <sz val="10.0"/>
      </rPr>
      <t>၂၆၁၅</t>
    </r>
  </si>
  <si>
    <r>
      <rPr>
        <rFont val="Myanmar Sangam MN"/>
        <b/>
        <color theme="1"/>
        <sz val="9.0"/>
      </rPr>
      <t>၈.၁၆%</t>
    </r>
  </si>
  <si>
    <r>
      <rPr>
        <rFont val="Myanmar Sangam MN"/>
        <color theme="1"/>
        <sz val="10.0"/>
      </rPr>
      <t>ဦးအုဏ်းသွင်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</si>
  <si>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</si>
  <si>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၂၂၇</t>
    </r>
  </si>
  <si>
    <r>
      <rPr>
        <rFont val="Myanmar Sangam MN"/>
        <color theme="1"/>
        <sz val="10.0"/>
      </rPr>
      <t>၁၀၅</t>
    </r>
  </si>
  <si>
    <r>
      <rPr>
        <rFont val="Myanmar Sangam MN"/>
        <color theme="1"/>
        <sz val="10.0"/>
      </rPr>
      <t>၃၃၂</t>
    </r>
  </si>
  <si>
    <r>
      <rPr>
        <rFont val="Myanmar Sangam MN"/>
        <b/>
        <color theme="1"/>
        <sz val="9.0"/>
      </rPr>
      <t>၁.၀၄%</t>
    </r>
  </si>
  <si>
    <r>
      <rPr>
        <rFont val="Myanmar Sangam MN"/>
        <color theme="1"/>
        <sz val="10.0"/>
      </rPr>
      <t>ေနာ်လားရှီး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</si>
  <si>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</si>
  <si>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၂၁၄</t>
    </r>
  </si>
  <si>
    <r>
      <rPr>
        <rFont val="Myanmar Sangam MN"/>
        <color theme="1"/>
        <sz val="10.0"/>
      </rPr>
      <t>၁၁၅</t>
    </r>
  </si>
  <si>
    <r>
      <rPr>
        <rFont val="Myanmar Sangam MN"/>
        <color theme="1"/>
        <sz val="10.0"/>
      </rPr>
      <t>၃၂၉</t>
    </r>
  </si>
  <si>
    <r>
      <rPr>
        <rFont val="Myanmar Sangam MN"/>
        <b/>
        <color theme="1"/>
        <sz val="9.0"/>
      </rPr>
      <t>၁.၀၃%</t>
    </r>
  </si>
  <si>
    <r>
      <rPr>
        <rFont val="Myanmar Sangam MN"/>
        <color theme="1"/>
        <sz val="10.0"/>
      </rPr>
      <t>ဦးေဌးလွင်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</si>
  <si>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</si>
  <si>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၁၄၅</t>
    </r>
  </si>
  <si>
    <r>
      <rPr>
        <rFont val="Myanmar Sangam MN"/>
        <color theme="1"/>
        <sz val="10.0"/>
      </rPr>
      <t>၈၀</t>
    </r>
  </si>
  <si>
    <r>
      <rPr>
        <rFont val="Myanmar Sangam MN"/>
        <color theme="1"/>
        <sz val="10.0"/>
      </rPr>
      <t>၂၂၅</t>
    </r>
  </si>
  <si>
    <r>
      <rPr>
        <rFont val="Myanmar Sangam MN"/>
        <b/>
        <color theme="1"/>
        <sz val="9.0"/>
      </rPr>
      <t>၀.၇၀%</t>
    </r>
  </si>
  <si>
    <r>
      <rPr>
        <rFont val="Myanmar Sangam MN"/>
        <b/>
        <color theme="1"/>
        <sz val="10.0"/>
      </rPr>
      <t>ချင်းြပည်နယ်</t>
    </r>
  </si>
  <si>
    <r>
      <rPr>
        <rFont val="Myanmar Sangam MN"/>
        <b/>
        <color theme="1"/>
        <sz val="10.0"/>
      </rPr>
      <t>၂၈၆၃၀၈</t>
    </r>
  </si>
  <si>
    <r>
      <rPr>
        <rFont val="Myanmar Sangam MN"/>
        <b/>
        <color theme="1"/>
        <sz val="10.0"/>
      </rPr>
      <t>၁၈၀၀၂၁</t>
    </r>
  </si>
  <si>
    <r>
      <rPr>
        <rFont val="Myanmar Sangam MN"/>
        <b/>
        <color theme="1"/>
        <sz val="10.0"/>
      </rPr>
      <t>၄၂၉၉၇</t>
    </r>
  </si>
  <si>
    <r>
      <rPr>
        <rFont val="Myanmar Sangam MN"/>
        <b/>
        <color theme="1"/>
        <sz val="10.0"/>
      </rPr>
      <t>၂၂၃၀၁၈</t>
    </r>
  </si>
  <si>
    <r>
      <rPr>
        <rFont val="Myanmar Sangam MN"/>
        <b/>
        <color theme="1"/>
        <sz val="10.0"/>
      </rPr>
      <t>၇၇.၈၉</t>
    </r>
  </si>
  <si>
    <r>
      <rPr>
        <rFont val="Myanmar Sangam MN"/>
        <b/>
        <color theme="1"/>
        <sz val="10.0"/>
      </rPr>
      <t>၆၅၇၉</t>
    </r>
  </si>
  <si>
    <r>
      <rPr>
        <rFont val="Myanmar Sangam MN"/>
        <b/>
        <color theme="1"/>
        <sz val="10.0"/>
      </rPr>
      <t>၆၂</t>
    </r>
  </si>
  <si>
    <r>
      <rPr>
        <rFont val="Myanmar Sangam MN"/>
        <b/>
        <color theme="1"/>
        <sz val="10.0"/>
      </rPr>
      <t>၆၆၄၁</t>
    </r>
  </si>
  <si>
    <r>
      <rPr>
        <rFont val="Myanmar Sangam MN"/>
        <b/>
        <color theme="1"/>
        <sz val="10.0"/>
      </rPr>
      <t>၁၇၄၁၁၆</t>
    </r>
  </si>
  <si>
    <r>
      <rPr>
        <rFont val="Myanmar Sangam MN"/>
        <b/>
        <color theme="1"/>
        <sz val="10.0"/>
      </rPr>
      <t>၄၂၂၆၁</t>
    </r>
  </si>
  <si>
    <r>
      <rPr>
        <rFont val="Myanmar Sangam MN"/>
        <b/>
        <color theme="1"/>
        <sz val="10.0"/>
      </rPr>
      <t>၂၁၆၃၇၇</t>
    </r>
  </si>
  <si>
    <r>
      <rPr>
        <rFont val="Myanmar Sangam MN"/>
        <b/>
        <color theme="1"/>
        <sz val="10.0"/>
      </rPr>
      <t>၃၇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</si>
  <si>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</si>
  <si>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၂၈၁၄၀</t>
    </r>
  </si>
  <si>
    <r>
      <rPr>
        <rFont val="Myanmar Sangam MN"/>
        <b/>
        <color theme="1"/>
        <sz val="10.0"/>
      </rPr>
      <t>၁၆၇၇၄</t>
    </r>
  </si>
  <si>
    <r>
      <rPr>
        <rFont val="Myanmar Sangam MN"/>
        <b/>
        <color theme="1"/>
        <sz val="10.0"/>
      </rPr>
      <t>၃၈၉၈</t>
    </r>
  </si>
  <si>
    <r>
      <rPr>
        <rFont val="Myanmar Sangam MN"/>
        <b/>
        <color theme="1"/>
        <sz val="10.0"/>
      </rPr>
      <t>၂၀၆၇၂</t>
    </r>
  </si>
  <si>
    <r>
      <rPr>
        <rFont val="Myanmar Sangam MN"/>
        <b/>
        <color theme="1"/>
        <sz val="10.0"/>
      </rPr>
      <t>၇၃.၄၆</t>
    </r>
  </si>
  <si>
    <r>
      <rPr>
        <rFont val="Myanmar Sangam MN"/>
        <b/>
        <color theme="1"/>
        <sz val="10.0"/>
      </rPr>
      <t>၅၁၉</t>
    </r>
  </si>
  <si>
    <r>
      <rPr>
        <rFont val="Myanmar Sangam MN"/>
        <b/>
        <color theme="1"/>
        <sz val="10.0"/>
      </rPr>
      <t>၂</t>
    </r>
  </si>
  <si>
    <r>
      <rPr>
        <rFont val="Myanmar Sangam MN"/>
        <b/>
        <color theme="1"/>
        <sz val="10.0"/>
      </rPr>
      <t>၅၂၁</t>
    </r>
  </si>
  <si>
    <r>
      <rPr>
        <rFont val="Myanmar Sangam MN"/>
        <b/>
        <color theme="1"/>
        <sz val="10.0"/>
      </rPr>
      <t>၁၆၂၇၄</t>
    </r>
  </si>
  <si>
    <r>
      <rPr>
        <rFont val="Myanmar Sangam MN"/>
        <b/>
        <color theme="1"/>
        <sz val="10.0"/>
      </rPr>
      <t>၃၈၇၇</t>
    </r>
  </si>
  <si>
    <r>
      <rPr>
        <rFont val="Myanmar Sangam MN"/>
        <b/>
        <color theme="1"/>
        <sz val="10.0"/>
      </rPr>
      <t>၂၀၁၅၁</t>
    </r>
  </si>
  <si>
    <r>
      <rPr>
        <rFont val="Myanmar Sangam MN"/>
        <color theme="1"/>
        <sz val="10.0"/>
      </rPr>
      <t>ဦးဟန်ခန ်လျန်း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</si>
  <si>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</si>
  <si>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၆၉၄၃</t>
    </r>
  </si>
  <si>
    <r>
      <rPr>
        <rFont val="Myanmar Sangam MN"/>
        <color theme="1"/>
        <sz val="10.0"/>
      </rPr>
      <t>၁၇၈၄</t>
    </r>
  </si>
  <si>
    <r>
      <rPr>
        <rFont val="Myanmar Sangam MN"/>
        <color theme="1"/>
        <sz val="10.0"/>
      </rPr>
      <t>၈၇၂၇</t>
    </r>
  </si>
  <si>
    <r>
      <rPr>
        <rFont val="Myanmar Sangam MN"/>
        <b/>
        <color theme="1"/>
        <sz val="9.0"/>
      </rPr>
      <t>၄၃.၃၁%</t>
    </r>
  </si>
  <si>
    <r>
      <rPr>
        <rFont val="Myanmar Sangam MN"/>
        <color theme="1"/>
        <sz val="10.0"/>
      </rPr>
      <t>ဦးဂင့်ေဟာက်ကိမ်း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</si>
  <si>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</si>
  <si>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၄၁၄၄</t>
    </r>
  </si>
  <si>
    <r>
      <rPr>
        <rFont val="Myanmar Sangam MN"/>
        <color theme="1"/>
        <sz val="10.0"/>
      </rPr>
      <t>၁၁၁၀</t>
    </r>
  </si>
  <si>
    <r>
      <rPr>
        <rFont val="Myanmar Sangam MN"/>
        <color theme="1"/>
        <sz val="10.0"/>
      </rPr>
      <t>၅၂၅၄</t>
    </r>
  </si>
  <si>
    <r>
      <rPr>
        <rFont val="Myanmar Sangam MN"/>
        <b/>
        <color theme="1"/>
        <sz val="9.0"/>
      </rPr>
      <t>၂၆.၀၇%</t>
    </r>
  </si>
  <si>
    <r>
      <rPr>
        <rFont val="Myanmar Sangam MN"/>
        <color theme="1"/>
        <sz val="10.0"/>
      </rPr>
      <t>ဦးဇမ်ဇမုန်</t>
    </r>
  </si>
  <si>
    <r>
      <rPr>
        <rFont val="Myanmar Sangam MN"/>
        <color theme="1"/>
        <sz val="10.0"/>
      </rPr>
      <t>ဇိုမီးဒီမိုကေရစီအဖွဲချပ်ပါတီ</t>
    </r>
  </si>
  <si>
    <r>
      <rPr>
        <rFont val="Myanmar Sangam MN"/>
        <color theme="1"/>
        <sz val="10.0"/>
      </rPr>
      <t>၄၂၉၀</t>
    </r>
  </si>
  <si>
    <r>
      <rPr>
        <rFont val="Myanmar Sangam MN"/>
        <color theme="1"/>
        <sz val="10.0"/>
      </rPr>
      <t>၇၆၂</t>
    </r>
  </si>
  <si>
    <r>
      <rPr>
        <rFont val="Myanmar Sangam MN"/>
        <color theme="1"/>
        <sz val="10.0"/>
      </rPr>
      <t>၅၀၅၂</t>
    </r>
  </si>
  <si>
    <r>
      <rPr>
        <rFont val="Myanmar Sangam MN"/>
        <b/>
        <color theme="1"/>
        <sz val="9.0"/>
      </rPr>
      <t>၂၅.၀၇%</t>
    </r>
  </si>
  <si>
    <r>
      <rPr>
        <rFont val="Myanmar Sangam MN"/>
        <color theme="1"/>
        <sz val="10.0"/>
      </rPr>
      <t>ဦးတွာလ်ခင်းခမ်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</si>
  <si>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</si>
  <si>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၇၄၆</t>
    </r>
  </si>
  <si>
    <r>
      <rPr>
        <rFont val="Myanmar Sangam MN"/>
        <color theme="1"/>
        <sz val="10.0"/>
      </rPr>
      <t>၁၈၇</t>
    </r>
  </si>
  <si>
    <r>
      <rPr>
        <rFont val="Myanmar Sangam MN"/>
        <color theme="1"/>
        <sz val="10.0"/>
      </rPr>
      <t>၉၃၃</t>
    </r>
  </si>
  <si>
    <r>
      <rPr>
        <rFont val="Myanmar Sangam MN"/>
        <b/>
        <color theme="1"/>
        <sz val="9.0"/>
      </rPr>
      <t>၄.၆၃%</t>
    </r>
  </si>
  <si>
    <r>
      <rPr>
        <rFont val="Myanmar Sangam MN"/>
        <color theme="1"/>
        <sz val="10.0"/>
      </rPr>
      <t>ဦးမုန်ခန ်ဆွင်း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</si>
  <si>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</si>
  <si>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၁၅၁</t>
    </r>
  </si>
  <si>
    <r>
      <rPr>
        <rFont val="Myanmar Sangam MN"/>
        <color theme="1"/>
        <sz val="10.0"/>
      </rPr>
      <t>၃၄</t>
    </r>
  </si>
  <si>
    <r>
      <rPr>
        <rFont val="Myanmar Sangam MN"/>
        <color theme="1"/>
        <sz val="10.0"/>
      </rPr>
      <t>၁၈၅</t>
    </r>
  </si>
  <si>
    <r>
      <rPr>
        <rFont val="Myanmar Sangam MN"/>
        <b/>
        <color theme="1"/>
        <sz val="9.0"/>
      </rPr>
      <t>၀.၉၂%</t>
    </r>
  </si>
  <si>
    <r>
      <rPr>
        <rFont val="Myanmar Sangam MN"/>
        <b/>
        <color theme="1"/>
        <sz val="10.0"/>
      </rPr>
      <t>၃၈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</si>
  <si>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</si>
  <si>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၂၈၆၂၄</t>
    </r>
  </si>
  <si>
    <r>
      <rPr>
        <rFont val="Myanmar Sangam MN"/>
        <b/>
        <color theme="1"/>
        <sz val="10.0"/>
      </rPr>
      <t>၁၇၉၀၄</t>
    </r>
  </si>
  <si>
    <r>
      <rPr>
        <rFont val="Myanmar Sangam MN"/>
        <b/>
        <color theme="1"/>
        <sz val="10.0"/>
      </rPr>
      <t>၃၇၆၆</t>
    </r>
  </si>
  <si>
    <r>
      <rPr>
        <rFont val="Myanmar Sangam MN"/>
        <b/>
        <color theme="1"/>
        <sz val="10.0"/>
      </rPr>
      <t>၂၁၆၇၀</t>
    </r>
  </si>
  <si>
    <r>
      <rPr>
        <rFont val="Myanmar Sangam MN"/>
        <b/>
        <color theme="1"/>
        <sz val="10.0"/>
      </rPr>
      <t>၇၅.၇၁</t>
    </r>
  </si>
  <si>
    <r>
      <rPr>
        <rFont val="Myanmar Sangam MN"/>
        <b/>
        <color theme="1"/>
        <sz val="10.0"/>
      </rPr>
      <t>၁၀၈၅</t>
    </r>
  </si>
  <si>
    <r>
      <rPr>
        <rFont val="Myanmar Sangam MN"/>
        <b/>
        <color theme="1"/>
        <sz val="10.0"/>
      </rPr>
      <t>၁</t>
    </r>
  </si>
  <si>
    <r>
      <rPr>
        <rFont val="Myanmar Sangam MN"/>
        <b/>
        <color theme="1"/>
        <sz val="10.0"/>
      </rPr>
      <t>၁၀၈၆</t>
    </r>
  </si>
  <si>
    <r>
      <rPr>
        <rFont val="Myanmar Sangam MN"/>
        <b/>
        <color theme="1"/>
        <sz val="10.0"/>
      </rPr>
      <t>၁၆၉၀၄</t>
    </r>
  </si>
  <si>
    <r>
      <rPr>
        <rFont val="Myanmar Sangam MN"/>
        <b/>
        <color theme="1"/>
        <sz val="10.0"/>
      </rPr>
      <t>၃၆၈၀</t>
    </r>
  </si>
  <si>
    <r>
      <rPr>
        <rFont val="Myanmar Sangam MN"/>
        <b/>
        <color theme="1"/>
        <sz val="10.0"/>
      </rPr>
      <t>၂၀၅၈၄</t>
    </r>
  </si>
  <si>
    <r>
      <rPr>
        <rFont val="Myanmar Sangam MN"/>
        <color theme="1"/>
        <sz val="10.0"/>
      </rPr>
      <t>ဦးထန်ဒိုးကျင့်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</si>
  <si>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</si>
  <si>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၈၆၇၀</t>
    </r>
  </si>
  <si>
    <r>
      <rPr>
        <rFont val="Myanmar Sangam MN"/>
        <color theme="1"/>
        <sz val="10.0"/>
      </rPr>
      <t>၁၈၇၂</t>
    </r>
  </si>
  <si>
    <r>
      <rPr>
        <rFont val="Myanmar Sangam MN"/>
        <color theme="1"/>
        <sz val="10.0"/>
      </rPr>
      <t>၁၀၅၄၂</t>
    </r>
  </si>
  <si>
    <r>
      <rPr>
        <rFont val="Myanmar Sangam MN"/>
        <b/>
        <color theme="1"/>
        <sz val="9.0"/>
      </rPr>
      <t>၅၁.၂၂%</t>
    </r>
  </si>
  <si>
    <r>
      <rPr>
        <rFont val="Myanmar Sangam MN"/>
        <color theme="1"/>
        <sz val="10.0"/>
      </rPr>
      <t>ဦးအင်းရှင်းမန်</t>
    </r>
  </si>
  <si>
    <r>
      <rPr>
        <rFont val="Myanmar Sangam MN"/>
        <color theme="1"/>
        <sz val="10.0"/>
      </rPr>
      <t>ဇိုမီးဒီမိုကေရစီအဖွဲချပ်ပါတီ</t>
    </r>
  </si>
  <si>
    <r>
      <rPr>
        <rFont val="Myanmar Sangam MN"/>
        <color theme="1"/>
        <sz val="10.0"/>
      </rPr>
      <t>၃၉၉၃</t>
    </r>
  </si>
  <si>
    <r>
      <rPr>
        <rFont val="Myanmar Sangam MN"/>
        <color theme="1"/>
        <sz val="10.0"/>
      </rPr>
      <t>၈၂၉</t>
    </r>
  </si>
  <si>
    <r>
      <rPr>
        <rFont val="Myanmar Sangam MN"/>
        <color theme="1"/>
        <sz val="10.0"/>
      </rPr>
      <t>၄၈၂၂</t>
    </r>
  </si>
  <si>
    <r>
      <rPr>
        <rFont val="Myanmar Sangam MN"/>
        <b/>
        <color theme="1"/>
        <sz val="9.0"/>
      </rPr>
      <t>၂၃.၄၃%</t>
    </r>
  </si>
  <si>
    <r>
      <rPr>
        <rFont val="Myanmar Sangam MN"/>
        <color theme="1"/>
        <sz val="10.0"/>
      </rPr>
      <t>ဦးကျင့်ခန ်ေပါင်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</si>
  <si>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</si>
  <si>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၃၅၈၆</t>
    </r>
  </si>
  <si>
    <r>
      <rPr>
        <rFont val="Myanmar Sangam MN"/>
        <color theme="1"/>
        <sz val="10.0"/>
      </rPr>
      <t>၈၀၇</t>
    </r>
  </si>
  <si>
    <r>
      <rPr>
        <rFont val="Myanmar Sangam MN"/>
        <color theme="1"/>
        <sz val="10.0"/>
      </rPr>
      <t>၄၃၉၃</t>
    </r>
  </si>
  <si>
    <r>
      <rPr>
        <rFont val="Myanmar Sangam MN"/>
        <b/>
        <color theme="1"/>
        <sz val="9.0"/>
      </rPr>
      <t>၂၁.၃၄%</t>
    </r>
  </si>
  <si>
    <r>
      <rPr>
        <rFont val="Myanmar Sangam MN"/>
        <color theme="1"/>
        <sz val="10.0"/>
      </rPr>
      <t>ဦးကမ်းေပါင်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</si>
  <si>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</si>
  <si>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၄၃၀</t>
    </r>
  </si>
  <si>
    <r>
      <rPr>
        <rFont val="Myanmar Sangam MN"/>
        <color theme="1"/>
        <sz val="10.0"/>
      </rPr>
      <t>၁၀၂</t>
    </r>
  </si>
  <si>
    <r>
      <rPr>
        <rFont val="Myanmar Sangam MN"/>
        <color theme="1"/>
        <sz val="10.0"/>
      </rPr>
      <t>၅၃၂</t>
    </r>
  </si>
  <si>
    <r>
      <rPr>
        <rFont val="Myanmar Sangam MN"/>
        <b/>
        <color theme="1"/>
        <sz val="9.0"/>
      </rPr>
      <t>၂.၅၈%</t>
    </r>
  </si>
  <si>
    <r>
      <rPr>
        <rFont val="Myanmar Sangam MN"/>
        <color theme="1"/>
        <sz val="10.0"/>
      </rPr>
      <t>ဦးဒိုဆွင်းမုန်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</si>
  <si>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</si>
  <si>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၁၃၃</t>
    </r>
  </si>
  <si>
    <r>
      <rPr>
        <rFont val="Myanmar Sangam MN"/>
        <color theme="1"/>
        <sz val="10.0"/>
      </rPr>
      <t>၄၈</t>
    </r>
  </si>
  <si>
    <r>
      <rPr>
        <rFont val="Myanmar Sangam MN"/>
        <color theme="1"/>
        <sz val="10.0"/>
      </rPr>
      <t>၁၈၁</t>
    </r>
  </si>
  <si>
    <r>
      <rPr>
        <rFont val="Myanmar Sangam MN"/>
        <b/>
        <color theme="1"/>
        <sz val="9.0"/>
      </rPr>
      <t>၀.၈၈%</t>
    </r>
  </si>
  <si>
    <r>
      <rPr>
        <rFont val="Myanmar Sangam MN"/>
        <color theme="1"/>
        <sz val="10.0"/>
      </rPr>
      <t>ဦးခမ်ဆွင်းေြပာင်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</si>
  <si>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</si>
  <si>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၉၂</t>
    </r>
  </si>
  <si>
    <r>
      <rPr>
        <rFont val="Myanmar Sangam MN"/>
        <color theme="1"/>
        <sz val="10.0"/>
      </rPr>
      <t>၂၂</t>
    </r>
  </si>
  <si>
    <r>
      <rPr>
        <rFont val="Myanmar Sangam MN"/>
        <color theme="1"/>
        <sz val="10.0"/>
      </rPr>
      <t>၁၁၄</t>
    </r>
  </si>
  <si>
    <r>
      <rPr>
        <rFont val="Myanmar Sangam MN"/>
        <b/>
        <color theme="1"/>
        <sz val="9.0"/>
      </rPr>
      <t>၀.၅၅%</t>
    </r>
  </si>
  <si>
    <r>
      <rPr>
        <rFont val="Myanmar Sangam MN"/>
        <b/>
        <color theme="1"/>
        <sz val="10.0"/>
      </rPr>
      <t>၃၉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</si>
  <si>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</si>
  <si>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၁၇၈၂၇</t>
    </r>
  </si>
  <si>
    <r>
      <rPr>
        <rFont val="Myanmar Sangam MN"/>
        <b/>
        <color theme="1"/>
        <sz val="10.0"/>
      </rPr>
      <t>၁၃၂၃၅</t>
    </r>
  </si>
  <si>
    <r>
      <rPr>
        <rFont val="Myanmar Sangam MN"/>
        <b/>
        <color theme="1"/>
        <sz val="10.0"/>
      </rPr>
      <t>၂၄၀၉</t>
    </r>
  </si>
  <si>
    <r>
      <rPr>
        <rFont val="Myanmar Sangam MN"/>
        <b/>
        <color theme="1"/>
        <sz val="10.0"/>
      </rPr>
      <t>၁၅၆၄၄</t>
    </r>
  </si>
  <si>
    <r>
      <rPr>
        <rFont val="Myanmar Sangam MN"/>
        <b/>
        <color theme="1"/>
        <sz val="10.0"/>
      </rPr>
      <t>၈၇.၇၅</t>
    </r>
  </si>
  <si>
    <r>
      <rPr>
        <rFont val="Myanmar Sangam MN"/>
        <b/>
        <color theme="1"/>
        <sz val="10.0"/>
      </rPr>
      <t>၂၈၄</t>
    </r>
  </si>
  <si>
    <r>
      <rPr>
        <rFont val="Myanmar Sangam MN"/>
        <b/>
        <color theme="1"/>
        <sz val="10.0"/>
      </rPr>
      <t>၂</t>
    </r>
  </si>
  <si>
    <r>
      <rPr>
        <rFont val="Myanmar Sangam MN"/>
        <b/>
        <color theme="1"/>
        <sz val="10.0"/>
      </rPr>
      <t>၂၈၆</t>
    </r>
  </si>
  <si>
    <r>
      <rPr>
        <rFont val="Myanmar Sangam MN"/>
        <b/>
        <color theme="1"/>
        <sz val="10.0"/>
      </rPr>
      <t>၁၃၀၃၅</t>
    </r>
  </si>
  <si>
    <r>
      <rPr>
        <rFont val="Myanmar Sangam MN"/>
        <b/>
        <color theme="1"/>
        <sz val="10.0"/>
      </rPr>
      <t>၂၃၂၃</t>
    </r>
  </si>
  <si>
    <r>
      <rPr>
        <rFont val="Myanmar Sangam MN"/>
        <b/>
        <color theme="1"/>
        <sz val="10.0"/>
      </rPr>
      <t>၁၅၃၅၈</t>
    </r>
  </si>
  <si>
    <r>
      <rPr>
        <rFont val="Myanmar Sangam MN"/>
        <color theme="1"/>
        <sz val="10.0"/>
      </rPr>
      <t>ဦးကျင့်ဆွမ်းမန်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</si>
  <si>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</si>
  <si>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၄၆၉၃</t>
    </r>
  </si>
  <si>
    <r>
      <rPr>
        <rFont val="Myanmar Sangam MN"/>
        <color theme="1"/>
        <sz val="10.0"/>
      </rPr>
      <t>၉၂၇</t>
    </r>
  </si>
  <si>
    <r>
      <rPr>
        <rFont val="Myanmar Sangam MN"/>
        <color theme="1"/>
        <sz val="10.0"/>
      </rPr>
      <t>၅၆၂၀</t>
    </r>
  </si>
  <si>
    <r>
      <rPr>
        <rFont val="Myanmar Sangam MN"/>
        <b/>
        <color theme="1"/>
        <sz val="9.0"/>
      </rPr>
      <t>၃၆.၅၉%</t>
    </r>
  </si>
  <si>
    <r>
      <rPr>
        <rFont val="Myanmar Sangam MN"/>
        <color theme="1"/>
        <sz val="10.0"/>
      </rPr>
      <t>ဦးခမ်ခန ်ထန်</t>
    </r>
  </si>
  <si>
    <r>
      <rPr>
        <rFont val="Myanmar Sangam MN"/>
        <color theme="1"/>
        <sz val="10.0"/>
      </rPr>
      <t>ဇိုမီးဒီမိုကေရစီအဖွဲချပ်ပါတီ</t>
    </r>
  </si>
  <si>
    <r>
      <rPr>
        <rFont val="Myanmar Sangam MN"/>
        <color theme="1"/>
        <sz val="10.0"/>
      </rPr>
      <t>၃၇၉၈</t>
    </r>
  </si>
  <si>
    <r>
      <rPr>
        <rFont val="Myanmar Sangam MN"/>
        <color theme="1"/>
        <sz val="10.0"/>
      </rPr>
      <t>၆၀၃</t>
    </r>
  </si>
  <si>
    <r>
      <rPr>
        <rFont val="Myanmar Sangam MN"/>
        <color theme="1"/>
        <sz val="10.0"/>
      </rPr>
      <t>၄၄၀၁</t>
    </r>
  </si>
  <si>
    <r>
      <rPr>
        <rFont val="Myanmar Sangam MN"/>
        <b/>
        <color theme="1"/>
        <sz val="9.0"/>
      </rPr>
      <t>၂၈.၆၆%</t>
    </r>
  </si>
  <si>
    <r>
      <rPr>
        <rFont val="Myanmar Sangam MN"/>
        <color theme="1"/>
        <sz val="10.0"/>
      </rPr>
      <t>ဦးထန်ဆွင်းေပါင်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</si>
  <si>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</si>
  <si>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၁၇၅၆</t>
    </r>
  </si>
  <si>
    <r>
      <rPr>
        <rFont val="Myanmar Sangam MN"/>
        <color theme="1"/>
        <sz val="10.0"/>
      </rPr>
      <t>၂၅၈</t>
    </r>
  </si>
  <si>
    <r>
      <rPr>
        <rFont val="Myanmar Sangam MN"/>
        <color theme="1"/>
        <sz val="10.0"/>
      </rPr>
      <t>၂၀၁၄</t>
    </r>
  </si>
  <si>
    <r>
      <rPr>
        <rFont val="Myanmar Sangam MN"/>
        <b/>
        <color theme="1"/>
        <sz val="9.0"/>
      </rPr>
      <t>၁၃.၁၁%</t>
    </r>
  </si>
  <si>
    <r>
      <rPr>
        <rFont val="Myanmar Sangam MN"/>
        <color theme="1"/>
        <sz val="10.0"/>
      </rPr>
      <t>ဦးခမ်လမ့်ေတွာင်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</si>
  <si>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</si>
  <si>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၁၆၇၀</t>
    </r>
  </si>
  <si>
    <r>
      <rPr>
        <rFont val="Myanmar Sangam MN"/>
        <color theme="1"/>
        <sz val="10.0"/>
      </rPr>
      <t>၃၁၃</t>
    </r>
  </si>
  <si>
    <r>
      <rPr>
        <rFont val="Myanmar Sangam MN"/>
        <color theme="1"/>
        <sz val="10.0"/>
      </rPr>
      <t>၁၉၈၃</t>
    </r>
  </si>
  <si>
    <r>
      <rPr>
        <rFont val="Myanmar Sangam MN"/>
        <b/>
        <color theme="1"/>
        <sz val="9.0"/>
      </rPr>
      <t>၁၂.၉၁%</t>
    </r>
  </si>
  <si>
    <r>
      <rPr>
        <rFont val="Myanmar Sangam MN"/>
        <color theme="1"/>
        <sz val="10.0"/>
      </rPr>
      <t>ဦးကျင့်လျန်းေပါင်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</si>
  <si>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</si>
  <si>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၆၆၈</t>
    </r>
  </si>
  <si>
    <r>
      <rPr>
        <rFont val="Myanmar Sangam MN"/>
        <color theme="1"/>
        <sz val="10.0"/>
      </rPr>
      <t>၁၆၃</t>
    </r>
  </si>
  <si>
    <r>
      <rPr>
        <rFont val="Myanmar Sangam MN"/>
        <color theme="1"/>
        <sz val="10.0"/>
      </rPr>
      <t>၈၃၁</t>
    </r>
  </si>
  <si>
    <r>
      <rPr>
        <rFont val="Myanmar Sangam MN"/>
        <b/>
        <color theme="1"/>
        <sz val="9.0"/>
      </rPr>
      <t>၅.၄၁%</t>
    </r>
  </si>
  <si>
    <r>
      <rPr>
        <rFont val="Myanmar Sangam MN"/>
        <color theme="1"/>
        <sz val="10.0"/>
      </rPr>
      <t>ဦးေဟာက်ဆွင်းမန်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</si>
  <si>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</si>
  <si>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၂၄၄</t>
    </r>
  </si>
  <si>
    <r>
      <rPr>
        <rFont val="Myanmar Sangam MN"/>
        <color theme="1"/>
        <sz val="10.0"/>
      </rPr>
      <t>၂၉</t>
    </r>
  </si>
  <si>
    <r>
      <rPr>
        <rFont val="Myanmar Sangam MN"/>
        <color theme="1"/>
        <sz val="10.0"/>
      </rPr>
      <t>၂၇၃</t>
    </r>
  </si>
  <si>
    <r>
      <rPr>
        <rFont val="Myanmar Sangam MN"/>
        <b/>
        <color theme="1"/>
        <sz val="9.0"/>
      </rPr>
      <t>၁.၇၈%</t>
    </r>
  </si>
  <si>
    <r>
      <rPr>
        <rFont val="Myanmar Sangam MN"/>
        <color theme="1"/>
        <sz val="10.0"/>
      </rPr>
      <t>ဦးကျင့်ရှင်းကပ်</t>
    </r>
  </si>
  <si>
    <r>
      <rPr>
        <rFont val="Myanmar Sangam MN"/>
        <color theme="1"/>
        <sz val="10.0"/>
      </rPr>
      <t>ဇိုတိုင်းရင်းသားေဒသဖွံဖိးေရးပါတီ</t>
    </r>
  </si>
  <si>
    <r>
      <rPr>
        <rFont val="Myanmar Sangam MN"/>
        <color theme="1"/>
        <sz val="10.0"/>
      </rPr>
      <t>၂၀၆</t>
    </r>
  </si>
  <si>
    <r>
      <rPr>
        <rFont val="Myanmar Sangam MN"/>
        <color theme="1"/>
        <sz val="10.0"/>
      </rPr>
      <t>၃၀</t>
    </r>
  </si>
  <si>
    <r>
      <rPr>
        <rFont val="Myanmar Sangam MN"/>
        <color theme="1"/>
        <sz val="10.0"/>
      </rPr>
      <t>၂၃၆</t>
    </r>
  </si>
  <si>
    <r>
      <rPr>
        <rFont val="Myanmar Sangam MN"/>
        <b/>
        <color theme="1"/>
        <sz val="9.0"/>
      </rPr>
      <t>၁.၅၄%</t>
    </r>
  </si>
  <si>
    <r>
      <rPr>
        <rFont val="Myanmar Sangam MN"/>
        <b/>
        <color theme="1"/>
        <sz val="10.0"/>
      </rPr>
      <t>၄၀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</si>
  <si>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</si>
  <si>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၃၉၂၇၃</t>
    </r>
  </si>
  <si>
    <r>
      <rPr>
        <rFont val="Myanmar Sangam MN"/>
        <b/>
        <color theme="1"/>
        <sz val="10.0"/>
      </rPr>
      <t>၂၃၁၄၀</t>
    </r>
  </si>
  <si>
    <r>
      <rPr>
        <rFont val="Myanmar Sangam MN"/>
        <b/>
        <color theme="1"/>
        <sz val="10.0"/>
      </rPr>
      <t>၄၅၈၂</t>
    </r>
  </si>
  <si>
    <r>
      <rPr>
        <rFont val="Myanmar Sangam MN"/>
        <b/>
        <color theme="1"/>
        <sz val="10.0"/>
      </rPr>
      <t>၂၇၇၂၂</t>
    </r>
  </si>
  <si>
    <r>
      <rPr>
        <rFont val="Myanmar Sangam MN"/>
        <b/>
        <color theme="1"/>
        <sz val="10.0"/>
      </rPr>
      <t>၇၀.၅၉</t>
    </r>
  </si>
  <si>
    <r>
      <rPr>
        <rFont val="Myanmar Sangam MN"/>
        <b/>
        <color theme="1"/>
        <sz val="10.0"/>
      </rPr>
      <t>၅၂၈</t>
    </r>
  </si>
  <si>
    <r>
      <rPr>
        <rFont val="Myanmar Sangam MN"/>
        <b/>
        <color theme="1"/>
        <sz val="10.0"/>
      </rPr>
      <t>-</t>
    </r>
  </si>
  <si>
    <r>
      <rPr>
        <rFont val="Myanmar Sangam MN"/>
        <b/>
        <color theme="1"/>
        <sz val="10.0"/>
      </rPr>
      <t>၅၂၈</t>
    </r>
  </si>
  <si>
    <r>
      <rPr>
        <rFont val="Myanmar Sangam MN"/>
        <b/>
        <color theme="1"/>
        <sz val="10.0"/>
      </rPr>
      <t>၂၂၆၁၂</t>
    </r>
  </si>
  <si>
    <r>
      <rPr>
        <rFont val="Myanmar Sangam MN"/>
        <b/>
        <color theme="1"/>
        <sz val="10.0"/>
      </rPr>
      <t>၄၅၈၂</t>
    </r>
  </si>
  <si>
    <r>
      <rPr>
        <rFont val="Myanmar Sangam MN"/>
        <b/>
        <color theme="1"/>
        <sz val="10.0"/>
      </rPr>
      <t>၂၇၁၉၄</t>
    </r>
  </si>
  <si>
    <r>
      <rPr>
        <rFont val="Myanmar Sangam MN"/>
        <color theme="1"/>
        <sz val="10.0"/>
      </rPr>
      <t>ဦးဟဲဒွန်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</si>
  <si>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</si>
  <si>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၁၂၇၀၉</t>
    </r>
  </si>
  <si>
    <r>
      <rPr>
        <rFont val="Myanmar Sangam MN"/>
        <color theme="1"/>
        <sz val="10.0"/>
      </rPr>
      <t>၂၆၀၈</t>
    </r>
  </si>
  <si>
    <r>
      <rPr>
        <rFont val="Myanmar Sangam MN"/>
        <color theme="1"/>
        <sz val="10.0"/>
      </rPr>
      <t>၁၅၃၁၇</t>
    </r>
  </si>
  <si>
    <r>
      <rPr>
        <rFont val="Myanmar Sangam MN"/>
        <b/>
        <color theme="1"/>
        <sz val="9.0"/>
      </rPr>
      <t>၅၆.၃၂%</t>
    </r>
  </si>
  <si>
    <r>
      <rPr>
        <rFont val="Myanmar Sangam MN"/>
        <color theme="1"/>
        <sz val="10.0"/>
      </rPr>
      <t>ဦးငယ်ပီးထီယံအုပ်ထန်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</si>
  <si>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</si>
  <si>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၇၄၆၃</t>
    </r>
  </si>
  <si>
    <r>
      <rPr>
        <rFont val="Myanmar Sangam MN"/>
        <color theme="1"/>
        <sz val="10.0"/>
      </rPr>
      <t>၁၅၂၉</t>
    </r>
  </si>
  <si>
    <r>
      <rPr>
        <rFont val="Myanmar Sangam MN"/>
        <color theme="1"/>
        <sz val="10.0"/>
      </rPr>
      <t>၈၉၉၂</t>
    </r>
  </si>
  <si>
    <r>
      <rPr>
        <rFont val="Myanmar Sangam MN"/>
        <b/>
        <color theme="1"/>
        <sz val="9.0"/>
      </rPr>
      <t>၃၃.၀၇%</t>
    </r>
  </si>
  <si>
    <r>
      <rPr>
        <rFont val="Myanmar Sangam MN"/>
        <color theme="1"/>
        <sz val="10.0"/>
      </rPr>
      <t>ဦးဘွာလ်ဆိုင်လို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</si>
  <si>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</si>
  <si>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၂၄၄၀</t>
    </r>
  </si>
  <si>
    <r>
      <rPr>
        <rFont val="Myanmar Sangam MN"/>
        <color theme="1"/>
        <sz val="10.0"/>
      </rPr>
      <t>၄၄၅</t>
    </r>
  </si>
  <si>
    <r>
      <rPr>
        <rFont val="Myanmar Sangam MN"/>
        <color theme="1"/>
        <sz val="10.0"/>
      </rPr>
      <t>၂၈၈၅</t>
    </r>
  </si>
  <si>
    <r>
      <rPr>
        <rFont val="Myanmar Sangam MN"/>
        <b/>
        <color theme="1"/>
        <sz val="9.0"/>
      </rPr>
      <t>၁၀.၆၁%</t>
    </r>
  </si>
  <si>
    <r>
      <rPr>
        <rFont val="Myanmar Sangam MN"/>
        <b/>
        <color theme="1"/>
        <sz val="10.0"/>
      </rPr>
      <t>၄၁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</si>
  <si>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</si>
  <si>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၁၄၇၁၂</t>
    </r>
  </si>
  <si>
    <r>
      <rPr>
        <rFont val="Myanmar Sangam MN"/>
        <b/>
        <color theme="1"/>
        <sz val="10.0"/>
      </rPr>
      <t>၉၈၁၂</t>
    </r>
  </si>
  <si>
    <r>
      <rPr>
        <rFont val="Myanmar Sangam MN"/>
        <b/>
        <color theme="1"/>
        <sz val="10.0"/>
      </rPr>
      <t>၁၈၇၈</t>
    </r>
  </si>
  <si>
    <r>
      <rPr>
        <rFont val="Myanmar Sangam MN"/>
        <b/>
        <color theme="1"/>
        <sz val="10.0"/>
      </rPr>
      <t>၁၁၆၉၀</t>
    </r>
  </si>
  <si>
    <r>
      <rPr>
        <rFont val="Myanmar Sangam MN"/>
        <b/>
        <color theme="1"/>
        <sz val="10.0"/>
      </rPr>
      <t>၇၉.၄၆</t>
    </r>
  </si>
  <si>
    <r>
      <rPr>
        <rFont val="Myanmar Sangam MN"/>
        <b/>
        <color theme="1"/>
        <sz val="10.0"/>
      </rPr>
      <t>၂၆၇</t>
    </r>
  </si>
  <si>
    <r>
      <rPr>
        <rFont val="Myanmar Sangam MN"/>
        <b/>
        <color theme="1"/>
        <sz val="10.0"/>
      </rPr>
      <t>-</t>
    </r>
  </si>
  <si>
    <r>
      <rPr>
        <rFont val="Myanmar Sangam MN"/>
        <b/>
        <color theme="1"/>
        <sz val="10.0"/>
      </rPr>
      <t>၂၆၇</t>
    </r>
  </si>
  <si>
    <r>
      <rPr>
        <rFont val="Myanmar Sangam MN"/>
        <b/>
        <color theme="1"/>
        <sz val="10.0"/>
      </rPr>
      <t>၉၆၁၂</t>
    </r>
  </si>
  <si>
    <r>
      <rPr>
        <rFont val="Myanmar Sangam MN"/>
        <b/>
        <color theme="1"/>
        <sz val="10.0"/>
      </rPr>
      <t>၁၈၁၁</t>
    </r>
  </si>
  <si>
    <r>
      <rPr>
        <rFont val="Myanmar Sangam MN"/>
        <b/>
        <color theme="1"/>
        <sz val="10.0"/>
      </rPr>
      <t>၁၁၄၂၃</t>
    </r>
  </si>
  <si>
    <r>
      <rPr>
        <rFont val="Myanmar Sangam MN"/>
        <color theme="1"/>
        <sz val="10.0"/>
      </rPr>
      <t>ေဒခင်ေဆွလွင်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</si>
  <si>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</si>
  <si>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၃၈၈၉</t>
    </r>
  </si>
  <si>
    <r>
      <rPr>
        <rFont val="Myanmar Sangam MN"/>
        <color theme="1"/>
        <sz val="10.0"/>
      </rPr>
      <t>၈၄၀</t>
    </r>
  </si>
  <si>
    <r>
      <rPr>
        <rFont val="Myanmar Sangam MN"/>
        <color theme="1"/>
        <sz val="10.0"/>
      </rPr>
      <t>၄၇၂၉</t>
    </r>
  </si>
  <si>
    <r>
      <rPr>
        <rFont val="Myanmar Sangam MN"/>
        <b/>
        <color theme="1"/>
        <sz val="9.0"/>
      </rPr>
      <t>၄၁.၄၀%</t>
    </r>
  </si>
  <si>
    <r>
      <rPr>
        <rFont val="Myanmar Sangam MN"/>
        <color theme="1"/>
        <sz val="10.0"/>
      </rPr>
      <t>ဦးထုံလိန်း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</si>
  <si>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</si>
  <si>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၂၈၈၅</t>
    </r>
  </si>
  <si>
    <r>
      <rPr>
        <rFont val="Myanmar Sangam MN"/>
        <color theme="1"/>
        <sz val="10.0"/>
      </rPr>
      <t>၅၄၉</t>
    </r>
  </si>
  <si>
    <r>
      <rPr>
        <rFont val="Myanmar Sangam MN"/>
        <color theme="1"/>
        <sz val="10.0"/>
      </rPr>
      <t>၃၄၃၄</t>
    </r>
  </si>
  <si>
    <r>
      <rPr>
        <rFont val="Myanmar Sangam MN"/>
        <b/>
        <color theme="1"/>
        <sz val="9.0"/>
      </rPr>
      <t>၃၀.၀၆%</t>
    </r>
  </si>
  <si>
    <r>
      <rPr>
        <rFont val="Myanmar Sangam MN"/>
        <color theme="1"/>
        <sz val="10.0"/>
      </rPr>
      <t>ဦးမျးိ ချစ်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</si>
  <si>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</si>
  <si>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၂၇၀၉</t>
    </r>
  </si>
  <si>
    <r>
      <rPr>
        <rFont val="Myanmar Sangam MN"/>
        <color theme="1"/>
        <sz val="10.0"/>
      </rPr>
      <t>၃၇၆</t>
    </r>
  </si>
  <si>
    <r>
      <rPr>
        <rFont val="Myanmar Sangam MN"/>
        <color theme="1"/>
        <sz val="10.0"/>
      </rPr>
      <t>၃၀၈၅</t>
    </r>
  </si>
  <si>
    <r>
      <rPr>
        <rFont val="Myanmar Sangam MN"/>
        <b/>
        <color theme="1"/>
        <sz val="9.0"/>
      </rPr>
      <t>၂၇.၀၁%</t>
    </r>
  </si>
  <si>
    <r>
      <rPr>
        <rFont val="Myanmar Sangam MN"/>
        <color theme="1"/>
        <sz val="10.0"/>
      </rPr>
      <t>ဦးချစ်စိန်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</si>
  <si>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</si>
  <si>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၁၂၉</t>
    </r>
  </si>
  <si>
    <r>
      <rPr>
        <rFont val="Myanmar Sangam MN"/>
        <color theme="1"/>
        <sz val="10.0"/>
      </rPr>
      <t>၄၆</t>
    </r>
  </si>
  <si>
    <r>
      <rPr>
        <rFont val="Myanmar Sangam MN"/>
        <color theme="1"/>
        <sz val="10.0"/>
      </rPr>
      <t>၁၇၅</t>
    </r>
  </si>
  <si>
    <r>
      <rPr>
        <rFont val="Myanmar Sangam MN"/>
        <b/>
        <color theme="1"/>
        <sz val="9.0"/>
      </rPr>
      <t>၁.၅၃%</t>
    </r>
  </si>
  <si>
    <r>
      <rPr>
        <rFont val="Myanmar Sangam MN"/>
        <b/>
        <color theme="1"/>
        <sz val="10.0"/>
      </rPr>
      <t>၄၂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</si>
  <si>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</si>
  <si>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၃၀၇၀၆</t>
    </r>
  </si>
  <si>
    <r>
      <rPr>
        <rFont val="Myanmar Sangam MN"/>
        <b/>
        <color theme="1"/>
        <sz val="10.0"/>
      </rPr>
      <t>၁၉၇၂၅</t>
    </r>
  </si>
  <si>
    <r>
      <rPr>
        <rFont val="Myanmar Sangam MN"/>
        <b/>
        <color theme="1"/>
        <sz val="10.0"/>
      </rPr>
      <t>၄၉၄၂</t>
    </r>
  </si>
  <si>
    <r>
      <rPr>
        <rFont val="Myanmar Sangam MN"/>
        <b/>
        <color theme="1"/>
        <sz val="10.0"/>
      </rPr>
      <t>၂၄၆၆၇</t>
    </r>
  </si>
  <si>
    <r>
      <rPr>
        <rFont val="Myanmar Sangam MN"/>
        <b/>
        <color theme="1"/>
        <sz val="10.0"/>
      </rPr>
      <t>၈၀.၃၃</t>
    </r>
  </si>
  <si>
    <r>
      <rPr>
        <rFont val="Myanmar Sangam MN"/>
        <b/>
        <color theme="1"/>
        <sz val="10.0"/>
      </rPr>
      <t>၅၈၆</t>
    </r>
  </si>
  <si>
    <r>
      <rPr>
        <rFont val="Myanmar Sangam MN"/>
        <b/>
        <color theme="1"/>
        <sz val="10.0"/>
      </rPr>
      <t>၁</t>
    </r>
  </si>
  <si>
    <r>
      <rPr>
        <rFont val="Myanmar Sangam MN"/>
        <b/>
        <color theme="1"/>
        <sz val="10.0"/>
      </rPr>
      <t>၅၈၇</t>
    </r>
  </si>
  <si>
    <r>
      <rPr>
        <rFont val="Myanmar Sangam MN"/>
        <b/>
        <color theme="1"/>
        <sz val="10.0"/>
      </rPr>
      <t>၁၉၂၄၈</t>
    </r>
  </si>
  <si>
    <r>
      <rPr>
        <rFont val="Myanmar Sangam MN"/>
        <b/>
        <color theme="1"/>
        <sz val="10.0"/>
      </rPr>
      <t>၄၈၃၂</t>
    </r>
  </si>
  <si>
    <r>
      <rPr>
        <rFont val="Myanmar Sangam MN"/>
        <b/>
        <color theme="1"/>
        <sz val="10.0"/>
      </rPr>
      <t>၂၄၀၈၀</t>
    </r>
  </si>
  <si>
    <r>
      <rPr>
        <rFont val="Myanmar Sangam MN"/>
        <color theme="1"/>
        <sz val="9.0"/>
      </rPr>
      <t>ေဒါက်တာငိုင်းတမ်ေမာင်း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</si>
  <si>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</si>
  <si>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၁၀၁၁၃</t>
    </r>
  </si>
  <si>
    <r>
      <rPr>
        <rFont val="Myanmar Sangam MN"/>
        <color theme="1"/>
        <sz val="10.0"/>
      </rPr>
      <t>၂၅၇၂</t>
    </r>
  </si>
  <si>
    <r>
      <rPr>
        <rFont val="Myanmar Sangam MN"/>
        <color theme="1"/>
        <sz val="10.0"/>
      </rPr>
      <t>၁၂၆၈၅</t>
    </r>
  </si>
  <si>
    <r>
      <rPr>
        <rFont val="Myanmar Sangam MN"/>
        <b/>
        <color theme="1"/>
        <sz val="9.0"/>
      </rPr>
      <t>၅၂.၆၈%</t>
    </r>
  </si>
  <si>
    <r>
      <rPr>
        <rFont val="Myanmar Sangam MN"/>
        <color theme="1"/>
        <sz val="10.0"/>
      </rPr>
      <t>ဦးဟာရှိန်းေဘွ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</si>
  <si>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</si>
  <si>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၄၆၉၈</t>
    </r>
  </si>
  <si>
    <r>
      <rPr>
        <rFont val="Myanmar Sangam MN"/>
        <color theme="1"/>
        <sz val="10.0"/>
      </rPr>
      <t>၁၂၆၅</t>
    </r>
  </si>
  <si>
    <r>
      <rPr>
        <rFont val="Myanmar Sangam MN"/>
        <color theme="1"/>
        <sz val="10.0"/>
      </rPr>
      <t>၅၉၆၃</t>
    </r>
  </si>
  <si>
    <r>
      <rPr>
        <rFont val="Myanmar Sangam MN"/>
        <b/>
        <color theme="1"/>
        <sz val="9.0"/>
      </rPr>
      <t>၂၄.၇၆%</t>
    </r>
  </si>
  <si>
    <r>
      <rPr>
        <rFont val="Myanmar Sangam MN"/>
        <color theme="1"/>
        <sz val="10.0"/>
      </rPr>
      <t>ေဒဟုန်းေရာင်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</si>
  <si>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</si>
  <si>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၃၇၉၇</t>
    </r>
  </si>
  <si>
    <r>
      <rPr>
        <rFont val="Myanmar Sangam MN"/>
        <color theme="1"/>
        <sz val="10.0"/>
      </rPr>
      <t>၈၂၃</t>
    </r>
  </si>
  <si>
    <r>
      <rPr>
        <rFont val="Myanmar Sangam MN"/>
        <color theme="1"/>
        <sz val="10.0"/>
      </rPr>
      <t>၄၆၂၀</t>
    </r>
  </si>
  <si>
    <r>
      <rPr>
        <rFont val="Myanmar Sangam MN"/>
        <b/>
        <color theme="1"/>
        <sz val="9.0"/>
      </rPr>
      <t>၁၉.၁၉%</t>
    </r>
  </si>
  <si>
    <r>
      <rPr>
        <rFont val="Myanmar Sangam MN"/>
        <color theme="1"/>
        <sz val="10.0"/>
      </rPr>
      <t>ဦးကာဟုန်းကီး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</si>
  <si>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</si>
  <si>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၅၀၁</t>
    </r>
  </si>
  <si>
    <r>
      <rPr>
        <rFont val="Myanmar Sangam MN"/>
        <color theme="1"/>
        <sz val="10.0"/>
      </rPr>
      <t>၁၃၈</t>
    </r>
  </si>
  <si>
    <r>
      <rPr>
        <rFont val="Myanmar Sangam MN"/>
        <color theme="1"/>
        <sz val="10.0"/>
      </rPr>
      <t>၆၃၉</t>
    </r>
  </si>
  <si>
    <r>
      <rPr>
        <rFont val="Myanmar Sangam MN"/>
        <b/>
        <color theme="1"/>
        <sz val="9.0"/>
      </rPr>
      <t>၂.၆၅%</t>
    </r>
  </si>
  <si>
    <r>
      <rPr>
        <rFont val="Myanmar Sangam MN"/>
        <color theme="1"/>
        <sz val="10.0"/>
      </rPr>
      <t>ဦးေဆာမနား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</si>
  <si>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</si>
  <si>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၁၃၉</t>
    </r>
  </si>
  <si>
    <r>
      <rPr>
        <rFont val="Myanmar Sangam MN"/>
        <color theme="1"/>
        <sz val="10.0"/>
      </rPr>
      <t>၃၄</t>
    </r>
  </si>
  <si>
    <r>
      <rPr>
        <rFont val="Myanmar Sangam MN"/>
        <color theme="1"/>
        <sz val="10.0"/>
      </rPr>
      <t>၁၇၃</t>
    </r>
  </si>
  <si>
    <r>
      <rPr>
        <rFont val="Myanmar Sangam MN"/>
        <b/>
        <color theme="1"/>
        <sz val="9.0"/>
      </rPr>
      <t>၀.၇၂%</t>
    </r>
  </si>
  <si>
    <r>
      <rPr>
        <rFont val="Myanmar Sangam MN"/>
        <b/>
        <color theme="1"/>
        <sz val="10.0"/>
      </rPr>
      <t>၄၃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</si>
  <si>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</si>
  <si>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၈၃၈၄</t>
    </r>
  </si>
  <si>
    <r>
      <rPr>
        <rFont val="Myanmar Sangam MN"/>
        <b/>
        <color theme="1"/>
        <sz val="10.0"/>
      </rPr>
      <t>၃၃၂၆</t>
    </r>
  </si>
  <si>
    <r>
      <rPr>
        <rFont val="Myanmar Sangam MN"/>
        <b/>
        <color theme="1"/>
        <sz val="10.0"/>
      </rPr>
      <t>၁၀၈၇</t>
    </r>
  </si>
  <si>
    <r>
      <rPr>
        <rFont val="Myanmar Sangam MN"/>
        <b/>
        <color theme="1"/>
        <sz val="10.0"/>
      </rPr>
      <t>၄၄၁၃</t>
    </r>
  </si>
  <si>
    <r>
      <rPr>
        <rFont val="Myanmar Sangam MN"/>
        <b/>
        <color theme="1"/>
        <sz val="10.0"/>
      </rPr>
      <t>၅၂.၆၄</t>
    </r>
  </si>
  <si>
    <r>
      <rPr>
        <rFont val="Myanmar Sangam MN"/>
        <b/>
        <color theme="1"/>
        <sz val="10.0"/>
      </rPr>
      <t>၁၈၀</t>
    </r>
  </si>
  <si>
    <r>
      <rPr>
        <rFont val="Myanmar Sangam MN"/>
        <b/>
        <color theme="1"/>
        <sz val="10.0"/>
      </rPr>
      <t>-</t>
    </r>
  </si>
  <si>
    <r>
      <rPr>
        <rFont val="Myanmar Sangam MN"/>
        <b/>
        <color theme="1"/>
        <sz val="10.0"/>
      </rPr>
      <t>၁၈၀</t>
    </r>
  </si>
  <si>
    <r>
      <rPr>
        <rFont val="Myanmar Sangam MN"/>
        <b/>
        <color theme="1"/>
        <sz val="10.0"/>
      </rPr>
      <t>၃၂၂၆</t>
    </r>
  </si>
  <si>
    <r>
      <rPr>
        <rFont val="Myanmar Sangam MN"/>
        <b/>
        <color theme="1"/>
        <sz val="10.0"/>
      </rPr>
      <t>၁၀၀၇</t>
    </r>
  </si>
  <si>
    <r>
      <rPr>
        <rFont val="Myanmar Sangam MN"/>
        <b/>
        <color theme="1"/>
        <sz val="10.0"/>
      </rPr>
      <t>၄၂၃၃</t>
    </r>
  </si>
  <si>
    <r>
      <rPr>
        <rFont val="Myanmar Sangam MN"/>
        <color theme="1"/>
        <sz val="10.0"/>
      </rPr>
      <t>ဦးေဝှတင်း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</si>
  <si>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</si>
  <si>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၁၀၂၇</t>
    </r>
  </si>
  <si>
    <r>
      <rPr>
        <rFont val="Myanmar Sangam MN"/>
        <color theme="1"/>
        <sz val="10.0"/>
      </rPr>
      <t>၂၅၇</t>
    </r>
  </si>
  <si>
    <r>
      <rPr>
        <rFont val="Myanmar Sangam MN"/>
        <color theme="1"/>
        <sz val="10.0"/>
      </rPr>
      <t>၁၂၈၄</t>
    </r>
  </si>
  <si>
    <r>
      <rPr>
        <rFont val="Myanmar Sangam MN"/>
        <b/>
        <color theme="1"/>
        <sz val="9.0"/>
      </rPr>
      <t>၃၀.၃၃%</t>
    </r>
  </si>
  <si>
    <r>
      <rPr>
        <rFont val="Myanmar Sangam MN"/>
        <color theme="1"/>
        <sz val="10.0"/>
      </rPr>
      <t>ေဒဆာဆု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</si>
  <si>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</si>
  <si>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၈၀၉</t>
    </r>
  </si>
  <si>
    <r>
      <rPr>
        <rFont val="Myanmar Sangam MN"/>
        <color theme="1"/>
        <sz val="10.0"/>
      </rPr>
      <t>၄၄၆</t>
    </r>
  </si>
  <si>
    <r>
      <rPr>
        <rFont val="Myanmar Sangam MN"/>
        <color theme="1"/>
        <sz val="10.0"/>
      </rPr>
      <t>၁၂၅၅</t>
    </r>
  </si>
  <si>
    <r>
      <rPr>
        <rFont val="Myanmar Sangam MN"/>
        <b/>
        <color theme="1"/>
        <sz val="9.0"/>
      </rPr>
      <t>၂၉.၆၅%</t>
    </r>
  </si>
  <si>
    <r>
      <rPr>
        <rFont val="Myanmar Sangam MN"/>
        <color theme="1"/>
        <sz val="10.0"/>
      </rPr>
      <t>ဦးေရာ်မန်း</t>
    </r>
  </si>
  <si>
    <r>
      <rPr>
        <rFont val="Myanmar Sangam MN"/>
        <color theme="1"/>
        <sz val="10.0"/>
      </rPr>
      <t>တိုင်းရင်းသားလူမျးိ စုများဖွံဖိးေရးပါတီ</t>
    </r>
  </si>
  <si>
    <r>
      <rPr>
        <rFont val="Myanmar Sangam MN"/>
        <color theme="1"/>
        <sz val="10.0"/>
      </rPr>
      <t>၉၉၇</t>
    </r>
  </si>
  <si>
    <r>
      <rPr>
        <rFont val="Myanmar Sangam MN"/>
        <color theme="1"/>
        <sz val="10.0"/>
      </rPr>
      <t>၂၀၅</t>
    </r>
  </si>
  <si>
    <r>
      <rPr>
        <rFont val="Myanmar Sangam MN"/>
        <color theme="1"/>
        <sz val="10.0"/>
      </rPr>
      <t>၁၂၀၂</t>
    </r>
  </si>
  <si>
    <r>
      <rPr>
        <rFont val="Myanmar Sangam MN"/>
        <b/>
        <color theme="1"/>
        <sz val="9.0"/>
      </rPr>
      <t>၂၈.၃၉%</t>
    </r>
  </si>
  <si>
    <r>
      <rPr>
        <rFont val="Myanmar Sangam MN"/>
        <color theme="1"/>
        <sz val="10.0"/>
      </rPr>
      <t>ဦးကိုလင်း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</si>
  <si>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</si>
  <si>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၂၁၄</t>
    </r>
  </si>
  <si>
    <r>
      <rPr>
        <rFont val="Myanmar Sangam MN"/>
        <color theme="1"/>
        <sz val="10.0"/>
      </rPr>
      <t>၅၀</t>
    </r>
  </si>
  <si>
    <r>
      <rPr>
        <rFont val="Myanmar Sangam MN"/>
        <color theme="1"/>
        <sz val="10.0"/>
      </rPr>
      <t>၂၆၄</t>
    </r>
  </si>
  <si>
    <r>
      <rPr>
        <rFont val="Myanmar Sangam MN"/>
        <b/>
        <color theme="1"/>
        <sz val="9.0"/>
      </rPr>
      <t>၆.၂၄%</t>
    </r>
  </si>
  <si>
    <r>
      <rPr>
        <rFont val="Myanmar Sangam MN"/>
        <color theme="1"/>
        <sz val="10.0"/>
      </rPr>
      <t>ဦးကံလင်း</t>
    </r>
  </si>
  <si>
    <r>
      <rPr>
        <rFont val="Myanmar Sangam MN"/>
        <color theme="1"/>
        <sz val="10.0"/>
      </rPr>
      <t>ခူမီး(ခမီး)အမျးိ သားပါတီ</t>
    </r>
  </si>
  <si>
    <r>
      <rPr>
        <rFont val="Myanmar Sangam MN"/>
        <color theme="1"/>
        <sz val="10.0"/>
      </rPr>
      <t>၁၇၉</t>
    </r>
  </si>
  <si>
    <r>
      <rPr>
        <rFont val="Myanmar Sangam MN"/>
        <color theme="1"/>
        <sz val="10.0"/>
      </rPr>
      <t>၄၉</t>
    </r>
  </si>
  <si>
    <r>
      <rPr>
        <rFont val="Myanmar Sangam MN"/>
        <color theme="1"/>
        <sz val="10.0"/>
      </rPr>
      <t>၂၂၈</t>
    </r>
  </si>
  <si>
    <r>
      <rPr>
        <rFont val="Myanmar Sangam MN"/>
        <b/>
        <color theme="1"/>
        <sz val="9.0"/>
      </rPr>
      <t>၅.၃၉%</t>
    </r>
  </si>
  <si>
    <r>
      <rPr>
        <rFont val="Myanmar Sangam MN"/>
        <b/>
        <color theme="1"/>
        <sz val="10.0"/>
      </rPr>
      <t>၄၄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</si>
  <si>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</si>
  <si>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၇၆၁၃</t>
    </r>
  </si>
  <si>
    <r>
      <rPr>
        <rFont val="Myanmar Sangam MN"/>
        <b/>
        <color theme="1"/>
        <sz val="10.0"/>
      </rPr>
      <t>၃၉၆၅</t>
    </r>
  </si>
  <si>
    <r>
      <rPr>
        <rFont val="Myanmar Sangam MN"/>
        <b/>
        <color theme="1"/>
        <sz val="10.0"/>
      </rPr>
      <t>၁၇၂၃</t>
    </r>
  </si>
  <si>
    <r>
      <rPr>
        <rFont val="Myanmar Sangam MN"/>
        <b/>
        <color theme="1"/>
        <sz val="10.0"/>
      </rPr>
      <t>၅၆၈၈</t>
    </r>
  </si>
  <si>
    <r>
      <rPr>
        <rFont val="Myanmar Sangam MN"/>
        <b/>
        <color theme="1"/>
        <sz val="10.0"/>
      </rPr>
      <t>၇၄.၇၁</t>
    </r>
  </si>
  <si>
    <r>
      <rPr>
        <rFont val="Myanmar Sangam MN"/>
        <b/>
        <color theme="1"/>
        <sz val="10.0"/>
      </rPr>
      <t>၂၂၇</t>
    </r>
  </si>
  <si>
    <r>
      <rPr>
        <rFont val="Myanmar Sangam MN"/>
        <b/>
        <color theme="1"/>
        <sz val="10.0"/>
      </rPr>
      <t>၂</t>
    </r>
  </si>
  <si>
    <r>
      <rPr>
        <rFont val="Myanmar Sangam MN"/>
        <b/>
        <color theme="1"/>
        <sz val="10.0"/>
      </rPr>
      <t>၂၂၉</t>
    </r>
  </si>
  <si>
    <r>
      <rPr>
        <rFont val="Myanmar Sangam MN"/>
        <b/>
        <color theme="1"/>
        <sz val="10.0"/>
      </rPr>
      <t>၃၇၆၅</t>
    </r>
  </si>
  <si>
    <r>
      <rPr>
        <rFont val="Myanmar Sangam MN"/>
        <b/>
        <color theme="1"/>
        <sz val="10.0"/>
      </rPr>
      <t>၁၆၉၄</t>
    </r>
  </si>
  <si>
    <r>
      <rPr>
        <rFont val="Myanmar Sangam MN"/>
        <b/>
        <color theme="1"/>
        <sz val="10.0"/>
      </rPr>
      <t>၅၄၅၉</t>
    </r>
  </si>
  <si>
    <r>
      <rPr>
        <rFont val="Myanmar Sangam MN"/>
        <color theme="1"/>
        <sz val="10.0"/>
      </rPr>
      <t>ဦးေြပမင်း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</si>
  <si>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</si>
  <si>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၁၄၇၄</t>
    </r>
  </si>
  <si>
    <r>
      <rPr>
        <rFont val="Myanmar Sangam MN"/>
        <color theme="1"/>
        <sz val="10.0"/>
      </rPr>
      <t>၅၅၂</t>
    </r>
  </si>
  <si>
    <r>
      <rPr>
        <rFont val="Myanmar Sangam MN"/>
        <color theme="1"/>
        <sz val="10.0"/>
      </rPr>
      <t>၂၀၂၆</t>
    </r>
  </si>
  <si>
    <r>
      <rPr>
        <rFont val="Myanmar Sangam MN"/>
        <b/>
        <color theme="1"/>
        <sz val="9.0"/>
      </rPr>
      <t>၃၇.၁၁%</t>
    </r>
  </si>
  <si>
    <r>
      <rPr>
        <rFont val="Myanmar Sangam MN"/>
        <color theme="1"/>
        <sz val="10.0"/>
      </rPr>
      <t>ဦးေြပေလ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</si>
  <si>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</si>
  <si>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၉၉၁</t>
    </r>
  </si>
  <si>
    <r>
      <rPr>
        <rFont val="Myanmar Sangam MN"/>
        <color theme="1"/>
        <sz val="10.0"/>
      </rPr>
      <t>၅၅၂</t>
    </r>
  </si>
  <si>
    <r>
      <rPr>
        <rFont val="Myanmar Sangam MN"/>
        <color theme="1"/>
        <sz val="10.0"/>
      </rPr>
      <t>၁၅၄၃</t>
    </r>
  </si>
  <si>
    <r>
      <rPr>
        <rFont val="Myanmar Sangam MN"/>
        <b/>
        <color theme="1"/>
        <sz val="9.0"/>
      </rPr>
      <t>၂၈.၂၇%</t>
    </r>
  </si>
  <si>
    <r>
      <rPr>
        <rFont val="Myanmar Sangam MN"/>
        <color theme="1"/>
        <sz val="10.0"/>
      </rPr>
      <t>ဦးဘူးထန်ပိုင်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</si>
  <si>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</si>
  <si>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၉၀၄</t>
    </r>
  </si>
  <si>
    <r>
      <rPr>
        <rFont val="Myanmar Sangam MN"/>
        <color theme="1"/>
        <sz val="10.0"/>
      </rPr>
      <t>၃၉၂</t>
    </r>
  </si>
  <si>
    <r>
      <rPr>
        <rFont val="Myanmar Sangam MN"/>
        <color theme="1"/>
        <sz val="10.0"/>
      </rPr>
      <t>၁၂၉၆</t>
    </r>
  </si>
  <si>
    <r>
      <rPr>
        <rFont val="Myanmar Sangam MN"/>
        <b/>
        <color theme="1"/>
        <sz val="9.0"/>
      </rPr>
      <t>၂၃.၇၄%</t>
    </r>
  </si>
  <si>
    <r>
      <rPr>
        <rFont val="Myanmar Sangam MN"/>
        <color theme="1"/>
        <sz val="10.0"/>
      </rPr>
      <t>ဦးေကျာ်ထွန်း</t>
    </r>
  </si>
  <si>
    <r>
      <rPr>
        <rFont val="Myanmar Sangam MN"/>
        <color theme="1"/>
        <sz val="10.0"/>
      </rPr>
      <t>ခူမီး(ခမီး)အမျးိ သားပါတီ</t>
    </r>
  </si>
  <si>
    <r>
      <rPr>
        <rFont val="Myanmar Sangam MN"/>
        <color theme="1"/>
        <sz val="10.0"/>
      </rPr>
      <t>၂၅၄</t>
    </r>
  </si>
  <si>
    <r>
      <rPr>
        <rFont val="Myanmar Sangam MN"/>
        <color theme="1"/>
        <sz val="10.0"/>
      </rPr>
      <t>၁၄၂</t>
    </r>
  </si>
  <si>
    <r>
      <rPr>
        <rFont val="Myanmar Sangam MN"/>
        <color theme="1"/>
        <sz val="10.0"/>
      </rPr>
      <t>၃၉၆</t>
    </r>
  </si>
  <si>
    <r>
      <rPr>
        <rFont val="Myanmar Sangam MN"/>
        <b/>
        <color theme="1"/>
        <sz val="9.0"/>
      </rPr>
      <t>၇.၂၅%</t>
    </r>
  </si>
  <si>
    <r>
      <rPr>
        <rFont val="Myanmar Sangam MN"/>
        <color theme="1"/>
        <sz val="10.0"/>
      </rPr>
      <t>ဦးကံတင့်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</si>
  <si>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</si>
  <si>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၁၄၂</t>
    </r>
  </si>
  <si>
    <r>
      <rPr>
        <rFont val="Myanmar Sangam MN"/>
        <color theme="1"/>
        <sz val="10.0"/>
      </rPr>
      <t>၅၆</t>
    </r>
  </si>
  <si>
    <r>
      <rPr>
        <rFont val="Myanmar Sangam MN"/>
        <color theme="1"/>
        <sz val="10.0"/>
      </rPr>
      <t>၁၉၈</t>
    </r>
  </si>
  <si>
    <r>
      <rPr>
        <rFont val="Myanmar Sangam MN"/>
        <b/>
        <color theme="1"/>
        <sz val="9.0"/>
      </rPr>
      <t>၃.၆၃%</t>
    </r>
  </si>
  <si>
    <r>
      <rPr>
        <rFont val="Myanmar Sangam MN"/>
        <b/>
        <color theme="1"/>
        <sz val="10.0"/>
      </rPr>
      <t>၄၅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</si>
  <si>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</si>
  <si>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၃၈၀၁၉</t>
    </r>
  </si>
  <si>
    <r>
      <rPr>
        <rFont val="Myanmar Sangam MN"/>
        <b/>
        <color theme="1"/>
        <sz val="10.0"/>
      </rPr>
      <t>၂၃၈၀၇</t>
    </r>
  </si>
  <si>
    <r>
      <rPr>
        <rFont val="Myanmar Sangam MN"/>
        <b/>
        <color theme="1"/>
        <sz val="10.0"/>
      </rPr>
      <t>၈၅၉၉</t>
    </r>
  </si>
  <si>
    <r>
      <rPr>
        <rFont val="Myanmar Sangam MN"/>
        <b/>
        <color theme="1"/>
        <sz val="10.0"/>
      </rPr>
      <t>၃၂၄၀၆</t>
    </r>
  </si>
  <si>
    <r>
      <rPr>
        <rFont val="Myanmar Sangam MN"/>
        <b/>
        <color theme="1"/>
        <sz val="10.0"/>
      </rPr>
      <t>၈၅.၂၄</t>
    </r>
  </si>
  <si>
    <r>
      <rPr>
        <rFont val="Myanmar Sangam MN"/>
        <b/>
        <color theme="1"/>
        <sz val="10.0"/>
      </rPr>
      <t>၁၀၃၁</t>
    </r>
  </si>
  <si>
    <r>
      <rPr>
        <rFont val="Myanmar Sangam MN"/>
        <b/>
        <color theme="1"/>
        <sz val="10.0"/>
      </rPr>
      <t>၃၄</t>
    </r>
  </si>
  <si>
    <r>
      <rPr>
        <rFont val="Myanmar Sangam MN"/>
        <b/>
        <color theme="1"/>
        <sz val="10.0"/>
      </rPr>
      <t>၁၀၆၅</t>
    </r>
  </si>
  <si>
    <r>
      <rPr>
        <rFont val="Myanmar Sangam MN"/>
        <b/>
        <color theme="1"/>
        <sz val="10.0"/>
      </rPr>
      <t>၂၂၈၀၇</t>
    </r>
  </si>
  <si>
    <r>
      <rPr>
        <rFont val="Myanmar Sangam MN"/>
        <b/>
        <color theme="1"/>
        <sz val="10.0"/>
      </rPr>
      <t>၈၅၃၄</t>
    </r>
  </si>
  <si>
    <r>
      <rPr>
        <rFont val="Myanmar Sangam MN"/>
        <b/>
        <color theme="1"/>
        <sz val="10.0"/>
      </rPr>
      <t>၃၁၃၄၁</t>
    </r>
  </si>
  <si>
    <r>
      <rPr>
        <rFont val="Myanmar Sangam MN"/>
        <color theme="1"/>
        <sz val="10.0"/>
      </rPr>
      <t>ဦးလားလ်မင်းထန်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</si>
  <si>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</si>
  <si>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၁၁၁၀၀</t>
    </r>
  </si>
  <si>
    <r>
      <rPr>
        <rFont val="Myanmar Sangam MN"/>
        <color theme="1"/>
        <sz val="10.0"/>
      </rPr>
      <t>၄၁၆၂</t>
    </r>
  </si>
  <si>
    <r>
      <rPr>
        <rFont val="Myanmar Sangam MN"/>
        <color theme="1"/>
        <sz val="10.0"/>
      </rPr>
      <t>၁၅၂၆၂</t>
    </r>
  </si>
  <si>
    <r>
      <rPr>
        <rFont val="Myanmar Sangam MN"/>
        <b/>
        <color theme="1"/>
        <sz val="9.0"/>
      </rPr>
      <t>၄၈.၇၀%</t>
    </r>
  </si>
  <si>
    <r>
      <rPr>
        <rFont val="Myanmar Sangam MN"/>
        <color theme="1"/>
        <sz val="10.0"/>
      </rPr>
      <t>ဦးေအာင်လျန်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</si>
  <si>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</si>
  <si>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၅၆၀၈</t>
    </r>
  </si>
  <si>
    <r>
      <rPr>
        <rFont val="Myanmar Sangam MN"/>
        <color theme="1"/>
        <sz val="10.0"/>
      </rPr>
      <t>၂၀၈၁</t>
    </r>
  </si>
  <si>
    <r>
      <rPr>
        <rFont val="Myanmar Sangam MN"/>
        <color theme="1"/>
        <sz val="10.0"/>
      </rPr>
      <t>၇၆၈၉</t>
    </r>
  </si>
  <si>
    <r>
      <rPr>
        <rFont val="Myanmar Sangam MN"/>
        <b/>
        <color theme="1"/>
        <sz val="9.0"/>
      </rPr>
      <t>၂၄.၅၃%</t>
    </r>
  </si>
  <si>
    <r>
      <rPr>
        <rFont val="Myanmar Sangam MN"/>
        <color theme="1"/>
        <sz val="10.0"/>
      </rPr>
      <t>ဦးတင်ဝင်း</t>
    </r>
  </si>
  <si>
    <r>
      <rPr>
        <rFont val="Myanmar Sangam MN"/>
        <color theme="1"/>
        <sz val="10.0"/>
      </rPr>
      <t>တိုင်းရင်းသားလူမျးိ စုများဖွံဖိးေရးပါတီ</t>
    </r>
  </si>
  <si>
    <r>
      <rPr>
        <rFont val="Myanmar Sangam MN"/>
        <color theme="1"/>
        <sz val="10.0"/>
      </rPr>
      <t>၄၇၁၃</t>
    </r>
  </si>
  <si>
    <r>
      <rPr>
        <rFont val="Myanmar Sangam MN"/>
        <color theme="1"/>
        <sz val="10.0"/>
      </rPr>
      <t>၁၅၇၈</t>
    </r>
  </si>
  <si>
    <r>
      <rPr>
        <rFont val="Myanmar Sangam MN"/>
        <color theme="1"/>
        <sz val="10.0"/>
      </rPr>
      <t>၆၂၉၁</t>
    </r>
  </si>
  <si>
    <r>
      <rPr>
        <rFont val="Myanmar Sangam MN"/>
        <b/>
        <color theme="1"/>
        <sz val="9.0"/>
      </rPr>
      <t>၂၀.၀၇%</t>
    </r>
  </si>
  <si>
    <r>
      <rPr>
        <rFont val="Myanmar Sangam MN"/>
        <color theme="1"/>
        <sz val="10.0"/>
      </rPr>
      <t>ဦးေရာ်ဟဲ့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</si>
  <si>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</si>
  <si>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၁၃၈၆</t>
    </r>
  </si>
  <si>
    <r>
      <rPr>
        <rFont val="Myanmar Sangam MN"/>
        <color theme="1"/>
        <sz val="10.0"/>
      </rPr>
      <t>၇၁၃</t>
    </r>
  </si>
  <si>
    <r>
      <rPr>
        <rFont val="Myanmar Sangam MN"/>
        <color theme="1"/>
        <sz val="10.0"/>
      </rPr>
      <t>၂၀၉၉</t>
    </r>
  </si>
  <si>
    <r>
      <rPr>
        <rFont val="Myanmar Sangam MN"/>
        <b/>
        <color theme="1"/>
        <sz val="9.0"/>
      </rPr>
      <t>၆.၇၀%</t>
    </r>
  </si>
  <si>
    <r>
      <rPr>
        <rFont val="Myanmar Sangam MN"/>
        <b/>
        <color theme="1"/>
        <sz val="10.0"/>
      </rPr>
      <t>၄၆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</si>
  <si>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</si>
  <si>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၃၃၈၀၆</t>
    </r>
  </si>
  <si>
    <r>
      <rPr>
        <rFont val="Myanmar Sangam MN"/>
        <b/>
        <color theme="1"/>
        <sz val="10.0"/>
      </rPr>
      <t>၂၃၅၆၃</t>
    </r>
  </si>
  <si>
    <r>
      <rPr>
        <rFont val="Myanmar Sangam MN"/>
        <b/>
        <color theme="1"/>
        <sz val="10.0"/>
      </rPr>
      <t>၄၀၃၇</t>
    </r>
  </si>
  <si>
    <r>
      <rPr>
        <rFont val="Myanmar Sangam MN"/>
        <b/>
        <color theme="1"/>
        <sz val="10.0"/>
      </rPr>
      <t>၂၇၆၀၀</t>
    </r>
  </si>
  <si>
    <r>
      <rPr>
        <rFont val="Myanmar Sangam MN"/>
        <b/>
        <color theme="1"/>
        <sz val="10.0"/>
      </rPr>
      <t>၈၁.၆၄</t>
    </r>
  </si>
  <si>
    <r>
      <rPr>
        <rFont val="Myanmar Sangam MN"/>
        <b/>
        <color theme="1"/>
        <sz val="10.0"/>
      </rPr>
      <t>၈၄၅</t>
    </r>
  </si>
  <si>
    <r>
      <rPr>
        <rFont val="Myanmar Sangam MN"/>
        <b/>
        <color theme="1"/>
        <sz val="10.0"/>
      </rPr>
      <t>၃</t>
    </r>
  </si>
  <si>
    <r>
      <rPr>
        <rFont val="Myanmar Sangam MN"/>
        <b/>
        <color theme="1"/>
        <sz val="10.0"/>
      </rPr>
      <t>၈၄၈</t>
    </r>
  </si>
  <si>
    <r>
      <rPr>
        <rFont val="Myanmar Sangam MN"/>
        <b/>
        <color theme="1"/>
        <sz val="10.0"/>
      </rPr>
      <t>၂၂၇၆၃</t>
    </r>
  </si>
  <si>
    <r>
      <rPr>
        <rFont val="Myanmar Sangam MN"/>
        <b/>
        <color theme="1"/>
        <sz val="10.0"/>
      </rPr>
      <t>၃၉၈၉</t>
    </r>
  </si>
  <si>
    <r>
      <rPr>
        <rFont val="Myanmar Sangam MN"/>
        <b/>
        <color theme="1"/>
        <sz val="10.0"/>
      </rPr>
      <t>၂၆၇၅၂</t>
    </r>
  </si>
  <si>
    <r>
      <rPr>
        <rFont val="Myanmar Sangam MN"/>
        <color theme="1"/>
        <sz val="10.0"/>
      </rPr>
      <t>ဦးဟင်နရီဗန်ထီးယူ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</si>
  <si>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</si>
  <si>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၁၂၉၆၆</t>
    </r>
  </si>
  <si>
    <r>
      <rPr>
        <rFont val="Myanmar Sangam MN"/>
        <color theme="1"/>
        <sz val="10.0"/>
      </rPr>
      <t>၂၅၂၆</t>
    </r>
  </si>
  <si>
    <r>
      <rPr>
        <rFont val="Myanmar Sangam MN"/>
        <color theme="1"/>
        <sz val="10.0"/>
      </rPr>
      <t>၁၅၄၉၂</t>
    </r>
  </si>
  <si>
    <r>
      <rPr>
        <rFont val="Myanmar Sangam MN"/>
        <b/>
        <color theme="1"/>
        <sz val="9.0"/>
      </rPr>
      <t>၅၇.၉၁%</t>
    </r>
  </si>
  <si>
    <r>
      <rPr>
        <rFont val="Myanmar Sangam MN"/>
        <color theme="1"/>
        <sz val="10.0"/>
      </rPr>
      <t>ဦးဗန်မန်လျန်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</si>
  <si>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</si>
  <si>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၄၉၈၉</t>
    </r>
  </si>
  <si>
    <r>
      <rPr>
        <rFont val="Myanmar Sangam MN"/>
        <color theme="1"/>
        <sz val="10.0"/>
      </rPr>
      <t>၆၉၂</t>
    </r>
  </si>
  <si>
    <r>
      <rPr>
        <rFont val="Myanmar Sangam MN"/>
        <color theme="1"/>
        <sz val="10.0"/>
      </rPr>
      <t>၅၆၈၁</t>
    </r>
  </si>
  <si>
    <r>
      <rPr>
        <rFont val="Myanmar Sangam MN"/>
        <b/>
        <color theme="1"/>
        <sz val="9.0"/>
      </rPr>
      <t>၂၁.၂၄%</t>
    </r>
  </si>
  <si>
    <r>
      <rPr>
        <rFont val="Myanmar Sangam MN"/>
        <color theme="1"/>
        <sz val="10.0"/>
      </rPr>
      <t>ဦးရှန်လျန်မန်း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</si>
  <si>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</si>
  <si>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၄၈၀၈</t>
    </r>
  </si>
  <si>
    <r>
      <rPr>
        <rFont val="Myanmar Sangam MN"/>
        <color theme="1"/>
        <sz val="10.0"/>
      </rPr>
      <t>၇၇၁</t>
    </r>
  </si>
  <si>
    <r>
      <rPr>
        <rFont val="Myanmar Sangam MN"/>
        <color theme="1"/>
        <sz val="10.0"/>
      </rPr>
      <t>၅၅၇၉</t>
    </r>
  </si>
  <si>
    <r>
      <rPr>
        <rFont val="Myanmar Sangam MN"/>
        <b/>
        <color theme="1"/>
        <sz val="9.0"/>
      </rPr>
      <t>၂၀.၈၅%</t>
    </r>
  </si>
  <si>
    <r>
      <rPr>
        <rFont val="Myanmar Sangam MN"/>
        <b/>
        <color theme="1"/>
        <sz val="10.0"/>
      </rPr>
      <t>၄၇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</si>
  <si>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</si>
  <si>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၁၉၆၈၉</t>
    </r>
  </si>
  <si>
    <r>
      <rPr>
        <rFont val="Myanmar Sangam MN"/>
        <b/>
        <color theme="1"/>
        <sz val="10.0"/>
      </rPr>
      <t>၁၂၂၈၄</t>
    </r>
  </si>
  <si>
    <r>
      <rPr>
        <rFont val="Myanmar Sangam MN"/>
        <b/>
        <color theme="1"/>
        <sz val="10.0"/>
      </rPr>
      <t>၃၀၃၃</t>
    </r>
  </si>
  <si>
    <r>
      <rPr>
        <rFont val="Myanmar Sangam MN"/>
        <b/>
        <color theme="1"/>
        <sz val="10.0"/>
      </rPr>
      <t>၁၅၃၁၇</t>
    </r>
  </si>
  <si>
    <r>
      <rPr>
        <rFont val="Myanmar Sangam MN"/>
        <b/>
        <color theme="1"/>
        <sz val="10.0"/>
      </rPr>
      <t>၇၇.၇၉</t>
    </r>
  </si>
  <si>
    <r>
      <rPr>
        <rFont val="Myanmar Sangam MN"/>
        <b/>
        <color theme="1"/>
        <sz val="10.0"/>
      </rPr>
      <t>၄၆၄</t>
    </r>
  </si>
  <si>
    <r>
      <rPr>
        <rFont val="Myanmar Sangam MN"/>
        <b/>
        <color theme="1"/>
        <sz val="10.0"/>
      </rPr>
      <t>၁၆</t>
    </r>
  </si>
  <si>
    <r>
      <rPr>
        <rFont val="Myanmar Sangam MN"/>
        <b/>
        <color theme="1"/>
        <sz val="10.0"/>
      </rPr>
      <t>၄၈၀</t>
    </r>
  </si>
  <si>
    <r>
      <rPr>
        <rFont val="Myanmar Sangam MN"/>
        <b/>
        <color theme="1"/>
        <sz val="10.0"/>
      </rPr>
      <t>၁၁၈၈၄</t>
    </r>
  </si>
  <si>
    <r>
      <rPr>
        <rFont val="Myanmar Sangam MN"/>
        <b/>
        <color theme="1"/>
        <sz val="10.0"/>
      </rPr>
      <t>၂၉၅၃</t>
    </r>
  </si>
  <si>
    <r>
      <rPr>
        <rFont val="Myanmar Sangam MN"/>
        <b/>
        <color theme="1"/>
        <sz val="10.0"/>
      </rPr>
      <t>၁၄၈၃၇</t>
    </r>
  </si>
  <si>
    <r>
      <rPr>
        <rFont val="Myanmar Sangam MN"/>
        <color theme="1"/>
        <sz val="10.0"/>
      </rPr>
      <t>ေဒါက်တာေအးေအးငွန်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</si>
  <si>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</si>
  <si>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၆၄၅၉</t>
    </r>
  </si>
  <si>
    <r>
      <rPr>
        <rFont val="Myanmar Sangam MN"/>
        <color theme="1"/>
        <sz val="10.0"/>
      </rPr>
      <t>၁၆၉၃</t>
    </r>
  </si>
  <si>
    <r>
      <rPr>
        <rFont val="Myanmar Sangam MN"/>
        <color theme="1"/>
        <sz val="10.0"/>
      </rPr>
      <t>၈၁၅၂</t>
    </r>
  </si>
  <si>
    <r>
      <rPr>
        <rFont val="Myanmar Sangam MN"/>
        <b/>
        <color theme="1"/>
        <sz val="9.0"/>
      </rPr>
      <t>၅၄.၉၄%</t>
    </r>
  </si>
  <si>
    <r>
      <rPr>
        <rFont val="Myanmar Sangam MN"/>
        <color theme="1"/>
        <sz val="10.0"/>
      </rPr>
      <t>ဦးရမ်ကျဲအိုှင်း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</si>
  <si>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</si>
  <si>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၄၃၆၅</t>
    </r>
  </si>
  <si>
    <r>
      <rPr>
        <rFont val="Myanmar Sangam MN"/>
        <color theme="1"/>
        <sz val="10.0"/>
      </rPr>
      <t>၉၂၁</t>
    </r>
  </si>
  <si>
    <r>
      <rPr>
        <rFont val="Myanmar Sangam MN"/>
        <color theme="1"/>
        <sz val="10.0"/>
      </rPr>
      <t>၅၂၈၆</t>
    </r>
  </si>
  <si>
    <r>
      <rPr>
        <rFont val="Myanmar Sangam MN"/>
        <b/>
        <color theme="1"/>
        <sz val="9.0"/>
      </rPr>
      <t>၃၅.၆၃%</t>
    </r>
  </si>
  <si>
    <r>
      <rPr>
        <rFont val="Myanmar Sangam MN"/>
        <color theme="1"/>
        <sz val="10.0"/>
      </rPr>
      <t>ဦးဗန်မန်း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</si>
  <si>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</si>
  <si>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၁၀၆၀</t>
    </r>
  </si>
  <si>
    <r>
      <rPr>
        <rFont val="Myanmar Sangam MN"/>
        <color theme="1"/>
        <sz val="10.0"/>
      </rPr>
      <t>၃၃၉</t>
    </r>
  </si>
  <si>
    <r>
      <rPr>
        <rFont val="Myanmar Sangam MN"/>
        <color theme="1"/>
        <sz val="10.0"/>
      </rPr>
      <t>၁၃၉၉</t>
    </r>
  </si>
  <si>
    <r>
      <rPr>
        <rFont val="Myanmar Sangam MN"/>
        <b/>
        <color theme="1"/>
        <sz val="9.0"/>
      </rPr>
      <t>၉.၄၃%</t>
    </r>
  </si>
  <si>
    <r>
      <rPr>
        <rFont val="Myanmar Sangam MN"/>
        <b/>
        <color theme="1"/>
        <sz val="10.0"/>
      </rPr>
      <t>၄၈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</si>
  <si>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</si>
  <si>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၁၉၅၁၅</t>
    </r>
  </si>
  <si>
    <r>
      <rPr>
        <rFont val="Myanmar Sangam MN"/>
        <b/>
        <color theme="1"/>
        <sz val="10.0"/>
      </rPr>
      <t>၁၂၄၈၆</t>
    </r>
  </si>
  <si>
    <r>
      <rPr>
        <rFont val="Myanmar Sangam MN"/>
        <b/>
        <color theme="1"/>
        <sz val="10.0"/>
      </rPr>
      <t>၃၀၄၃</t>
    </r>
  </si>
  <si>
    <r>
      <rPr>
        <rFont val="Myanmar Sangam MN"/>
        <b/>
        <color theme="1"/>
        <sz val="10.0"/>
      </rPr>
      <t>၁၅၅၂၉</t>
    </r>
  </si>
  <si>
    <r>
      <rPr>
        <rFont val="Myanmar Sangam MN"/>
        <b/>
        <color theme="1"/>
        <sz val="10.0"/>
      </rPr>
      <t>၇၉.၅၇</t>
    </r>
  </si>
  <si>
    <r>
      <rPr>
        <rFont val="Myanmar Sangam MN"/>
        <b/>
        <color theme="1"/>
        <sz val="10.0"/>
      </rPr>
      <t>၅၆၃</t>
    </r>
  </si>
  <si>
    <r>
      <rPr>
        <rFont val="Myanmar Sangam MN"/>
        <b/>
        <color theme="1"/>
        <sz val="10.0"/>
      </rPr>
      <t>၁</t>
    </r>
  </si>
  <si>
    <r>
      <rPr>
        <rFont val="Myanmar Sangam MN"/>
        <b/>
        <color theme="1"/>
        <sz val="10.0"/>
      </rPr>
      <t>၅၆၄</t>
    </r>
  </si>
  <si>
    <r>
      <rPr>
        <rFont val="Myanmar Sangam MN"/>
        <b/>
        <color theme="1"/>
        <sz val="10.0"/>
      </rPr>
      <t>၁၁၉၈၆</t>
    </r>
  </si>
  <si>
    <r>
      <rPr>
        <rFont val="Myanmar Sangam MN"/>
        <b/>
        <color theme="1"/>
        <sz val="10.0"/>
      </rPr>
      <t>၂၉၇၉</t>
    </r>
  </si>
  <si>
    <r>
      <rPr>
        <rFont val="Myanmar Sangam MN"/>
        <b/>
        <color theme="1"/>
        <sz val="10.0"/>
      </rPr>
      <t>၁၄၉၆၅</t>
    </r>
  </si>
  <si>
    <r>
      <rPr>
        <rFont val="Myanmar Sangam MN"/>
        <color theme="1"/>
        <sz val="10.0"/>
      </rPr>
      <t>ဦးငွန်ဝုန်း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</si>
  <si>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</si>
  <si>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၆၀၀၆</t>
    </r>
  </si>
  <si>
    <r>
      <rPr>
        <rFont val="Myanmar Sangam MN"/>
        <color theme="1"/>
        <sz val="10.0"/>
      </rPr>
      <t>၁၅၀၉</t>
    </r>
  </si>
  <si>
    <r>
      <rPr>
        <rFont val="Myanmar Sangam MN"/>
        <color theme="1"/>
        <sz val="10.0"/>
      </rPr>
      <t>၇၅၁၅</t>
    </r>
  </si>
  <si>
    <r>
      <rPr>
        <rFont val="Myanmar Sangam MN"/>
        <b/>
        <color theme="1"/>
        <sz val="9.0"/>
      </rPr>
      <t>၅၀.၂၂%</t>
    </r>
  </si>
  <si>
    <r>
      <rPr>
        <rFont val="Myanmar Sangam MN"/>
        <color theme="1"/>
        <sz val="10.0"/>
      </rPr>
      <t>ဦးိုဘင်(ခ) ဦးိုဘင်ဇာထန်း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</si>
  <si>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</si>
  <si>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၅၉၈၀</t>
    </r>
  </si>
  <si>
    <r>
      <rPr>
        <rFont val="Myanmar Sangam MN"/>
        <color theme="1"/>
        <sz val="10.0"/>
      </rPr>
      <t>၁၄၇၀</t>
    </r>
  </si>
  <si>
    <r>
      <rPr>
        <rFont val="Myanmar Sangam MN"/>
        <color theme="1"/>
        <sz val="10.0"/>
      </rPr>
      <t>၇၄၅၀</t>
    </r>
  </si>
  <si>
    <r>
      <rPr>
        <rFont val="Myanmar Sangam MN"/>
        <b/>
        <color theme="1"/>
        <sz val="9.0"/>
      </rPr>
      <t>၄၉.၇၈%</t>
    </r>
  </si>
  <si>
    <r>
      <rPr>
        <rFont val="Myanmar Sangam MN"/>
        <b/>
        <color theme="1"/>
        <sz val="10.0"/>
      </rPr>
      <t>စစ်ကိုင်းတိုင်းေဒသကီး</t>
    </r>
  </si>
  <si>
    <r>
      <rPr>
        <rFont val="Myanmar Sangam MN"/>
        <b/>
        <color theme="1"/>
        <sz val="10.0"/>
      </rPr>
      <t>၄၃၀၅၄၀၃</t>
    </r>
  </si>
  <si>
    <r>
      <rPr>
        <rFont val="Myanmar Sangam MN"/>
        <b/>
        <color theme="1"/>
        <sz val="10.0"/>
      </rPr>
      <t>၂၆၆၂၁၈၉</t>
    </r>
  </si>
  <si>
    <r>
      <rPr>
        <rFont val="Myanmar Sangam MN"/>
        <b/>
        <color theme="1"/>
        <sz val="10.0"/>
      </rPr>
      <t>၇၂၀၈၇၂</t>
    </r>
  </si>
  <si>
    <r>
      <rPr>
        <rFont val="Myanmar Sangam MN"/>
        <b/>
        <color theme="1"/>
        <sz val="10.0"/>
      </rPr>
      <t>၃၃၈၃၀၆၁</t>
    </r>
  </si>
  <si>
    <r>
      <rPr>
        <rFont val="Myanmar Sangam MN"/>
        <b/>
        <color theme="1"/>
        <sz val="10.0"/>
      </rPr>
      <t>၇၈.၅၈</t>
    </r>
  </si>
  <si>
    <r>
      <rPr>
        <rFont val="Myanmar Sangam MN"/>
        <b/>
        <color theme="1"/>
        <sz val="10.0"/>
      </rPr>
      <t>၁၀၆၈၃၉</t>
    </r>
  </si>
  <si>
    <r>
      <rPr>
        <rFont val="Myanmar Sangam MN"/>
        <b/>
        <color theme="1"/>
        <sz val="10.0"/>
      </rPr>
      <t>၄၅၄၆</t>
    </r>
  </si>
  <si>
    <r>
      <rPr>
        <rFont val="Myanmar Sangam MN"/>
        <b/>
        <color theme="1"/>
        <sz val="10.0"/>
      </rPr>
      <t>၁၁၁၃၈၅</t>
    </r>
  </si>
  <si>
    <r>
      <rPr>
        <rFont val="Myanmar Sangam MN"/>
        <b/>
        <color theme="1"/>
        <sz val="10.0"/>
      </rPr>
      <t>၂၅၅၅၉၉၉</t>
    </r>
  </si>
  <si>
    <r>
      <rPr>
        <rFont val="Myanmar Sangam MN"/>
        <b/>
        <color theme="1"/>
        <sz val="10.0"/>
      </rPr>
      <t>၇၁၅၆၇၇</t>
    </r>
  </si>
  <si>
    <r>
      <rPr>
        <rFont val="Myanmar Sangam MN"/>
        <b/>
        <color theme="1"/>
        <sz val="10.0"/>
      </rPr>
      <t>၃၂၇၁၆၇၆</t>
    </r>
  </si>
  <si>
    <r>
      <rPr>
        <rFont val="Myanmar Sangam MN"/>
        <b/>
        <color theme="1"/>
        <sz val="10.0"/>
      </rPr>
      <t>၄၉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</si>
  <si>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</si>
  <si>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၄၁၇၅၈၇</t>
    </r>
  </si>
  <si>
    <r>
      <rPr>
        <rFont val="Myanmar Sangam MN"/>
        <b/>
        <color theme="1"/>
        <sz val="10.0"/>
      </rPr>
      <t>၂၃၉၃၂၇</t>
    </r>
  </si>
  <si>
    <r>
      <rPr>
        <rFont val="Myanmar Sangam MN"/>
        <b/>
        <color theme="1"/>
        <sz val="10.0"/>
      </rPr>
      <t>၆၄၉၇၀</t>
    </r>
  </si>
  <si>
    <r>
      <rPr>
        <rFont val="Myanmar Sangam MN"/>
        <b/>
        <color theme="1"/>
        <sz val="10.0"/>
      </rPr>
      <t>၃၀၄၂၉၇</t>
    </r>
  </si>
  <si>
    <r>
      <rPr>
        <rFont val="Myanmar Sangam MN"/>
        <b/>
        <color theme="1"/>
        <sz val="10.0"/>
      </rPr>
      <t>၇၂.၈၇</t>
    </r>
  </si>
  <si>
    <r>
      <rPr>
        <rFont val="Myanmar Sangam MN"/>
        <b/>
        <color theme="1"/>
        <sz val="10.0"/>
      </rPr>
      <t>၅၇၂၃</t>
    </r>
  </si>
  <si>
    <r>
      <rPr>
        <rFont val="Myanmar Sangam MN"/>
        <b/>
        <color theme="1"/>
        <sz val="10.0"/>
      </rPr>
      <t>၂၇၂</t>
    </r>
  </si>
  <si>
    <r>
      <rPr>
        <rFont val="Myanmar Sangam MN"/>
        <b/>
        <color theme="1"/>
        <sz val="10.0"/>
      </rPr>
      <t>၅၉၉၅</t>
    </r>
  </si>
  <si>
    <r>
      <rPr>
        <rFont val="Myanmar Sangam MN"/>
        <b/>
        <color theme="1"/>
        <sz val="10.0"/>
      </rPr>
      <t>၂၃၃၈၁၀</t>
    </r>
  </si>
  <si>
    <r>
      <rPr>
        <rFont val="Myanmar Sangam MN"/>
        <b/>
        <color theme="1"/>
        <sz val="10.0"/>
      </rPr>
      <t>၆၄၄၉၂</t>
    </r>
  </si>
  <si>
    <r>
      <rPr>
        <rFont val="Myanmar Sangam MN"/>
        <b/>
        <color theme="1"/>
        <sz val="10.0"/>
      </rPr>
      <t>၂၉၈၃၀၂</t>
    </r>
  </si>
  <si>
    <r>
      <rPr>
        <rFont val="Myanmar Sangam MN"/>
        <color theme="1"/>
        <sz val="10.0"/>
      </rPr>
      <t>ဦးကိုကိုိုင်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</si>
  <si>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</si>
  <si>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၁၅၅၄၉၆</t>
    </r>
  </si>
  <si>
    <r>
      <rPr>
        <rFont val="Myanmar Sangam MN"/>
        <color theme="1"/>
        <sz val="10.0"/>
      </rPr>
      <t>၄၁၅၇၃</t>
    </r>
  </si>
  <si>
    <r>
      <rPr>
        <rFont val="Myanmar Sangam MN"/>
        <color theme="1"/>
        <sz val="10.0"/>
      </rPr>
      <t>၁၉၇၀၆၉</t>
    </r>
  </si>
  <si>
    <r>
      <rPr>
        <rFont val="Myanmar Sangam MN"/>
        <b/>
        <color theme="1"/>
        <sz val="9.0"/>
      </rPr>
      <t>၆၆.၀၆%</t>
    </r>
  </si>
  <si>
    <r>
      <rPr>
        <rFont val="Myanmar Sangam MN"/>
        <color theme="1"/>
        <sz val="10.0"/>
      </rPr>
      <t>မသန်းပုိ(ခ)ေဒေမရီြမင့်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</si>
  <si>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</si>
  <si>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၅၉၁၃၅</t>
    </r>
  </si>
  <si>
    <r>
      <rPr>
        <rFont val="Myanmar Sangam MN"/>
        <color theme="1"/>
        <sz val="10.0"/>
      </rPr>
      <t>၁၆၉၄၃</t>
    </r>
  </si>
  <si>
    <r>
      <rPr>
        <rFont val="Myanmar Sangam MN"/>
        <color theme="1"/>
        <sz val="10.0"/>
      </rPr>
      <t>၇၆၀၇၈</t>
    </r>
  </si>
  <si>
    <r>
      <rPr>
        <rFont val="Myanmar Sangam MN"/>
        <b/>
        <color theme="1"/>
        <sz val="9.0"/>
      </rPr>
      <t>၂၅.၅၀%</t>
    </r>
  </si>
  <si>
    <r>
      <rPr>
        <rFont val="Myanmar Sangam MN"/>
        <color theme="1"/>
        <sz val="10.0"/>
      </rPr>
      <t>ဦးဒိုင်ကျင့်ပါအို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</si>
  <si>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</si>
  <si>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၁၄၇၀၇</t>
    </r>
  </si>
  <si>
    <r>
      <rPr>
        <rFont val="Myanmar Sangam MN"/>
        <color theme="1"/>
        <sz val="10.0"/>
      </rPr>
      <t>၃၇၁၅</t>
    </r>
  </si>
  <si>
    <r>
      <rPr>
        <rFont val="Myanmar Sangam MN"/>
        <color theme="1"/>
        <sz val="10.0"/>
      </rPr>
      <t>၁၈၄၂၂</t>
    </r>
  </si>
  <si>
    <r>
      <rPr>
        <rFont val="Myanmar Sangam MN"/>
        <b/>
        <color theme="1"/>
        <sz val="9.0"/>
      </rPr>
      <t>၆.၁၈%</t>
    </r>
  </si>
  <si>
    <r>
      <rPr>
        <rFont val="Myanmar Sangam MN"/>
        <color theme="1"/>
        <sz val="10.0"/>
      </rPr>
      <t>ဦးေကျာ်ြမင့်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</si>
  <si>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</si>
  <si>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၂၉၇၅</t>
    </r>
  </si>
  <si>
    <r>
      <rPr>
        <rFont val="Myanmar Sangam MN"/>
        <color theme="1"/>
        <sz val="10.0"/>
      </rPr>
      <t>၁၆၂၇</t>
    </r>
  </si>
  <si>
    <r>
      <rPr>
        <rFont val="Myanmar Sangam MN"/>
        <color theme="1"/>
        <sz val="10.0"/>
      </rPr>
      <t>၄၆၀၂</t>
    </r>
  </si>
  <si>
    <r>
      <rPr>
        <rFont val="Myanmar Sangam MN"/>
        <b/>
        <color theme="1"/>
        <sz val="9.0"/>
      </rPr>
      <t>၁.၅၄%</t>
    </r>
  </si>
  <si>
    <r>
      <rPr>
        <rFont val="Myanmar Sangam MN"/>
        <color theme="1"/>
        <sz val="10.0"/>
      </rPr>
      <t>ဦးေဇာ်ိုင်ဝင်း(ခ)ဖိုးေဇာ်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</si>
  <si>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</si>
  <si>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၁၀၆၉</t>
    </r>
  </si>
  <si>
    <r>
      <rPr>
        <rFont val="Myanmar Sangam MN"/>
        <color theme="1"/>
        <sz val="10.0"/>
      </rPr>
      <t>၄၄၅</t>
    </r>
  </si>
  <si>
    <r>
      <rPr>
        <rFont val="Myanmar Sangam MN"/>
        <color theme="1"/>
        <sz val="10.0"/>
      </rPr>
      <t>၁၅၁၄</t>
    </r>
  </si>
  <si>
    <r>
      <rPr>
        <rFont val="Myanmar Sangam MN"/>
        <b/>
        <color theme="1"/>
        <sz val="9.0"/>
      </rPr>
      <t>၀.၅၁%</t>
    </r>
  </si>
  <si>
    <r>
      <rPr>
        <rFont val="Myanmar Sangam MN"/>
        <color theme="1"/>
        <sz val="10.0"/>
      </rPr>
      <t>ဦးေမာင်ေမာင်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</si>
  <si>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</si>
  <si>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၄၂၈</t>
    </r>
  </si>
  <si>
    <r>
      <rPr>
        <rFont val="Myanmar Sangam MN"/>
        <color theme="1"/>
        <sz val="10.0"/>
      </rPr>
      <t>၁၈၉</t>
    </r>
  </si>
  <si>
    <r>
      <rPr>
        <rFont val="Myanmar Sangam MN"/>
        <color theme="1"/>
        <sz val="10.0"/>
      </rPr>
      <t>၆၁၇</t>
    </r>
  </si>
  <si>
    <r>
      <rPr>
        <rFont val="Myanmar Sangam MN"/>
        <b/>
        <color theme="1"/>
        <sz val="9.0"/>
      </rPr>
      <t>၀.၂၁%</t>
    </r>
  </si>
  <si>
    <r>
      <rPr>
        <rFont val="Myanmar Sangam MN"/>
        <b/>
        <color theme="1"/>
        <sz val="10.0"/>
      </rPr>
      <t>၅၀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</si>
  <si>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</si>
  <si>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၃၈၂၄၃၂</t>
    </r>
  </si>
  <si>
    <r>
      <rPr>
        <rFont val="Myanmar Sangam MN"/>
        <b/>
        <color theme="1"/>
        <sz val="10.0"/>
      </rPr>
      <t>၂၃၈၁၂၂</t>
    </r>
  </si>
  <si>
    <r>
      <rPr>
        <rFont val="Myanmar Sangam MN"/>
        <b/>
        <color theme="1"/>
        <sz val="10.0"/>
      </rPr>
      <t>၅၇၁၀၄</t>
    </r>
  </si>
  <si>
    <r>
      <rPr>
        <rFont val="Myanmar Sangam MN"/>
        <b/>
        <color theme="1"/>
        <sz val="10.0"/>
      </rPr>
      <t>၂၉၅၂၂၆</t>
    </r>
  </si>
  <si>
    <r>
      <rPr>
        <rFont val="Myanmar Sangam MN"/>
        <b/>
        <color theme="1"/>
        <sz val="10.0"/>
      </rPr>
      <t>၇၇.၂၀</t>
    </r>
  </si>
  <si>
    <r>
      <rPr>
        <rFont val="Myanmar Sangam MN"/>
        <b/>
        <color theme="1"/>
        <sz val="10.0"/>
      </rPr>
      <t>၁၀၃၉၈</t>
    </r>
  </si>
  <si>
    <r>
      <rPr>
        <rFont val="Myanmar Sangam MN"/>
        <b/>
        <color theme="1"/>
        <sz val="10.0"/>
      </rPr>
      <t>၄၃၅</t>
    </r>
  </si>
  <si>
    <r>
      <rPr>
        <rFont val="Myanmar Sangam MN"/>
        <b/>
        <color theme="1"/>
        <sz val="10.0"/>
      </rPr>
      <t>၁၀၈၃၃</t>
    </r>
  </si>
  <si>
    <r>
      <rPr>
        <rFont val="Myanmar Sangam MN"/>
        <b/>
        <color theme="1"/>
        <sz val="10.0"/>
      </rPr>
      <t>၂၂၈၀၉၆</t>
    </r>
  </si>
  <si>
    <r>
      <rPr>
        <rFont val="Myanmar Sangam MN"/>
        <b/>
        <color theme="1"/>
        <sz val="10.0"/>
      </rPr>
      <t>၅၆၂၉၇</t>
    </r>
  </si>
  <si>
    <r>
      <rPr>
        <rFont val="Myanmar Sangam MN"/>
        <b/>
        <color theme="1"/>
        <sz val="10.0"/>
      </rPr>
      <t>၂၈၄၃၉၃</t>
    </r>
  </si>
  <si>
    <r>
      <rPr>
        <rFont val="Myanmar Sangam MN"/>
        <color theme="1"/>
        <sz val="10.0"/>
      </rPr>
      <t>ဦးေဇာ်မင်း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</si>
  <si>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</si>
  <si>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၁၆၁၃၆၀</t>
    </r>
  </si>
  <si>
    <r>
      <rPr>
        <rFont val="Myanmar Sangam MN"/>
        <color theme="1"/>
        <sz val="10.0"/>
      </rPr>
      <t>၃၆၄၀၁</t>
    </r>
  </si>
  <si>
    <r>
      <rPr>
        <rFont val="Myanmar Sangam MN"/>
        <color theme="1"/>
        <sz val="10.0"/>
      </rPr>
      <t>၁၉၇၇၆၁</t>
    </r>
  </si>
  <si>
    <r>
      <rPr>
        <rFont val="Myanmar Sangam MN"/>
        <b/>
        <color theme="1"/>
        <sz val="9.0"/>
      </rPr>
      <t>၆၉.၅၄%</t>
    </r>
  </si>
  <si>
    <r>
      <rPr>
        <rFont val="Myanmar Sangam MN"/>
        <color theme="1"/>
        <sz val="10.0"/>
      </rPr>
      <t>ဦးထွန်းေအာင်ဝင်း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</si>
  <si>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</si>
  <si>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၆၂၈၇၈</t>
    </r>
  </si>
  <si>
    <r>
      <rPr>
        <rFont val="Myanmar Sangam MN"/>
        <color theme="1"/>
        <sz val="10.0"/>
      </rPr>
      <t>၁၈၃၈၁</t>
    </r>
  </si>
  <si>
    <r>
      <rPr>
        <rFont val="Myanmar Sangam MN"/>
        <color theme="1"/>
        <sz val="10.0"/>
      </rPr>
      <t>၈၁၂၅၉</t>
    </r>
  </si>
  <si>
    <r>
      <rPr>
        <rFont val="Myanmar Sangam MN"/>
        <b/>
        <color theme="1"/>
        <sz val="9.0"/>
      </rPr>
      <t>၂၈.၅၇%</t>
    </r>
  </si>
  <si>
    <r>
      <rPr>
        <rFont val="Myanmar Sangam MN"/>
        <color theme="1"/>
        <sz val="10.0"/>
      </rPr>
      <t>ဦးဘေအာင်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</si>
  <si>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</si>
  <si>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၃၈၅၈</t>
    </r>
  </si>
  <si>
    <r>
      <rPr>
        <rFont val="Myanmar Sangam MN"/>
        <color theme="1"/>
        <sz val="10.0"/>
      </rPr>
      <t>၁၅၁၅</t>
    </r>
  </si>
  <si>
    <r>
      <rPr>
        <rFont val="Myanmar Sangam MN"/>
        <color theme="1"/>
        <sz val="10.0"/>
      </rPr>
      <t>၅၃၇၃</t>
    </r>
  </si>
  <si>
    <r>
      <rPr>
        <rFont val="Myanmar Sangam MN"/>
        <b/>
        <color theme="1"/>
        <sz val="9.0"/>
      </rPr>
      <t>၁.၈၉%</t>
    </r>
  </si>
  <si>
    <r>
      <rPr>
        <rFont val="Myanmar Sangam MN"/>
        <b/>
        <color theme="1"/>
        <sz val="10.0"/>
      </rPr>
      <t>၅၁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</si>
  <si>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</si>
  <si>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၂၅၄၉၀၄</t>
    </r>
  </si>
  <si>
    <r>
      <rPr>
        <rFont val="Myanmar Sangam MN"/>
        <b/>
        <color theme="1"/>
        <sz val="10.0"/>
      </rPr>
      <t>၁၆၆၇၇၂</t>
    </r>
  </si>
  <si>
    <r>
      <rPr>
        <rFont val="Myanmar Sangam MN"/>
        <b/>
        <color theme="1"/>
        <sz val="10.0"/>
      </rPr>
      <t>၄၂၃၀၂</t>
    </r>
  </si>
  <si>
    <r>
      <rPr>
        <rFont val="Myanmar Sangam MN"/>
        <b/>
        <color theme="1"/>
        <sz val="10.0"/>
      </rPr>
      <t>၂၀၉၀၇၄</t>
    </r>
  </si>
  <si>
    <r>
      <rPr>
        <rFont val="Myanmar Sangam MN"/>
        <b/>
        <color theme="1"/>
        <sz val="10.0"/>
      </rPr>
      <t>၈၂.၀၂</t>
    </r>
  </si>
  <si>
    <r>
      <rPr>
        <rFont val="Myanmar Sangam MN"/>
        <b/>
        <color theme="1"/>
        <sz val="10.0"/>
      </rPr>
      <t>၄၈၉၆</t>
    </r>
  </si>
  <si>
    <r>
      <rPr>
        <rFont val="Myanmar Sangam MN"/>
        <b/>
        <color theme="1"/>
        <sz val="10.0"/>
      </rPr>
      <t>၁၈၆</t>
    </r>
  </si>
  <si>
    <r>
      <rPr>
        <rFont val="Myanmar Sangam MN"/>
        <b/>
        <color theme="1"/>
        <sz val="10.0"/>
      </rPr>
      <t>၅၀၈၂</t>
    </r>
  </si>
  <si>
    <r>
      <rPr>
        <rFont val="Myanmar Sangam MN"/>
        <b/>
        <color theme="1"/>
        <sz val="10.0"/>
      </rPr>
      <t>၁၆၂၃၇၅</t>
    </r>
  </si>
  <si>
    <r>
      <rPr>
        <rFont val="Myanmar Sangam MN"/>
        <b/>
        <color theme="1"/>
        <sz val="10.0"/>
      </rPr>
      <t>၄၁၆၁၇</t>
    </r>
  </si>
  <si>
    <r>
      <rPr>
        <rFont val="Myanmar Sangam MN"/>
        <b/>
        <color theme="1"/>
        <sz val="10.0"/>
      </rPr>
      <t>၂၀၃၉၉၂</t>
    </r>
  </si>
  <si>
    <r>
      <rPr>
        <rFont val="Myanmar Sangam MN"/>
        <color theme="1"/>
        <sz val="10.0"/>
      </rPr>
      <t>ဦးခင်ေမာင်ဝင်း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</si>
  <si>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</si>
  <si>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၁၂၂၁၀၃</t>
    </r>
  </si>
  <si>
    <r>
      <rPr>
        <rFont val="Myanmar Sangam MN"/>
        <color theme="1"/>
        <sz val="10.0"/>
      </rPr>
      <t>၂၉၆၇၇</t>
    </r>
  </si>
  <si>
    <r>
      <rPr>
        <rFont val="Myanmar Sangam MN"/>
        <color theme="1"/>
        <sz val="10.0"/>
      </rPr>
      <t>၁၅၁၇၈၀</t>
    </r>
  </si>
  <si>
    <r>
      <rPr>
        <rFont val="Myanmar Sangam MN"/>
        <b/>
        <color theme="1"/>
        <sz val="9.0"/>
      </rPr>
      <t>၇၄.၄၀%</t>
    </r>
  </si>
  <si>
    <r>
      <rPr>
        <rFont val="Myanmar Sangam MN"/>
        <color theme="1"/>
        <sz val="10.0"/>
      </rPr>
      <t>ဦးခင်ေမာင်ေအး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</si>
  <si>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</si>
  <si>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၃၆၉၇၁</t>
    </r>
  </si>
  <si>
    <r>
      <rPr>
        <rFont val="Myanmar Sangam MN"/>
        <color theme="1"/>
        <sz val="10.0"/>
      </rPr>
      <t>၁၀၅၇၄</t>
    </r>
  </si>
  <si>
    <r>
      <rPr>
        <rFont val="Myanmar Sangam MN"/>
        <color theme="1"/>
        <sz val="10.0"/>
      </rPr>
      <t>၄၇၅၄၅</t>
    </r>
  </si>
  <si>
    <r>
      <rPr>
        <rFont val="Myanmar Sangam MN"/>
        <b/>
        <color theme="1"/>
        <sz val="9.0"/>
      </rPr>
      <t>၂၃.၃၁%</t>
    </r>
  </si>
  <si>
    <r>
      <rPr>
        <rFont val="Myanmar Sangam MN"/>
        <color theme="1"/>
        <sz val="10.0"/>
      </rPr>
      <t>ဦးေမာင်ခင်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</si>
  <si>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</si>
  <si>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၁၈၇၇</t>
    </r>
  </si>
  <si>
    <r>
      <rPr>
        <rFont val="Myanmar Sangam MN"/>
        <color theme="1"/>
        <sz val="10.0"/>
      </rPr>
      <t>၆၆၉</t>
    </r>
  </si>
  <si>
    <r>
      <rPr>
        <rFont val="Myanmar Sangam MN"/>
        <color theme="1"/>
        <sz val="10.0"/>
      </rPr>
      <t>၂၅၄၆</t>
    </r>
  </si>
  <si>
    <r>
      <rPr>
        <rFont val="Myanmar Sangam MN"/>
        <b/>
        <color theme="1"/>
        <sz val="9.0"/>
      </rPr>
      <t>၁.၂၅%</t>
    </r>
  </si>
  <si>
    <r>
      <rPr>
        <rFont val="Myanmar Sangam MN"/>
        <color theme="1"/>
        <sz val="10.0"/>
      </rPr>
      <t>ဦးထွန်းေဝ</t>
    </r>
  </si>
  <si>
    <r>
      <rPr>
        <rFont val="Myanmar Sangam MN"/>
        <color theme="1"/>
        <sz val="10.0"/>
      </rPr>
      <t>ြပည်သူ ပါတီ</t>
    </r>
  </si>
  <si>
    <r>
      <rPr>
        <rFont val="Myanmar Sangam MN"/>
        <color theme="1"/>
        <sz val="10.0"/>
      </rPr>
      <t>၁၄၂၄</t>
    </r>
  </si>
  <si>
    <r>
      <rPr>
        <rFont val="Myanmar Sangam MN"/>
        <color theme="1"/>
        <sz val="10.0"/>
      </rPr>
      <t>၆၉၇</t>
    </r>
  </si>
  <si>
    <r>
      <rPr>
        <rFont val="Myanmar Sangam MN"/>
        <color theme="1"/>
        <sz val="10.0"/>
      </rPr>
      <t>၂၁၂၁</t>
    </r>
  </si>
  <si>
    <r>
      <rPr>
        <rFont val="Myanmar Sangam MN"/>
        <b/>
        <color theme="1"/>
        <sz val="9.0"/>
      </rPr>
      <t>၁.၀၄%</t>
    </r>
  </si>
  <si>
    <r>
      <rPr>
        <rFont val="Myanmar Sangam MN"/>
        <b/>
        <color theme="1"/>
        <sz val="10.0"/>
      </rPr>
      <t>၅၂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</si>
  <si>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</si>
  <si>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၃၁၅၂၀၃</t>
    </r>
  </si>
  <si>
    <r>
      <rPr>
        <rFont val="Myanmar Sangam MN"/>
        <b/>
        <color theme="1"/>
        <sz val="10.0"/>
      </rPr>
      <t>၂၀၇၁၉၃</t>
    </r>
  </si>
  <si>
    <r>
      <rPr>
        <rFont val="Myanmar Sangam MN"/>
        <b/>
        <color theme="1"/>
        <sz val="10.0"/>
      </rPr>
      <t>၃၅၈၈၉</t>
    </r>
  </si>
  <si>
    <r>
      <rPr>
        <rFont val="Myanmar Sangam MN"/>
        <b/>
        <color theme="1"/>
        <sz val="10.0"/>
      </rPr>
      <t>၂၄၃၀၈၂</t>
    </r>
  </si>
  <si>
    <r>
      <rPr>
        <rFont val="Myanmar Sangam MN"/>
        <b/>
        <color theme="1"/>
        <sz val="10.0"/>
      </rPr>
      <t>၇၇.၁၂</t>
    </r>
  </si>
  <si>
    <r>
      <rPr>
        <rFont val="Myanmar Sangam MN"/>
        <b/>
        <color theme="1"/>
        <sz val="10.0"/>
      </rPr>
      <t>၄၆၈၅၂</t>
    </r>
  </si>
  <si>
    <r>
      <rPr>
        <rFont val="Myanmar Sangam MN"/>
        <b/>
        <color theme="1"/>
        <sz val="10.0"/>
      </rPr>
      <t>၇၈၇</t>
    </r>
  </si>
  <si>
    <r>
      <rPr>
        <rFont val="Myanmar Sangam MN"/>
        <b/>
        <color theme="1"/>
        <sz val="10.0"/>
      </rPr>
      <t>၄၇၆၃၉</t>
    </r>
  </si>
  <si>
    <r>
      <rPr>
        <rFont val="Myanmar Sangam MN"/>
        <b/>
        <color theme="1"/>
        <sz val="10.0"/>
      </rPr>
      <t>၁၆၀၃၅၁</t>
    </r>
  </si>
  <si>
    <r>
      <rPr>
        <rFont val="Myanmar Sangam MN"/>
        <b/>
        <color theme="1"/>
        <sz val="10.0"/>
      </rPr>
      <t>၃၅၀၉၂</t>
    </r>
  </si>
  <si>
    <r>
      <rPr>
        <rFont val="Myanmar Sangam MN"/>
        <b/>
        <color theme="1"/>
        <sz val="10.0"/>
      </rPr>
      <t>၁၉၅၄၄၃</t>
    </r>
  </si>
  <si>
    <r>
      <rPr>
        <rFont val="Myanmar Sangam MN"/>
        <color theme="1"/>
        <sz val="10.0"/>
      </rPr>
      <t>ဦးဝင်းေအာင်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</si>
  <si>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</si>
  <si>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၁၄၂၆၁၁</t>
    </r>
  </si>
  <si>
    <r>
      <rPr>
        <rFont val="Myanmar Sangam MN"/>
        <color theme="1"/>
        <sz val="10.0"/>
      </rPr>
      <t>၃၀၈၆၅</t>
    </r>
  </si>
  <si>
    <r>
      <rPr>
        <rFont val="Myanmar Sangam MN"/>
        <color theme="1"/>
        <sz val="10.0"/>
      </rPr>
      <t>၁၇၃၄၇၆</t>
    </r>
  </si>
  <si>
    <r>
      <rPr>
        <rFont val="Myanmar Sangam MN"/>
        <b/>
        <color theme="1"/>
        <sz val="9.0"/>
      </rPr>
      <t>၈၈.၇၆%</t>
    </r>
  </si>
  <si>
    <r>
      <rPr>
        <rFont val="Myanmar Sangam MN"/>
        <color theme="1"/>
        <sz val="10.0"/>
      </rPr>
      <t>ဦးစန်းလင်ဝင်း(ခ) စာေပြမင့်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</si>
  <si>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</si>
  <si>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၁၇၇၄၀</t>
    </r>
  </si>
  <si>
    <r>
      <rPr>
        <rFont val="Myanmar Sangam MN"/>
        <color theme="1"/>
        <sz val="10.0"/>
      </rPr>
      <t>၄၂၂၇</t>
    </r>
  </si>
  <si>
    <r>
      <rPr>
        <rFont val="Myanmar Sangam MN"/>
        <color theme="1"/>
        <sz val="10.0"/>
      </rPr>
      <t>၂၁၉၆၇</t>
    </r>
  </si>
  <si>
    <r>
      <rPr>
        <rFont val="Myanmar Sangam MN"/>
        <b/>
        <color theme="1"/>
        <sz val="9.0"/>
      </rPr>
      <t>၁၁.၂၄%</t>
    </r>
  </si>
  <si>
    <r>
      <rPr>
        <rFont val="Myanmar Sangam MN"/>
        <b/>
        <color theme="1"/>
        <sz val="10.0"/>
      </rPr>
      <t>၅၃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</si>
  <si>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</si>
  <si>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၁၉၉၀၈၇</t>
    </r>
  </si>
  <si>
    <r>
      <rPr>
        <rFont val="Myanmar Sangam MN"/>
        <b/>
        <color theme="1"/>
        <sz val="10.0"/>
      </rPr>
      <t>၁၁၆၃၅၇</t>
    </r>
  </si>
  <si>
    <r>
      <rPr>
        <rFont val="Myanmar Sangam MN"/>
        <b/>
        <color theme="1"/>
        <sz val="10.0"/>
      </rPr>
      <t>၂၃၀၇၂</t>
    </r>
  </si>
  <si>
    <r>
      <rPr>
        <rFont val="Myanmar Sangam MN"/>
        <b/>
        <color theme="1"/>
        <sz val="10.0"/>
      </rPr>
      <t>၁၃၉၄၂၉</t>
    </r>
  </si>
  <si>
    <r>
      <rPr>
        <rFont val="Myanmar Sangam MN"/>
        <b/>
        <color theme="1"/>
        <sz val="10.0"/>
      </rPr>
      <t>၇၀.၀၃</t>
    </r>
  </si>
  <si>
    <r>
      <rPr>
        <rFont val="Myanmar Sangam MN"/>
        <b/>
        <color theme="1"/>
        <sz val="10.0"/>
      </rPr>
      <t>၅၆၆၆</t>
    </r>
  </si>
  <si>
    <r>
      <rPr>
        <rFont val="Myanmar Sangam MN"/>
        <b/>
        <color theme="1"/>
        <sz val="10.0"/>
      </rPr>
      <t>၁၂၇</t>
    </r>
  </si>
  <si>
    <r>
      <rPr>
        <rFont val="Myanmar Sangam MN"/>
        <b/>
        <color theme="1"/>
        <sz val="10.0"/>
      </rPr>
      <t>၅၇၉၃</t>
    </r>
  </si>
  <si>
    <r>
      <rPr>
        <rFont val="Myanmar Sangam MN"/>
        <b/>
        <color theme="1"/>
        <sz val="10.0"/>
      </rPr>
      <t>၁၁၀၉၆၂</t>
    </r>
  </si>
  <si>
    <r>
      <rPr>
        <rFont val="Myanmar Sangam MN"/>
        <b/>
        <color theme="1"/>
        <sz val="10.0"/>
      </rPr>
      <t>၂၂၆၇၄</t>
    </r>
  </si>
  <si>
    <r>
      <rPr>
        <rFont val="Myanmar Sangam MN"/>
        <b/>
        <color theme="1"/>
        <sz val="10.0"/>
      </rPr>
      <t>၁၃၃၆၃၆</t>
    </r>
  </si>
  <si>
    <r>
      <rPr>
        <rFont val="Myanmar Sangam MN"/>
        <color theme="1"/>
        <sz val="10.0"/>
      </rPr>
      <t>ဦးေကျာ်ြမင့်ေဌး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</si>
  <si>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</si>
  <si>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၅၉၆၄၄</t>
    </r>
  </si>
  <si>
    <r>
      <rPr>
        <rFont val="Myanmar Sangam MN"/>
        <color theme="1"/>
        <sz val="10.0"/>
      </rPr>
      <t>၁၀၁၈၆</t>
    </r>
  </si>
  <si>
    <r>
      <rPr>
        <rFont val="Myanmar Sangam MN"/>
        <color theme="1"/>
        <sz val="10.0"/>
      </rPr>
      <t>၆၉၈၃၀</t>
    </r>
  </si>
  <si>
    <r>
      <rPr>
        <rFont val="Myanmar Sangam MN"/>
        <b/>
        <color theme="1"/>
        <sz val="9.0"/>
      </rPr>
      <t>၅၂.၂၅%</t>
    </r>
  </si>
  <si>
    <r>
      <rPr>
        <rFont val="Myanmar Sangam MN"/>
        <color theme="1"/>
        <sz val="10.0"/>
      </rPr>
      <t>ဦးိုင်ိုင်ေကျာ်</t>
    </r>
  </si>
  <si>
    <r>
      <rPr>
        <rFont val="Myanmar Sangam MN"/>
        <color theme="1"/>
        <sz val="9.0"/>
      </rPr>
      <t>ရှမ်းနီ(တိုင်းလျန်)ေသွးစည်းညီွတ်ေရးပါတီ</t>
    </r>
  </si>
  <si>
    <r>
      <rPr>
        <rFont val="Myanmar Sangam MN"/>
        <color theme="1"/>
        <sz val="9.0"/>
      </rPr>
      <t>၂၆၄၁၆</t>
    </r>
  </si>
  <si>
    <r>
      <rPr>
        <rFont val="Myanmar Sangam MN"/>
        <color theme="1"/>
        <sz val="9.0"/>
      </rPr>
      <t>၆၁၆၀</t>
    </r>
  </si>
  <si>
    <r>
      <rPr>
        <rFont val="Myanmar Sangam MN"/>
        <color theme="1"/>
        <sz val="10.0"/>
      </rPr>
      <t>၃၂၅၇၆</t>
    </r>
  </si>
  <si>
    <r>
      <rPr>
        <rFont val="Myanmar Sangam MN"/>
        <b/>
        <color theme="1"/>
        <sz val="9.0"/>
      </rPr>
      <t>၂၄.၃၈%</t>
    </r>
  </si>
  <si>
    <r>
      <rPr>
        <rFont val="Myanmar Sangam MN"/>
        <color theme="1"/>
        <sz val="10.0"/>
      </rPr>
      <t>ဦးေအး(ခ)ဦးကိုေအး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</si>
  <si>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</si>
  <si>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၁၄၆၉၇</t>
    </r>
  </si>
  <si>
    <r>
      <rPr>
        <rFont val="Myanmar Sangam MN"/>
        <color theme="1"/>
        <sz val="10.0"/>
      </rPr>
      <t>၃၇၆၃</t>
    </r>
  </si>
  <si>
    <r>
      <rPr>
        <rFont val="Myanmar Sangam MN"/>
        <color theme="1"/>
        <sz val="10.0"/>
      </rPr>
      <t>၁၈၄၆၀</t>
    </r>
  </si>
  <si>
    <r>
      <rPr>
        <rFont val="Myanmar Sangam MN"/>
        <b/>
        <color theme="1"/>
        <sz val="9.0"/>
      </rPr>
      <t>၁၃.၈၁%</t>
    </r>
  </si>
  <si>
    <r>
      <rPr>
        <rFont val="Myanmar Sangam MN"/>
        <color theme="1"/>
        <sz val="10.0"/>
      </rPr>
      <t>ေဒနန်းှင်းုခိုင်</t>
    </r>
  </si>
  <si>
    <r>
      <rPr>
        <rFont val="Myanmar Sangam MN"/>
        <color theme="1"/>
        <sz val="10.0"/>
      </rPr>
      <t>တိုင်းလိုင်(ရှမ်းနီ)အမျးိ သားများဖွံဖိး တိုးတက်ေရးပါတီ</t>
    </r>
  </si>
  <si>
    <r>
      <rPr>
        <rFont val="Myanmar Sangam MN"/>
        <color theme="1"/>
        <sz val="10.0"/>
      </rPr>
      <t>၈၆၂၇</t>
    </r>
  </si>
  <si>
    <r>
      <rPr>
        <rFont val="Myanmar Sangam MN"/>
        <color theme="1"/>
        <sz val="10.0"/>
      </rPr>
      <t>၁၉၈၁</t>
    </r>
  </si>
  <si>
    <r>
      <rPr>
        <rFont val="Myanmar Sangam MN"/>
        <color theme="1"/>
        <sz val="10.0"/>
      </rPr>
      <t>၁၀၆၀၈</t>
    </r>
  </si>
  <si>
    <r>
      <rPr>
        <rFont val="Myanmar Sangam MN"/>
        <b/>
        <color theme="1"/>
        <sz val="9.0"/>
      </rPr>
      <t>၇.၉၄%</t>
    </r>
  </si>
  <si>
    <r>
      <rPr>
        <rFont val="Myanmar Sangam MN"/>
        <color theme="1"/>
        <sz val="10.0"/>
      </rPr>
      <t>ဦးသန်းထွန်း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</si>
  <si>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</si>
  <si>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၁၅၇၈</t>
    </r>
  </si>
  <si>
    <r>
      <rPr>
        <rFont val="Myanmar Sangam MN"/>
        <color theme="1"/>
        <sz val="10.0"/>
      </rPr>
      <t>၅၈၄</t>
    </r>
  </si>
  <si>
    <r>
      <rPr>
        <rFont val="Myanmar Sangam MN"/>
        <color theme="1"/>
        <sz val="10.0"/>
      </rPr>
      <t>၂၁၆၂</t>
    </r>
  </si>
  <si>
    <r>
      <rPr>
        <rFont val="Myanmar Sangam MN"/>
        <b/>
        <color theme="1"/>
        <sz val="9.0"/>
      </rPr>
      <t>၁.၆၂%</t>
    </r>
  </si>
  <si>
    <r>
      <rPr>
        <rFont val="Myanmar Sangam MN"/>
        <b/>
        <color theme="1"/>
        <sz val="10.0"/>
      </rPr>
      <t>၅၄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</si>
  <si>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</si>
  <si>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၄၃၃၆၄၄</t>
    </r>
  </si>
  <si>
    <r>
      <rPr>
        <rFont val="Myanmar Sangam MN"/>
        <b/>
        <color theme="1"/>
        <sz val="10.0"/>
      </rPr>
      <t>၂၆၆၉၀၁</t>
    </r>
  </si>
  <si>
    <r>
      <rPr>
        <rFont val="Myanmar Sangam MN"/>
        <b/>
        <color theme="1"/>
        <sz val="10.0"/>
      </rPr>
      <t>၈၇၅၃၃</t>
    </r>
  </si>
  <si>
    <r>
      <rPr>
        <rFont val="Myanmar Sangam MN"/>
        <b/>
        <color theme="1"/>
        <sz val="10.0"/>
      </rPr>
      <t>၃၅၄၄၃၄</t>
    </r>
  </si>
  <si>
    <r>
      <rPr>
        <rFont val="Myanmar Sangam MN"/>
        <b/>
        <color theme="1"/>
        <sz val="10.0"/>
      </rPr>
      <t>၈၁.၇၃</t>
    </r>
  </si>
  <si>
    <r>
      <rPr>
        <rFont val="Myanmar Sangam MN"/>
        <b/>
        <color theme="1"/>
        <sz val="10.0"/>
      </rPr>
      <t>၃၇၃၄</t>
    </r>
  </si>
  <si>
    <r>
      <rPr>
        <rFont val="Myanmar Sangam MN"/>
        <b/>
        <color theme="1"/>
        <sz val="10.0"/>
      </rPr>
      <t>၁၅၂</t>
    </r>
  </si>
  <si>
    <r>
      <rPr>
        <rFont val="Myanmar Sangam MN"/>
        <b/>
        <color theme="1"/>
        <sz val="10.0"/>
      </rPr>
      <t>၃၈၈၆</t>
    </r>
  </si>
  <si>
    <r>
      <rPr>
        <rFont val="Myanmar Sangam MN"/>
        <b/>
        <color theme="1"/>
        <sz val="9.0"/>
      </rPr>
      <t>၂၆၃၁၆၇</t>
    </r>
  </si>
  <si>
    <r>
      <rPr>
        <rFont val="Myanmar Sangam MN"/>
        <b/>
        <color theme="1"/>
        <sz val="9.0"/>
      </rPr>
      <t>၈၇၃၈၁</t>
    </r>
  </si>
  <si>
    <r>
      <rPr>
        <rFont val="Myanmar Sangam MN"/>
        <b/>
        <color theme="1"/>
        <sz val="9.0"/>
      </rPr>
      <t>၃၅၀၅၄၈</t>
    </r>
  </si>
  <si>
    <r>
      <rPr>
        <rFont val="Myanmar Sangam MN"/>
        <color theme="1"/>
        <sz val="10.0"/>
      </rPr>
      <t>ဦးေကျာ်ေသာင်း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</si>
  <si>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</si>
  <si>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၂၁၈၈၇၅</t>
    </r>
  </si>
  <si>
    <r>
      <rPr>
        <rFont val="Myanmar Sangam MN"/>
        <color theme="1"/>
        <sz val="10.0"/>
      </rPr>
      <t>၆၈၆၀၀</t>
    </r>
  </si>
  <si>
    <r>
      <rPr>
        <rFont val="Myanmar Sangam MN"/>
        <color theme="1"/>
        <sz val="10.0"/>
      </rPr>
      <t>၂၈၇၄၇၅</t>
    </r>
  </si>
  <si>
    <r>
      <rPr>
        <rFont val="Myanmar Sangam MN"/>
        <b/>
        <color theme="1"/>
        <sz val="9.0"/>
      </rPr>
      <t>၈၂.၀၁%</t>
    </r>
  </si>
  <si>
    <r>
      <rPr>
        <rFont val="Myanmar Sangam MN"/>
        <color theme="1"/>
        <sz val="10.0"/>
      </rPr>
      <t>ဦးဝင်းတင့်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</si>
  <si>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</si>
  <si>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၄၀၉၇၆</t>
    </r>
  </si>
  <si>
    <r>
      <rPr>
        <rFont val="Myanmar Sangam MN"/>
        <color theme="1"/>
        <sz val="10.0"/>
      </rPr>
      <t>၁၆၇၅၂</t>
    </r>
  </si>
  <si>
    <r>
      <rPr>
        <rFont val="Myanmar Sangam MN"/>
        <color theme="1"/>
        <sz val="10.0"/>
      </rPr>
      <t>၅၇၇၂၈</t>
    </r>
  </si>
  <si>
    <r>
      <rPr>
        <rFont val="Myanmar Sangam MN"/>
        <b/>
        <color theme="1"/>
        <sz val="9.0"/>
      </rPr>
      <t>၁၆.၄၇%</t>
    </r>
  </si>
  <si>
    <r>
      <rPr>
        <rFont val="Myanmar Sangam MN"/>
        <color theme="1"/>
        <sz val="10.0"/>
      </rPr>
      <t>ေဒခင်စန်းဝင်း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</si>
  <si>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</si>
  <si>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၁၃၅၀</t>
    </r>
  </si>
  <si>
    <r>
      <rPr>
        <rFont val="Myanmar Sangam MN"/>
        <color theme="1"/>
        <sz val="10.0"/>
      </rPr>
      <t>၁၀၃၉</t>
    </r>
  </si>
  <si>
    <r>
      <rPr>
        <rFont val="Myanmar Sangam MN"/>
        <color theme="1"/>
        <sz val="10.0"/>
      </rPr>
      <t>၂၃၈၉</t>
    </r>
  </si>
  <si>
    <r>
      <rPr>
        <rFont val="Myanmar Sangam MN"/>
        <b/>
        <color theme="1"/>
        <sz val="9.0"/>
      </rPr>
      <t>၀.၆၈%</t>
    </r>
  </si>
  <si>
    <r>
      <rPr>
        <rFont val="Myanmar Sangam MN"/>
        <color theme="1"/>
        <sz val="10.0"/>
      </rPr>
      <t>ဦးခင်ေမာင်ညိ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</si>
  <si>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</si>
  <si>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၁၁၂၂</t>
    </r>
  </si>
  <si>
    <r>
      <rPr>
        <rFont val="Myanmar Sangam MN"/>
        <color theme="1"/>
        <sz val="10.0"/>
      </rPr>
      <t>၅၉၀</t>
    </r>
  </si>
  <si>
    <r>
      <rPr>
        <rFont val="Myanmar Sangam MN"/>
        <color theme="1"/>
        <sz val="10.0"/>
      </rPr>
      <t>၁၇၁၂</t>
    </r>
  </si>
  <si>
    <r>
      <rPr>
        <rFont val="Myanmar Sangam MN"/>
        <b/>
        <color theme="1"/>
        <sz val="9.0"/>
      </rPr>
      <t>၀.၄၉%</t>
    </r>
  </si>
  <si>
    <r>
      <rPr>
        <rFont val="Myanmar Sangam MN"/>
        <color theme="1"/>
        <sz val="10.0"/>
      </rPr>
      <t>ဦးဆန်းဦး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</si>
  <si>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</si>
  <si>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၈၄၄</t>
    </r>
  </si>
  <si>
    <r>
      <rPr>
        <rFont val="Myanmar Sangam MN"/>
        <color theme="1"/>
        <sz val="10.0"/>
      </rPr>
      <t>၄၀၀</t>
    </r>
  </si>
  <si>
    <r>
      <rPr>
        <rFont val="Myanmar Sangam MN"/>
        <color theme="1"/>
        <sz val="10.0"/>
      </rPr>
      <t>၁၂၄၄</t>
    </r>
  </si>
  <si>
    <r>
      <rPr>
        <rFont val="Myanmar Sangam MN"/>
        <b/>
        <color theme="1"/>
        <sz val="9.0"/>
      </rPr>
      <t>၀.၃၅%</t>
    </r>
  </si>
  <si>
    <r>
      <rPr>
        <rFont val="Myanmar Sangam MN"/>
        <b/>
        <color theme="1"/>
        <sz val="10.0"/>
      </rPr>
      <t>၅၅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</si>
  <si>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</si>
  <si>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၈၄၃၈၄</t>
    </r>
  </si>
  <si>
    <r>
      <rPr>
        <rFont val="Myanmar Sangam MN"/>
        <b/>
        <color theme="1"/>
        <sz val="10.0"/>
      </rPr>
      <t>၄၈၇၄၄</t>
    </r>
  </si>
  <si>
    <r>
      <rPr>
        <rFont val="Myanmar Sangam MN"/>
        <b/>
        <color theme="1"/>
        <sz val="10.0"/>
      </rPr>
      <t>၁၂၂၉၃</t>
    </r>
  </si>
  <si>
    <r>
      <rPr>
        <rFont val="Myanmar Sangam MN"/>
        <b/>
        <color theme="1"/>
        <sz val="10.0"/>
      </rPr>
      <t>၆၁၀၃၇</t>
    </r>
  </si>
  <si>
    <r>
      <rPr>
        <rFont val="Myanmar Sangam MN"/>
        <b/>
        <color theme="1"/>
        <sz val="10.0"/>
      </rPr>
      <t>၇၂.၃၃</t>
    </r>
  </si>
  <si>
    <r>
      <rPr>
        <rFont val="Myanmar Sangam MN"/>
        <b/>
        <color theme="1"/>
        <sz val="10.0"/>
      </rPr>
      <t>၁၂၁၆</t>
    </r>
  </si>
  <si>
    <r>
      <rPr>
        <rFont val="Myanmar Sangam MN"/>
        <b/>
        <color theme="1"/>
        <sz val="10.0"/>
      </rPr>
      <t>၁၀၆</t>
    </r>
  </si>
  <si>
    <r>
      <rPr>
        <rFont val="Myanmar Sangam MN"/>
        <b/>
        <color theme="1"/>
        <sz val="10.0"/>
      </rPr>
      <t>၁၃၂၂</t>
    </r>
  </si>
  <si>
    <r>
      <rPr>
        <rFont val="Myanmar Sangam MN"/>
        <b/>
        <color theme="1"/>
        <sz val="10.0"/>
      </rPr>
      <t>၄၇၄၉၇</t>
    </r>
  </si>
  <si>
    <r>
      <rPr>
        <rFont val="Myanmar Sangam MN"/>
        <b/>
        <color theme="1"/>
        <sz val="10.0"/>
      </rPr>
      <t>၁၂၂၁၈</t>
    </r>
  </si>
  <si>
    <r>
      <rPr>
        <rFont val="Myanmar Sangam MN"/>
        <b/>
        <color theme="1"/>
        <sz val="10.0"/>
      </rPr>
      <t>၅၉၇၁၅</t>
    </r>
  </si>
  <si>
    <r>
      <rPr>
        <rFont val="Myanmar Sangam MN"/>
        <color theme="1"/>
        <sz val="10.0"/>
      </rPr>
      <t>ဦးထန်ေဆး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</si>
  <si>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</si>
  <si>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၂၈၅၃၃</t>
    </r>
  </si>
  <si>
    <r>
      <rPr>
        <rFont val="Myanmar Sangam MN"/>
        <color theme="1"/>
        <sz val="10.0"/>
      </rPr>
      <t>၆၉၂၁</t>
    </r>
  </si>
  <si>
    <r>
      <rPr>
        <rFont val="Myanmar Sangam MN"/>
        <color theme="1"/>
        <sz val="10.0"/>
      </rPr>
      <t>၃၅၄၅၄</t>
    </r>
  </si>
  <si>
    <r>
      <rPr>
        <rFont val="Myanmar Sangam MN"/>
        <b/>
        <color theme="1"/>
        <sz val="9.0"/>
      </rPr>
      <t>၅၉.၃၇%</t>
    </r>
  </si>
  <si>
    <r>
      <rPr>
        <rFont val="Myanmar Sangam MN"/>
        <color theme="1"/>
        <sz val="10.0"/>
      </rPr>
      <t xml:space="preserve">ဦးွန ်ေရ 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</si>
  <si>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</si>
  <si>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၁၆၂၇၇</t>
    </r>
  </si>
  <si>
    <r>
      <rPr>
        <rFont val="Myanmar Sangam MN"/>
        <color theme="1"/>
        <sz val="10.0"/>
      </rPr>
      <t>၄၄၅၉</t>
    </r>
  </si>
  <si>
    <r>
      <rPr>
        <rFont val="Myanmar Sangam MN"/>
        <color theme="1"/>
        <sz val="10.0"/>
      </rPr>
      <t>၂၀၇၃၆</t>
    </r>
  </si>
  <si>
    <r>
      <rPr>
        <rFont val="Myanmar Sangam MN"/>
        <b/>
        <color theme="1"/>
        <sz val="9.0"/>
      </rPr>
      <t>၃၄.၇၂%</t>
    </r>
  </si>
  <si>
    <r>
      <rPr>
        <rFont val="Myanmar Sangam MN"/>
        <color theme="1"/>
        <sz val="10.0"/>
      </rPr>
      <t>ဦးိုင်းဟိုင်ကွန်း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</si>
  <si>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</si>
  <si>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၂၂၁၄</t>
    </r>
  </si>
  <si>
    <r>
      <rPr>
        <rFont val="Myanmar Sangam MN"/>
        <color theme="1"/>
        <sz val="10.0"/>
      </rPr>
      <t>၅၆၈</t>
    </r>
  </si>
  <si>
    <r>
      <rPr>
        <rFont val="Myanmar Sangam MN"/>
        <color theme="1"/>
        <sz val="10.0"/>
      </rPr>
      <t>၂၇၈၂</t>
    </r>
  </si>
  <si>
    <r>
      <rPr>
        <rFont val="Myanmar Sangam MN"/>
        <b/>
        <color theme="1"/>
        <sz val="9.0"/>
      </rPr>
      <t>၄.၆၆%</t>
    </r>
  </si>
  <si>
    <r>
      <rPr>
        <rFont val="Myanmar Sangam MN"/>
        <color theme="1"/>
        <sz val="10.0"/>
      </rPr>
      <t xml:space="preserve">ဦးထွန်းေရ 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</si>
  <si>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</si>
  <si>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၃၀၇</t>
    </r>
  </si>
  <si>
    <r>
      <rPr>
        <rFont val="Myanmar Sangam MN"/>
        <color theme="1"/>
        <sz val="10.0"/>
      </rPr>
      <t>၂၀၅</t>
    </r>
  </si>
  <si>
    <r>
      <rPr>
        <rFont val="Myanmar Sangam MN"/>
        <color theme="1"/>
        <sz val="10.0"/>
      </rPr>
      <t>၅၁၂</t>
    </r>
  </si>
  <si>
    <r>
      <rPr>
        <rFont val="Myanmar Sangam MN"/>
        <b/>
        <color theme="1"/>
        <sz val="9.0"/>
      </rPr>
      <t>၀.၈၆%</t>
    </r>
  </si>
  <si>
    <r>
      <rPr>
        <rFont val="Myanmar Sangam MN"/>
        <color theme="1"/>
        <sz val="10.0"/>
      </rPr>
      <t>ဦးဟန်တင်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</si>
  <si>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</si>
  <si>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၁၆၆</t>
    </r>
  </si>
  <si>
    <r>
      <rPr>
        <rFont val="Myanmar Sangam MN"/>
        <color theme="1"/>
        <sz val="10.0"/>
      </rPr>
      <t>၆၅</t>
    </r>
  </si>
  <si>
    <r>
      <rPr>
        <rFont val="Myanmar Sangam MN"/>
        <color theme="1"/>
        <sz val="10.0"/>
      </rPr>
      <t>၂၃၁</t>
    </r>
  </si>
  <si>
    <r>
      <rPr>
        <rFont val="Myanmar Sangam MN"/>
        <b/>
        <color theme="1"/>
        <sz val="9.0"/>
      </rPr>
      <t>၀.၃၉%</t>
    </r>
  </si>
  <si>
    <r>
      <rPr>
        <rFont val="Myanmar Sangam MN"/>
        <b/>
        <color theme="1"/>
        <sz val="10.0"/>
      </rPr>
      <t>၅၆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</si>
  <si>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</si>
  <si>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၆၄၃၁၀၃</t>
    </r>
  </si>
  <si>
    <r>
      <rPr>
        <rFont val="Myanmar Sangam MN"/>
        <b/>
        <color theme="1"/>
        <sz val="10.0"/>
      </rPr>
      <t>၄၀၁၆၄၈</t>
    </r>
  </si>
  <si>
    <r>
      <rPr>
        <rFont val="Myanmar Sangam MN"/>
        <b/>
        <color theme="1"/>
        <sz val="10.0"/>
      </rPr>
      <t>၁၁၆၇၀၆</t>
    </r>
  </si>
  <si>
    <r>
      <rPr>
        <rFont val="Myanmar Sangam MN"/>
        <b/>
        <color theme="1"/>
        <sz val="10.0"/>
      </rPr>
      <t>၅၁၈၃၅၄</t>
    </r>
  </si>
  <si>
    <r>
      <rPr>
        <rFont val="Myanmar Sangam MN"/>
        <b/>
        <color theme="1"/>
        <sz val="10.0"/>
      </rPr>
      <t>၈၀.၆၀</t>
    </r>
  </si>
  <si>
    <r>
      <rPr>
        <rFont val="Myanmar Sangam MN"/>
        <b/>
        <color theme="1"/>
        <sz val="10.0"/>
      </rPr>
      <t>၅၈၂၄</t>
    </r>
  </si>
  <si>
    <r>
      <rPr>
        <rFont val="Myanmar Sangam MN"/>
        <b/>
        <color theme="1"/>
        <sz val="10.0"/>
      </rPr>
      <t>၁၅၇၀</t>
    </r>
  </si>
  <si>
    <r>
      <rPr>
        <rFont val="Myanmar Sangam MN"/>
        <b/>
        <color theme="1"/>
        <sz val="10.0"/>
      </rPr>
      <t>၇၃၉၄</t>
    </r>
  </si>
  <si>
    <r>
      <rPr>
        <rFont val="Myanmar Sangam MN"/>
        <b/>
        <color theme="1"/>
        <sz val="10.0"/>
      </rPr>
      <t>၃၉၅၁၇၄</t>
    </r>
  </si>
  <si>
    <r>
      <rPr>
        <rFont val="Myanmar Sangam MN"/>
        <b/>
        <color theme="1"/>
        <sz val="10.0"/>
      </rPr>
      <t>၁၁၅၇၈၆</t>
    </r>
  </si>
  <si>
    <r>
      <rPr>
        <rFont val="Myanmar Sangam MN"/>
        <b/>
        <color theme="1"/>
        <sz val="10.0"/>
      </rPr>
      <t>၅၁၀၉၆၀</t>
    </r>
  </si>
  <si>
    <r>
      <rPr>
        <rFont val="Myanmar Sangam MN"/>
        <color theme="1"/>
        <sz val="10.0"/>
      </rPr>
      <t>ေဒသီတာဝင်း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</si>
  <si>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</si>
  <si>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၃၄၄၉၉၈</t>
    </r>
  </si>
  <si>
    <r>
      <rPr>
        <rFont val="Myanmar Sangam MN"/>
        <color theme="1"/>
        <sz val="10.0"/>
      </rPr>
      <t>၉၈၀၉၉</t>
    </r>
  </si>
  <si>
    <r>
      <rPr>
        <rFont val="Myanmar Sangam MN"/>
        <color theme="1"/>
        <sz val="10.0"/>
      </rPr>
      <t>၄၄၃၀၉၇</t>
    </r>
  </si>
  <si>
    <r>
      <rPr>
        <rFont val="Myanmar Sangam MN"/>
        <b/>
        <color theme="1"/>
        <sz val="9.0"/>
      </rPr>
      <t>၈၆.၇၂%</t>
    </r>
  </si>
  <si>
    <r>
      <rPr>
        <rFont val="Myanmar Sangam MN"/>
        <color theme="1"/>
        <sz val="10.0"/>
      </rPr>
      <t>ေဒွန ်ွန ်ေဌး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</si>
  <si>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</si>
  <si>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၄၄၅၅၉</t>
    </r>
  </si>
  <si>
    <r>
      <rPr>
        <rFont val="Myanmar Sangam MN"/>
        <color theme="1"/>
        <sz val="10.0"/>
      </rPr>
      <t>၁၅၅၀၈</t>
    </r>
  </si>
  <si>
    <r>
      <rPr>
        <rFont val="Myanmar Sangam MN"/>
        <color theme="1"/>
        <sz val="10.0"/>
      </rPr>
      <t>၆၀၀၆၇</t>
    </r>
  </si>
  <si>
    <r>
      <rPr>
        <rFont val="Myanmar Sangam MN"/>
        <b/>
        <color theme="1"/>
        <sz val="9.0"/>
      </rPr>
      <t>၁၁.၇၆%</t>
    </r>
  </si>
  <si>
    <r>
      <rPr>
        <rFont val="Myanmar Sangam MN"/>
        <color theme="1"/>
        <sz val="10.0"/>
      </rPr>
      <t>ဦးေအာင်ေဇာ်လင်း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</si>
  <si>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</si>
  <si>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၄၀၄၈</t>
    </r>
  </si>
  <si>
    <r>
      <rPr>
        <rFont val="Myanmar Sangam MN"/>
        <color theme="1"/>
        <sz val="10.0"/>
      </rPr>
      <t>၁၄၇၃</t>
    </r>
  </si>
  <si>
    <r>
      <rPr>
        <rFont val="Myanmar Sangam MN"/>
        <color theme="1"/>
        <sz val="10.0"/>
      </rPr>
      <t>၅၅၂၁</t>
    </r>
  </si>
  <si>
    <r>
      <rPr>
        <rFont val="Myanmar Sangam MN"/>
        <b/>
        <color theme="1"/>
        <sz val="9.0"/>
      </rPr>
      <t>၁.၀၇%</t>
    </r>
  </si>
  <si>
    <r>
      <rPr>
        <rFont val="Myanmar Sangam MN"/>
        <color theme="1"/>
        <sz val="10.0"/>
      </rPr>
      <t>ဦးသိန်းေအာင်</t>
    </r>
  </si>
  <si>
    <r>
      <rPr>
        <rFont val="Myanmar Sangam MN"/>
        <color theme="1"/>
        <sz val="10.0"/>
      </rPr>
      <t>ညီွတ်ေသာတိုင်းရင်းသားလူမျးိ များ ဒီမိုကေရစီပါတီ</t>
    </r>
  </si>
  <si>
    <r>
      <rPr>
        <rFont val="Myanmar Sangam MN"/>
        <color theme="1"/>
        <sz val="10.0"/>
      </rPr>
      <t>၁၀၅၄</t>
    </r>
  </si>
  <si>
    <r>
      <rPr>
        <rFont val="Myanmar Sangam MN"/>
        <color theme="1"/>
        <sz val="10.0"/>
      </rPr>
      <t>၄၁၇</t>
    </r>
  </si>
  <si>
    <r>
      <rPr>
        <rFont val="Myanmar Sangam MN"/>
        <color theme="1"/>
        <sz val="10.0"/>
      </rPr>
      <t>၁၄၇၁</t>
    </r>
  </si>
  <si>
    <r>
      <rPr>
        <rFont val="Myanmar Sangam MN"/>
        <b/>
        <color theme="1"/>
        <sz val="9.0"/>
      </rPr>
      <t>၀.၂၉%</t>
    </r>
  </si>
  <si>
    <r>
      <rPr>
        <rFont val="Myanmar Sangam MN"/>
        <color theme="1"/>
        <sz val="10.0"/>
      </rPr>
      <t>ဦးေကျာ်ေကျာ်(ခ) ဦးေကျာ်ေကျာ်သန်း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</si>
  <si>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</si>
  <si>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၅၁၅</t>
    </r>
  </si>
  <si>
    <r>
      <rPr>
        <rFont val="Myanmar Sangam MN"/>
        <color theme="1"/>
        <sz val="10.0"/>
      </rPr>
      <t>၂၈၉</t>
    </r>
  </si>
  <si>
    <r>
      <rPr>
        <rFont val="Myanmar Sangam MN"/>
        <color theme="1"/>
        <sz val="10.0"/>
      </rPr>
      <t>၈၀၄</t>
    </r>
  </si>
  <si>
    <r>
      <rPr>
        <rFont val="Myanmar Sangam MN"/>
        <b/>
        <color theme="1"/>
        <sz val="9.0"/>
      </rPr>
      <t>၀.၁၆%</t>
    </r>
  </si>
  <si>
    <r>
      <rPr>
        <rFont val="Myanmar Sangam MN"/>
        <b/>
        <color theme="1"/>
        <sz val="10.0"/>
      </rPr>
      <t>၅၇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</si>
  <si>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</si>
  <si>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၁၂၆၄၅၅</t>
    </r>
  </si>
  <si>
    <r>
      <rPr>
        <rFont val="Myanmar Sangam MN"/>
        <b/>
        <color theme="1"/>
        <sz val="10.0"/>
      </rPr>
      <t>၇၅၇၁၄</t>
    </r>
  </si>
  <si>
    <r>
      <rPr>
        <rFont val="Myanmar Sangam MN"/>
        <b/>
        <color theme="1"/>
        <sz val="10.0"/>
      </rPr>
      <t>၂၀၀၆၄</t>
    </r>
  </si>
  <si>
    <r>
      <rPr>
        <rFont val="Myanmar Sangam MN"/>
        <b/>
        <color theme="1"/>
        <sz val="10.0"/>
      </rPr>
      <t>၉၅၇၇၈</t>
    </r>
  </si>
  <si>
    <r>
      <rPr>
        <rFont val="Myanmar Sangam MN"/>
        <b/>
        <color theme="1"/>
        <sz val="10.0"/>
      </rPr>
      <t>၇၅.၇၄</t>
    </r>
  </si>
  <si>
    <r>
      <rPr>
        <rFont val="Myanmar Sangam MN"/>
        <b/>
        <color theme="1"/>
        <sz val="10.0"/>
      </rPr>
      <t>၂၀၈၁</t>
    </r>
  </si>
  <si>
    <r>
      <rPr>
        <rFont val="Myanmar Sangam MN"/>
        <b/>
        <color theme="1"/>
        <sz val="10.0"/>
      </rPr>
      <t>၁၀၉</t>
    </r>
  </si>
  <si>
    <r>
      <rPr>
        <rFont val="Myanmar Sangam MN"/>
        <b/>
        <color theme="1"/>
        <sz val="10.0"/>
      </rPr>
      <t>၂၁၉၀</t>
    </r>
  </si>
  <si>
    <r>
      <rPr>
        <rFont val="Myanmar Sangam MN"/>
        <b/>
        <color theme="1"/>
        <sz val="10.0"/>
      </rPr>
      <t>၇၃၆၂၀</t>
    </r>
  </si>
  <si>
    <r>
      <rPr>
        <rFont val="Myanmar Sangam MN"/>
        <b/>
        <color theme="1"/>
        <sz val="10.0"/>
      </rPr>
      <t>၁၉၉၆၈</t>
    </r>
  </si>
  <si>
    <r>
      <rPr>
        <rFont val="Myanmar Sangam MN"/>
        <b/>
        <color theme="1"/>
        <sz val="10.0"/>
      </rPr>
      <t>၉၃၅၈၈</t>
    </r>
  </si>
  <si>
    <r>
      <rPr>
        <rFont val="Myanmar Sangam MN"/>
        <color theme="1"/>
        <sz val="10.0"/>
      </rPr>
      <t>ဦးတင်ေမာင်ဝင်း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</si>
  <si>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</si>
  <si>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၄၁၅၅၃</t>
    </r>
  </si>
  <si>
    <r>
      <rPr>
        <rFont val="Myanmar Sangam MN"/>
        <color theme="1"/>
        <sz val="10.0"/>
      </rPr>
      <t>၁၀၅၂၈</t>
    </r>
  </si>
  <si>
    <r>
      <rPr>
        <rFont val="Myanmar Sangam MN"/>
        <color theme="1"/>
        <sz val="10.0"/>
      </rPr>
      <t>၅၂၀၈၁</t>
    </r>
  </si>
  <si>
    <r>
      <rPr>
        <rFont val="Myanmar Sangam MN"/>
        <b/>
        <color theme="1"/>
        <sz val="9.0"/>
      </rPr>
      <t>၅၅.၆၅%</t>
    </r>
  </si>
  <si>
    <r>
      <rPr>
        <rFont val="Myanmar Sangam MN"/>
        <color theme="1"/>
        <sz val="10.0"/>
      </rPr>
      <t>ဦးတင်မင်းထွဋ်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</si>
  <si>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</si>
  <si>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၂၉၁၄၇</t>
    </r>
  </si>
  <si>
    <r>
      <rPr>
        <rFont val="Myanmar Sangam MN"/>
        <color theme="1"/>
        <sz val="10.0"/>
      </rPr>
      <t>၈၁၄၃</t>
    </r>
  </si>
  <si>
    <r>
      <rPr>
        <rFont val="Myanmar Sangam MN"/>
        <color theme="1"/>
        <sz val="10.0"/>
      </rPr>
      <t>၃၇၂၉၀</t>
    </r>
  </si>
  <si>
    <r>
      <rPr>
        <rFont val="Myanmar Sangam MN"/>
        <b/>
        <color theme="1"/>
        <sz val="9.0"/>
      </rPr>
      <t>၃၉.၈၄%</t>
    </r>
  </si>
  <si>
    <r>
      <rPr>
        <rFont val="Myanmar Sangam MN"/>
        <color theme="1"/>
        <sz val="10.0"/>
      </rPr>
      <t>ဦးေမာင်ဦး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</si>
  <si>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</si>
  <si>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၁၆၁၂</t>
    </r>
  </si>
  <si>
    <r>
      <rPr>
        <rFont val="Myanmar Sangam MN"/>
        <color theme="1"/>
        <sz val="10.0"/>
      </rPr>
      <t>၉၂၉</t>
    </r>
  </si>
  <si>
    <r>
      <rPr>
        <rFont val="Myanmar Sangam MN"/>
        <color theme="1"/>
        <sz val="10.0"/>
      </rPr>
      <t>၂၅၄၁</t>
    </r>
  </si>
  <si>
    <r>
      <rPr>
        <rFont val="Myanmar Sangam MN"/>
        <b/>
        <color theme="1"/>
        <sz val="9.0"/>
      </rPr>
      <t>၂.၇၂%</t>
    </r>
  </si>
  <si>
    <r>
      <rPr>
        <rFont val="Myanmar Sangam MN"/>
        <color theme="1"/>
        <sz val="10.0"/>
      </rPr>
      <t>ဦးညီညီ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</si>
  <si>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</si>
  <si>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၁၃၀၈</t>
    </r>
  </si>
  <si>
    <r>
      <rPr>
        <rFont val="Myanmar Sangam MN"/>
        <color theme="1"/>
        <sz val="10.0"/>
      </rPr>
      <t>၃၆၈</t>
    </r>
  </si>
  <si>
    <r>
      <rPr>
        <rFont val="Myanmar Sangam MN"/>
        <color theme="1"/>
        <sz val="10.0"/>
      </rPr>
      <t>၁၆၇၆</t>
    </r>
  </si>
  <si>
    <r>
      <rPr>
        <rFont val="Myanmar Sangam MN"/>
        <b/>
        <color theme="1"/>
        <sz val="9.0"/>
      </rPr>
      <t>၁.၇၉%</t>
    </r>
  </si>
  <si>
    <r>
      <rPr>
        <rFont val="Myanmar Sangam MN"/>
        <b/>
        <color theme="1"/>
        <sz val="10.0"/>
      </rPr>
      <t>၅၈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</si>
  <si>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</si>
  <si>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၄၇၆၇၈၆</t>
    </r>
  </si>
  <si>
    <r>
      <rPr>
        <rFont val="Myanmar Sangam MN"/>
        <b/>
        <color theme="1"/>
        <sz val="10.0"/>
      </rPr>
      <t>၂၉၃၅၉၀</t>
    </r>
  </si>
  <si>
    <r>
      <rPr>
        <rFont val="Myanmar Sangam MN"/>
        <b/>
        <color theme="1"/>
        <sz val="10.0"/>
      </rPr>
      <t>၈၂၁၅၀</t>
    </r>
  </si>
  <si>
    <r>
      <rPr>
        <rFont val="Myanmar Sangam MN"/>
        <b/>
        <color theme="1"/>
        <sz val="10.0"/>
      </rPr>
      <t>၃၇၅၇၄၀</t>
    </r>
  </si>
  <si>
    <r>
      <rPr>
        <rFont val="Myanmar Sangam MN"/>
        <b/>
        <color theme="1"/>
        <sz val="10.0"/>
      </rPr>
      <t>၇၈.၈၁</t>
    </r>
  </si>
  <si>
    <r>
      <rPr>
        <rFont val="Myanmar Sangam MN"/>
        <b/>
        <color theme="1"/>
        <sz val="10.0"/>
      </rPr>
      <t>၅၈၇၈</t>
    </r>
  </si>
  <si>
    <r>
      <rPr>
        <rFont val="Myanmar Sangam MN"/>
        <b/>
        <color theme="1"/>
        <sz val="10.0"/>
      </rPr>
      <t>၅၈၄</t>
    </r>
  </si>
  <si>
    <r>
      <rPr>
        <rFont val="Myanmar Sangam MN"/>
        <b/>
        <color theme="1"/>
        <sz val="10.0"/>
      </rPr>
      <t>၆၄၆၂</t>
    </r>
  </si>
  <si>
    <r>
      <rPr>
        <rFont val="Myanmar Sangam MN"/>
        <b/>
        <color theme="1"/>
        <sz val="10.0"/>
      </rPr>
      <t>၂၈၇၇၅၅</t>
    </r>
  </si>
  <si>
    <r>
      <rPr>
        <rFont val="Myanmar Sangam MN"/>
        <b/>
        <color theme="1"/>
        <sz val="10.0"/>
      </rPr>
      <t>၈၁၅၂၃</t>
    </r>
  </si>
  <si>
    <r>
      <rPr>
        <rFont val="Myanmar Sangam MN"/>
        <b/>
        <color theme="1"/>
        <sz val="10.0"/>
      </rPr>
      <t>၃၆၉၂၇၈</t>
    </r>
  </si>
  <si>
    <r>
      <rPr>
        <rFont val="Myanmar Sangam MN"/>
        <color theme="1"/>
        <sz val="10.0"/>
      </rPr>
      <t>ေဒါက်တာေအာင်လင်း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</si>
  <si>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</si>
  <si>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၂၃၈၁၂၁</t>
    </r>
  </si>
  <si>
    <r>
      <rPr>
        <rFont val="Myanmar Sangam MN"/>
        <color theme="1"/>
        <sz val="10.0"/>
      </rPr>
      <t>၆၄၈၅၉</t>
    </r>
  </si>
  <si>
    <r>
      <rPr>
        <rFont val="Myanmar Sangam MN"/>
        <color theme="1"/>
        <sz val="10.0"/>
      </rPr>
      <t>၃၀၂၉၈၀</t>
    </r>
  </si>
  <si>
    <r>
      <rPr>
        <rFont val="Myanmar Sangam MN"/>
        <b/>
        <color theme="1"/>
        <sz val="9.0"/>
      </rPr>
      <t>၈၂.၀၅%</t>
    </r>
  </si>
  <si>
    <r>
      <rPr>
        <rFont val="Myanmar Sangam MN"/>
        <color theme="1"/>
        <sz val="10.0"/>
      </rPr>
      <t>ဦးေစာေမာင်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</si>
  <si>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</si>
  <si>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၄၇၈၈၄</t>
    </r>
  </si>
  <si>
    <r>
      <rPr>
        <rFont val="Myanmar Sangam MN"/>
        <color theme="1"/>
        <sz val="10.0"/>
      </rPr>
      <t>၁၅၇၁၉</t>
    </r>
  </si>
  <si>
    <r>
      <rPr>
        <rFont val="Myanmar Sangam MN"/>
        <color theme="1"/>
        <sz val="10.0"/>
      </rPr>
      <t>၆၃၆၀၃</t>
    </r>
  </si>
  <si>
    <r>
      <rPr>
        <rFont val="Myanmar Sangam MN"/>
        <b/>
        <color theme="1"/>
        <sz val="9.0"/>
      </rPr>
      <t>၁၇.၂၂%</t>
    </r>
  </si>
  <si>
    <r>
      <rPr>
        <rFont val="Myanmar Sangam MN"/>
        <color theme="1"/>
        <sz val="10.0"/>
      </rPr>
      <t>ဦးြမင့်ေအာင်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</si>
  <si>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</si>
  <si>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၁၇၅၀</t>
    </r>
  </si>
  <si>
    <r>
      <rPr>
        <rFont val="Myanmar Sangam MN"/>
        <color theme="1"/>
        <sz val="10.0"/>
      </rPr>
      <t>၉၄၅</t>
    </r>
  </si>
  <si>
    <r>
      <rPr>
        <rFont val="Myanmar Sangam MN"/>
        <color theme="1"/>
        <sz val="10.0"/>
      </rPr>
      <t>၂၆၉၅</t>
    </r>
  </si>
  <si>
    <r>
      <rPr>
        <rFont val="Myanmar Sangam MN"/>
        <b/>
        <color theme="1"/>
        <sz val="9.0"/>
      </rPr>
      <t>၀.၇၃%</t>
    </r>
  </si>
  <si>
    <r>
      <rPr>
        <rFont val="Myanmar Sangam MN"/>
        <b/>
        <color theme="1"/>
        <sz val="10.0"/>
      </rPr>
      <t>၅၉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</si>
  <si>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</si>
  <si>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၈၉၅၄၄၂</t>
    </r>
  </si>
  <si>
    <r>
      <rPr>
        <rFont val="Myanmar Sangam MN"/>
        <b/>
        <color theme="1"/>
        <sz val="10.0"/>
      </rPr>
      <t>၅၅၈၀၆၄</t>
    </r>
  </si>
  <si>
    <r>
      <rPr>
        <rFont val="Myanmar Sangam MN"/>
        <b/>
        <color theme="1"/>
        <sz val="10.0"/>
      </rPr>
      <t>၁၆၅၃၃၉</t>
    </r>
  </si>
  <si>
    <r>
      <rPr>
        <rFont val="Myanmar Sangam MN"/>
        <b/>
        <color theme="1"/>
        <sz val="10.0"/>
      </rPr>
      <t>၇၂၃၄၀၃</t>
    </r>
  </si>
  <si>
    <r>
      <rPr>
        <rFont val="Myanmar Sangam MN"/>
        <b/>
        <color theme="1"/>
        <sz val="10.0"/>
      </rPr>
      <t>၈၀.၇၉</t>
    </r>
  </si>
  <si>
    <r>
      <rPr>
        <rFont val="Myanmar Sangam MN"/>
        <b/>
        <color theme="1"/>
        <sz val="10.0"/>
      </rPr>
      <t>၁၁၈၂၈</t>
    </r>
  </si>
  <si>
    <r>
      <rPr>
        <rFont val="Myanmar Sangam MN"/>
        <b/>
        <color theme="1"/>
        <sz val="10.0"/>
      </rPr>
      <t>၁၅၃</t>
    </r>
  </si>
  <si>
    <r>
      <rPr>
        <rFont val="Myanmar Sangam MN"/>
        <b/>
        <color theme="1"/>
        <sz val="10.0"/>
      </rPr>
      <t>၁၁၉၈၁</t>
    </r>
  </si>
  <si>
    <r>
      <rPr>
        <rFont val="Myanmar Sangam MN"/>
        <b/>
        <color theme="1"/>
        <sz val="10.0"/>
      </rPr>
      <t>၅၄၆၁၇၇</t>
    </r>
  </si>
  <si>
    <r>
      <rPr>
        <rFont val="Myanmar Sangam MN"/>
        <b/>
        <color theme="1"/>
        <sz val="10.0"/>
      </rPr>
      <t>၁၆၅၂၄၅</t>
    </r>
  </si>
  <si>
    <r>
      <rPr>
        <rFont val="Myanmar Sangam MN"/>
        <b/>
        <color theme="1"/>
        <sz val="10.0"/>
      </rPr>
      <t>၇၁၁၄၂၂</t>
    </r>
  </si>
  <si>
    <r>
      <rPr>
        <rFont val="Myanmar Sangam MN"/>
        <color theme="1"/>
        <sz val="10.0"/>
      </rPr>
      <t>ေဒခင်စုလင်ေထွး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</si>
  <si>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</si>
  <si>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၄၅၅၀၅၉</t>
    </r>
  </si>
  <si>
    <r>
      <rPr>
        <rFont val="Myanmar Sangam MN"/>
        <color theme="1"/>
        <sz val="10.0"/>
      </rPr>
      <t>၁၃၃၅၀၁</t>
    </r>
  </si>
  <si>
    <r>
      <rPr>
        <rFont val="Myanmar Sangam MN"/>
        <color theme="1"/>
        <sz val="10.0"/>
      </rPr>
      <t>၅၈၈၅၆၀</t>
    </r>
  </si>
  <si>
    <r>
      <rPr>
        <rFont val="Myanmar Sangam MN"/>
        <b/>
        <color theme="1"/>
        <sz val="9.0"/>
      </rPr>
      <t>၈၂.၇၃%</t>
    </r>
  </si>
  <si>
    <r>
      <rPr>
        <rFont val="Myanmar Sangam MN"/>
        <color theme="1"/>
        <sz val="10.0"/>
      </rPr>
      <t>ဦးြမတ်မျးိ ွန 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</si>
  <si>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</si>
  <si>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၈၆၀၄၃</t>
    </r>
  </si>
  <si>
    <r>
      <rPr>
        <rFont val="Myanmar Sangam MN"/>
        <color theme="1"/>
        <sz val="10.0"/>
      </rPr>
      <t>၂၉၆၃၂</t>
    </r>
  </si>
  <si>
    <r>
      <rPr>
        <rFont val="Myanmar Sangam MN"/>
        <color theme="1"/>
        <sz val="10.0"/>
      </rPr>
      <t>၁၁၅၆၇၅</t>
    </r>
  </si>
  <si>
    <r>
      <rPr>
        <rFont val="Myanmar Sangam MN"/>
        <b/>
        <color theme="1"/>
        <sz val="9.0"/>
      </rPr>
      <t>၁၆.၂၆%</t>
    </r>
  </si>
  <si>
    <r>
      <rPr>
        <rFont val="Myanmar Sangam MN"/>
        <color theme="1"/>
        <sz val="10.0"/>
      </rPr>
      <t>ေဒုုေအး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</si>
  <si>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</si>
  <si>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၅၀၇၅</t>
    </r>
  </si>
  <si>
    <r>
      <rPr>
        <rFont val="Myanmar Sangam MN"/>
        <color theme="1"/>
        <sz val="10.0"/>
      </rPr>
      <t>၂၁၁၂</t>
    </r>
  </si>
  <si>
    <r>
      <rPr>
        <rFont val="Myanmar Sangam MN"/>
        <color theme="1"/>
        <sz val="10.0"/>
      </rPr>
      <t>၇၁၈၇</t>
    </r>
  </si>
  <si>
    <r>
      <rPr>
        <rFont val="Myanmar Sangam MN"/>
        <b/>
        <color theme="1"/>
        <sz val="9.0"/>
      </rPr>
      <t>၁.၀၁%</t>
    </r>
  </si>
  <si>
    <r>
      <rPr>
        <rFont val="Myanmar Sangam MN"/>
        <b/>
        <color theme="1"/>
        <sz val="10.0"/>
      </rPr>
      <t>၆၀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</si>
  <si>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</si>
  <si>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၇၆၃၇၆</t>
    </r>
  </si>
  <si>
    <r>
      <rPr>
        <rFont val="Myanmar Sangam MN"/>
        <b/>
        <color theme="1"/>
        <sz val="10.0"/>
      </rPr>
      <t>၄၉၇၅၇</t>
    </r>
  </si>
  <si>
    <r>
      <rPr>
        <rFont val="Myanmar Sangam MN"/>
        <b/>
        <color theme="1"/>
        <sz val="10.0"/>
      </rPr>
      <t>၁၃၄၅၀</t>
    </r>
  </si>
  <si>
    <r>
      <rPr>
        <rFont val="Myanmar Sangam MN"/>
        <b/>
        <color theme="1"/>
        <sz val="10.0"/>
      </rPr>
      <t>၆၃၂၀၇</t>
    </r>
  </si>
  <si>
    <r>
      <rPr>
        <rFont val="Myanmar Sangam MN"/>
        <b/>
        <color theme="1"/>
        <sz val="10.0"/>
      </rPr>
      <t>၈၂.၇၆</t>
    </r>
  </si>
  <si>
    <r>
      <rPr>
        <rFont val="Myanmar Sangam MN"/>
        <b/>
        <color theme="1"/>
        <sz val="10.0"/>
      </rPr>
      <t>၂၇၄၃</t>
    </r>
  </si>
  <si>
    <r>
      <rPr>
        <rFont val="Myanmar Sangam MN"/>
        <b/>
        <color theme="1"/>
        <sz val="10.0"/>
      </rPr>
      <t>၆၅</t>
    </r>
  </si>
  <si>
    <r>
      <rPr>
        <rFont val="Myanmar Sangam MN"/>
        <b/>
        <color theme="1"/>
        <sz val="10.0"/>
      </rPr>
      <t>၂၈၀၈</t>
    </r>
  </si>
  <si>
    <r>
      <rPr>
        <rFont val="Myanmar Sangam MN"/>
        <b/>
        <color theme="1"/>
        <sz val="10.0"/>
      </rPr>
      <t>၄၇၀၁၅</t>
    </r>
  </si>
  <si>
    <r>
      <rPr>
        <rFont val="Myanmar Sangam MN"/>
        <b/>
        <color theme="1"/>
        <sz val="10.0"/>
      </rPr>
      <t>၁၃၃၈၄</t>
    </r>
  </si>
  <si>
    <r>
      <rPr>
        <rFont val="Myanmar Sangam MN"/>
        <b/>
        <color theme="1"/>
        <sz val="10.0"/>
      </rPr>
      <t>၆၀၃၉၉</t>
    </r>
  </si>
  <si>
    <r>
      <rPr>
        <rFont val="Myanmar Sangam MN"/>
        <color theme="1"/>
        <sz val="10.0"/>
      </rPr>
      <t>ဦးမင်းိုင်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</si>
  <si>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</si>
  <si>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၁၈၆၁၉</t>
    </r>
  </si>
  <si>
    <r>
      <rPr>
        <rFont val="Myanmar Sangam MN"/>
        <color theme="1"/>
        <sz val="10.0"/>
      </rPr>
      <t>၅၀၅၂</t>
    </r>
  </si>
  <si>
    <r>
      <rPr>
        <rFont val="Myanmar Sangam MN"/>
        <color theme="1"/>
        <sz val="10.0"/>
      </rPr>
      <t>၂၃၆၇၁</t>
    </r>
  </si>
  <si>
    <r>
      <rPr>
        <rFont val="Myanmar Sangam MN"/>
        <b/>
        <color theme="1"/>
        <sz val="9.0"/>
      </rPr>
      <t>၃၉.၁၉%</t>
    </r>
  </si>
  <si>
    <r>
      <rPr>
        <rFont val="Myanmar Sangam MN"/>
        <color theme="1"/>
        <sz val="10.0"/>
      </rPr>
      <t>ဦးဇင်းဝမ်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</si>
  <si>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</si>
  <si>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၁၅၈၄၇</t>
    </r>
  </si>
  <si>
    <r>
      <rPr>
        <rFont val="Myanmar Sangam MN"/>
        <color theme="1"/>
        <sz val="10.0"/>
      </rPr>
      <t>၅၂၉၉</t>
    </r>
  </si>
  <si>
    <r>
      <rPr>
        <rFont val="Myanmar Sangam MN"/>
        <color theme="1"/>
        <sz val="10.0"/>
      </rPr>
      <t>၂၁၁၄၆</t>
    </r>
  </si>
  <si>
    <r>
      <rPr>
        <rFont val="Myanmar Sangam MN"/>
        <b/>
        <color theme="1"/>
        <sz val="9.0"/>
      </rPr>
      <t>၃၅.၀၁%</t>
    </r>
  </si>
  <si>
    <r>
      <rPr>
        <rFont val="Myanmar Sangam MN"/>
        <color theme="1"/>
        <sz val="10.0"/>
      </rPr>
      <t>ဦးအီေွ</t>
    </r>
  </si>
  <si>
    <r>
      <rPr>
        <rFont val="Myanmar Sangam MN"/>
        <color theme="1"/>
        <sz val="10.0"/>
      </rPr>
      <t>နာဂအမျးိ သားပါတီ</t>
    </r>
  </si>
  <si>
    <r>
      <rPr>
        <rFont val="Myanmar Sangam MN"/>
        <color theme="1"/>
        <sz val="10.0"/>
      </rPr>
      <t>၁၁၁၁၇</t>
    </r>
  </si>
  <si>
    <r>
      <rPr>
        <rFont val="Myanmar Sangam MN"/>
        <color theme="1"/>
        <sz val="10.0"/>
      </rPr>
      <t>၂၅၀၇</t>
    </r>
  </si>
  <si>
    <r>
      <rPr>
        <rFont val="Myanmar Sangam MN"/>
        <color theme="1"/>
        <sz val="10.0"/>
      </rPr>
      <t>၁၃၆၂၄</t>
    </r>
  </si>
  <si>
    <r>
      <rPr>
        <rFont val="Myanmar Sangam MN"/>
        <b/>
        <color theme="1"/>
        <sz val="9.0"/>
      </rPr>
      <t>၂၂.၅၆%</t>
    </r>
  </si>
  <si>
    <r>
      <rPr>
        <rFont val="Myanmar Sangam MN"/>
        <color theme="1"/>
        <sz val="10.0"/>
      </rPr>
      <t>ဦးေစာထွန်း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</si>
  <si>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</si>
  <si>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၁၄၃၂</t>
    </r>
  </si>
  <si>
    <r>
      <rPr>
        <rFont val="Myanmar Sangam MN"/>
        <color theme="1"/>
        <sz val="10.0"/>
      </rPr>
      <t>၅၂၆</t>
    </r>
  </si>
  <si>
    <r>
      <rPr>
        <rFont val="Myanmar Sangam MN"/>
        <color theme="1"/>
        <sz val="10.0"/>
      </rPr>
      <t>၁၉၅၈</t>
    </r>
  </si>
  <si>
    <r>
      <rPr>
        <rFont val="Myanmar Sangam MN"/>
        <b/>
        <color theme="1"/>
        <sz val="9.0"/>
      </rPr>
      <t>၃.၂၄%</t>
    </r>
  </si>
  <si>
    <r>
      <rPr>
        <rFont val="Myanmar Sangam MN"/>
        <b/>
        <color theme="1"/>
        <sz val="10.0"/>
      </rPr>
      <t>တနသာရီတိုင်းေဒသကီး</t>
    </r>
  </si>
  <si>
    <r>
      <rPr>
        <rFont val="Myanmar Sangam MN"/>
        <b/>
        <color theme="1"/>
        <sz val="10.0"/>
      </rPr>
      <t>၁၁၉၁၈၉၀</t>
    </r>
  </si>
  <si>
    <r>
      <rPr>
        <rFont val="Myanmar Sangam MN"/>
        <b/>
        <color theme="1"/>
        <sz val="10.0"/>
      </rPr>
      <t>၆၂၂၈၁၁</t>
    </r>
  </si>
  <si>
    <r>
      <rPr>
        <rFont val="Myanmar Sangam MN"/>
        <b/>
        <color theme="1"/>
        <sz val="10.0"/>
      </rPr>
      <t>၁၆၇၅၁၆</t>
    </r>
  </si>
  <si>
    <r>
      <rPr>
        <rFont val="Myanmar Sangam MN"/>
        <b/>
        <color theme="1"/>
        <sz val="10.0"/>
      </rPr>
      <t>၇၉၀၃၂၇</t>
    </r>
  </si>
  <si>
    <r>
      <rPr>
        <rFont val="Myanmar Sangam MN"/>
        <b/>
        <color theme="1"/>
        <sz val="10.0"/>
      </rPr>
      <t>၆၆.၃၁</t>
    </r>
  </si>
  <si>
    <r>
      <rPr>
        <rFont val="Myanmar Sangam MN"/>
        <b/>
        <color theme="1"/>
        <sz val="10.0"/>
      </rPr>
      <t>၂၄၄၁၉</t>
    </r>
  </si>
  <si>
    <r>
      <rPr>
        <rFont val="Myanmar Sangam MN"/>
        <b/>
        <color theme="1"/>
        <sz val="10.0"/>
      </rPr>
      <t>၈၀၇</t>
    </r>
  </si>
  <si>
    <r>
      <rPr>
        <rFont val="Myanmar Sangam MN"/>
        <b/>
        <color theme="1"/>
        <sz val="10.0"/>
      </rPr>
      <t>၂၅၂၂၆</t>
    </r>
  </si>
  <si>
    <r>
      <rPr>
        <rFont val="Myanmar Sangam MN"/>
        <b/>
        <color theme="1"/>
        <sz val="10.0"/>
      </rPr>
      <t>၆၀၁၀၄၅</t>
    </r>
  </si>
  <si>
    <r>
      <rPr>
        <rFont val="Myanmar Sangam MN"/>
        <b/>
        <color theme="1"/>
        <sz val="10.0"/>
      </rPr>
      <t>၁၆၄၀၅၆</t>
    </r>
  </si>
  <si>
    <r>
      <rPr>
        <rFont val="Myanmar Sangam MN"/>
        <b/>
        <color theme="1"/>
        <sz val="10.0"/>
      </rPr>
      <t>၇၆၅၁၀၁</t>
    </r>
  </si>
  <si>
    <r>
      <rPr>
        <rFont val="Myanmar Sangam MN"/>
        <b/>
        <color theme="1"/>
        <sz val="10.0"/>
      </rPr>
      <t>၆၁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</si>
  <si>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</si>
  <si>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၁၁၂၅၈၉</t>
    </r>
  </si>
  <si>
    <r>
      <rPr>
        <rFont val="Myanmar Sangam MN"/>
        <b/>
        <color theme="1"/>
        <sz val="10.0"/>
      </rPr>
      <t>၅၁၂၈၃</t>
    </r>
  </si>
  <si>
    <r>
      <rPr>
        <rFont val="Myanmar Sangam MN"/>
        <b/>
        <color theme="1"/>
        <sz val="10.0"/>
      </rPr>
      <t>၁၃၄၃၆</t>
    </r>
  </si>
  <si>
    <r>
      <rPr>
        <rFont val="Myanmar Sangam MN"/>
        <b/>
        <color theme="1"/>
        <sz val="10.0"/>
      </rPr>
      <t>၆၄၇၁၉</t>
    </r>
  </si>
  <si>
    <r>
      <rPr>
        <rFont val="Myanmar Sangam MN"/>
        <b/>
        <color theme="1"/>
        <sz val="10.0"/>
      </rPr>
      <t>၅၇.၄၈</t>
    </r>
  </si>
  <si>
    <r>
      <rPr>
        <rFont val="Myanmar Sangam MN"/>
        <b/>
        <color theme="1"/>
        <sz val="10.0"/>
      </rPr>
      <t>၂၀၃၅</t>
    </r>
  </si>
  <si>
    <r>
      <rPr>
        <rFont val="Myanmar Sangam MN"/>
        <b/>
        <color theme="1"/>
        <sz val="10.0"/>
      </rPr>
      <t>၂၄</t>
    </r>
  </si>
  <si>
    <r>
      <rPr>
        <rFont val="Myanmar Sangam MN"/>
        <b/>
        <color theme="1"/>
        <sz val="10.0"/>
      </rPr>
      <t>၂၀၅၉</t>
    </r>
  </si>
  <si>
    <r>
      <rPr>
        <rFont val="Myanmar Sangam MN"/>
        <b/>
        <color theme="1"/>
        <sz val="10.0"/>
      </rPr>
      <t>၄၉၂၂၄</t>
    </r>
  </si>
  <si>
    <r>
      <rPr>
        <rFont val="Myanmar Sangam MN"/>
        <b/>
        <color theme="1"/>
        <sz val="10.0"/>
      </rPr>
      <t>၁၃၄၃၆</t>
    </r>
  </si>
  <si>
    <r>
      <rPr>
        <rFont val="Myanmar Sangam MN"/>
        <b/>
        <color theme="1"/>
        <sz val="10.0"/>
      </rPr>
      <t>၆၂၆၆၀</t>
    </r>
  </si>
  <si>
    <r>
      <rPr>
        <rFont val="Myanmar Sangam MN"/>
        <color theme="1"/>
        <sz val="10.0"/>
      </rPr>
      <t>ေဒါက်တာဝင်းထိန်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</si>
  <si>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</si>
  <si>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၃၇၂၁၃</t>
    </r>
  </si>
  <si>
    <r>
      <rPr>
        <rFont val="Myanmar Sangam MN"/>
        <color theme="1"/>
        <sz val="10.0"/>
      </rPr>
      <t>၈၁၆၄</t>
    </r>
  </si>
  <si>
    <r>
      <rPr>
        <rFont val="Myanmar Sangam MN"/>
        <color theme="1"/>
        <sz val="10.0"/>
      </rPr>
      <t>၄၅၃၇၇</t>
    </r>
  </si>
  <si>
    <r>
      <rPr>
        <rFont val="Myanmar Sangam MN"/>
        <b/>
        <color theme="1"/>
        <sz val="9.0"/>
      </rPr>
      <t>၇၂.၄၂%</t>
    </r>
  </si>
  <si>
    <r>
      <rPr>
        <rFont val="Myanmar Sangam MN"/>
        <color theme="1"/>
        <sz val="10.0"/>
      </rPr>
      <t>ဦးလှေအး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</si>
  <si>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</si>
  <si>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၈၄၂၃</t>
    </r>
  </si>
  <si>
    <r>
      <rPr>
        <rFont val="Myanmar Sangam MN"/>
        <color theme="1"/>
        <sz val="10.0"/>
      </rPr>
      <t>၃၆၉၀</t>
    </r>
  </si>
  <si>
    <r>
      <rPr>
        <rFont val="Myanmar Sangam MN"/>
        <color theme="1"/>
        <sz val="10.0"/>
      </rPr>
      <t>၁၂၁၁၃</t>
    </r>
  </si>
  <si>
    <r>
      <rPr>
        <rFont val="Myanmar Sangam MN"/>
        <b/>
        <color theme="1"/>
        <sz val="9.0"/>
      </rPr>
      <t>၁၉.၃၃%</t>
    </r>
  </si>
  <si>
    <r>
      <rPr>
        <rFont val="Myanmar Sangam MN"/>
        <color theme="1"/>
        <sz val="10.0"/>
      </rPr>
      <t>ေဒခင်ခင်ေဝ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</si>
  <si>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</si>
  <si>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၁၈၆၉</t>
    </r>
  </si>
  <si>
    <r>
      <rPr>
        <rFont val="Myanmar Sangam MN"/>
        <color theme="1"/>
        <sz val="10.0"/>
      </rPr>
      <t>၈၅၀</t>
    </r>
  </si>
  <si>
    <r>
      <rPr>
        <rFont val="Myanmar Sangam MN"/>
        <color theme="1"/>
        <sz val="10.0"/>
      </rPr>
      <t>၂၇၁၉</t>
    </r>
  </si>
  <si>
    <r>
      <rPr>
        <rFont val="Myanmar Sangam MN"/>
        <b/>
        <color theme="1"/>
        <sz val="9.0"/>
      </rPr>
      <t>၄.၃၄%</t>
    </r>
  </si>
  <si>
    <r>
      <rPr>
        <rFont val="Myanmar Sangam MN"/>
        <color theme="1"/>
        <sz val="10.0"/>
      </rPr>
      <t>ဦးေကျာ်သန်း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</si>
  <si>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</si>
  <si>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၉၉၃</t>
    </r>
  </si>
  <si>
    <r>
      <rPr>
        <rFont val="Myanmar Sangam MN"/>
        <color theme="1"/>
        <sz val="10.0"/>
      </rPr>
      <t>၃၈၇</t>
    </r>
  </si>
  <si>
    <r>
      <rPr>
        <rFont val="Myanmar Sangam MN"/>
        <color theme="1"/>
        <sz val="10.0"/>
      </rPr>
      <t>၁၃၈၀</t>
    </r>
  </si>
  <si>
    <r>
      <rPr>
        <rFont val="Myanmar Sangam MN"/>
        <b/>
        <color theme="1"/>
        <sz val="9.0"/>
      </rPr>
      <t>၂.၂၀%</t>
    </r>
  </si>
  <si>
    <r>
      <rPr>
        <rFont val="Myanmar Sangam MN"/>
        <color theme="1"/>
        <sz val="10.0"/>
      </rPr>
      <t>ဦးဝင်းေမာင်(ခ) ဦးေဖာ်စူရာမ်</t>
    </r>
  </si>
  <si>
    <r>
      <rPr>
        <rFont val="Myanmar Sangam MN"/>
        <color theme="1"/>
        <sz val="10.0"/>
      </rPr>
      <t>ြပည်ေထာင်စုလယ်သမားအလုပ်သမား အင်အားစုပါတီ</t>
    </r>
  </si>
  <si>
    <r>
      <rPr>
        <rFont val="Myanmar Sangam MN"/>
        <color theme="1"/>
        <sz val="10.0"/>
      </rPr>
      <t>၄၄၁</t>
    </r>
  </si>
  <si>
    <r>
      <rPr>
        <rFont val="Myanmar Sangam MN"/>
        <color theme="1"/>
        <sz val="10.0"/>
      </rPr>
      <t>၁၆၀</t>
    </r>
  </si>
  <si>
    <r>
      <rPr>
        <rFont val="Myanmar Sangam MN"/>
        <color theme="1"/>
        <sz val="10.0"/>
      </rPr>
      <t>၆၀၁</t>
    </r>
  </si>
  <si>
    <r>
      <rPr>
        <rFont val="Myanmar Sangam MN"/>
        <b/>
        <color theme="1"/>
        <sz val="9.0"/>
      </rPr>
      <t>၀.၉၆%</t>
    </r>
  </si>
  <si>
    <r>
      <rPr>
        <rFont val="Myanmar Sangam MN"/>
        <color theme="1"/>
        <sz val="10.0"/>
      </rPr>
      <t>ေဒချဝိ   င်း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</si>
  <si>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</si>
  <si>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၂၈၅</t>
    </r>
  </si>
  <si>
    <r>
      <rPr>
        <rFont val="Myanmar Sangam MN"/>
        <color theme="1"/>
        <sz val="10.0"/>
      </rPr>
      <t>၁၈၅</t>
    </r>
  </si>
  <si>
    <r>
      <rPr>
        <rFont val="Myanmar Sangam MN"/>
        <color theme="1"/>
        <sz val="10.0"/>
      </rPr>
      <t>၄၇၀</t>
    </r>
  </si>
  <si>
    <r>
      <rPr>
        <rFont val="Myanmar Sangam MN"/>
        <b/>
        <color theme="1"/>
        <sz val="9.0"/>
      </rPr>
      <t>၀.၇၅%</t>
    </r>
  </si>
  <si>
    <r>
      <rPr>
        <rFont val="Myanmar Sangam MN"/>
        <b/>
        <color theme="1"/>
        <sz val="10.0"/>
      </rPr>
      <t>၆၂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</si>
  <si>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</si>
  <si>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၅၉၀၉၉</t>
    </r>
  </si>
  <si>
    <r>
      <rPr>
        <rFont val="Myanmar Sangam MN"/>
        <b/>
        <color theme="1"/>
        <sz val="10.0"/>
      </rPr>
      <t>၃၇၆၆၉</t>
    </r>
  </si>
  <si>
    <r>
      <rPr>
        <rFont val="Myanmar Sangam MN"/>
        <b/>
        <color theme="1"/>
        <sz val="10.0"/>
      </rPr>
      <t>၅၂၁၇</t>
    </r>
  </si>
  <si>
    <r>
      <rPr>
        <rFont val="Myanmar Sangam MN"/>
        <b/>
        <color theme="1"/>
        <sz val="10.0"/>
      </rPr>
      <t>၄၂၈၈၆</t>
    </r>
  </si>
  <si>
    <r>
      <rPr>
        <rFont val="Myanmar Sangam MN"/>
        <b/>
        <color theme="1"/>
        <sz val="10.0"/>
      </rPr>
      <t>၇၂.၅၇</t>
    </r>
  </si>
  <si>
    <r>
      <rPr>
        <rFont val="Myanmar Sangam MN"/>
        <b/>
        <color theme="1"/>
        <sz val="10.0"/>
      </rPr>
      <t>၂၄၉၃</t>
    </r>
  </si>
  <si>
    <r>
      <rPr>
        <rFont val="Myanmar Sangam MN"/>
        <b/>
        <color theme="1"/>
        <sz val="10.0"/>
      </rPr>
      <t>၇</t>
    </r>
  </si>
  <si>
    <r>
      <rPr>
        <rFont val="Myanmar Sangam MN"/>
        <b/>
        <color theme="1"/>
        <sz val="10.0"/>
      </rPr>
      <t>၂၅၀၀</t>
    </r>
  </si>
  <si>
    <r>
      <rPr>
        <rFont val="Myanmar Sangam MN"/>
        <b/>
        <color theme="1"/>
        <sz val="10.0"/>
      </rPr>
      <t>၃၅၃၂၅</t>
    </r>
  </si>
  <si>
    <r>
      <rPr>
        <rFont val="Myanmar Sangam MN"/>
        <b/>
        <color theme="1"/>
        <sz val="10.0"/>
      </rPr>
      <t>၅၀၆၁</t>
    </r>
  </si>
  <si>
    <r>
      <rPr>
        <rFont val="Myanmar Sangam MN"/>
        <b/>
        <color theme="1"/>
        <sz val="10.0"/>
      </rPr>
      <t>၄၀၃၈၆</t>
    </r>
  </si>
  <si>
    <r>
      <rPr>
        <rFont val="Myanmar Sangam MN"/>
        <color theme="1"/>
        <sz val="10.0"/>
      </rPr>
      <t>ဦးခင်မျးိ 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</si>
  <si>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</si>
  <si>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၂၅၃၁၉</t>
    </r>
  </si>
  <si>
    <r>
      <rPr>
        <rFont val="Myanmar Sangam MN"/>
        <color theme="1"/>
        <sz val="10.0"/>
      </rPr>
      <t>၂၈၀၆</t>
    </r>
  </si>
  <si>
    <r>
      <rPr>
        <rFont val="Myanmar Sangam MN"/>
        <color theme="1"/>
        <sz val="10.0"/>
      </rPr>
      <t>၂၈၁၂၅</t>
    </r>
  </si>
  <si>
    <r>
      <rPr>
        <rFont val="Myanmar Sangam MN"/>
        <b/>
        <color theme="1"/>
        <sz val="9.0"/>
      </rPr>
      <t>၆၉.၆၄%</t>
    </r>
  </si>
  <si>
    <r>
      <rPr>
        <rFont val="Myanmar Sangam MN"/>
        <color theme="1"/>
        <sz val="10.0"/>
      </rPr>
      <t>ဦးထွန်းေအး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</si>
  <si>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</si>
  <si>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၉၀၃၀</t>
    </r>
  </si>
  <si>
    <r>
      <rPr>
        <rFont val="Myanmar Sangam MN"/>
        <color theme="1"/>
        <sz val="10.0"/>
      </rPr>
      <t>၂၀၉၁</t>
    </r>
  </si>
  <si>
    <r>
      <rPr>
        <rFont val="Myanmar Sangam MN"/>
        <color theme="1"/>
        <sz val="10.0"/>
      </rPr>
      <t>၁၁၁၂၁</t>
    </r>
  </si>
  <si>
    <r>
      <rPr>
        <rFont val="Myanmar Sangam MN"/>
        <b/>
        <color theme="1"/>
        <sz val="9.0"/>
      </rPr>
      <t>၂၇.၅၄%</t>
    </r>
  </si>
  <si>
    <r>
      <rPr>
        <rFont val="Myanmar Sangam MN"/>
        <color theme="1"/>
        <sz val="10.0"/>
      </rPr>
      <t>ဦးသန်းေဆွ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</si>
  <si>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</si>
  <si>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၉၇၆</t>
    </r>
  </si>
  <si>
    <r>
      <rPr>
        <rFont val="Myanmar Sangam MN"/>
        <color theme="1"/>
        <sz val="10.0"/>
      </rPr>
      <t>၁၆၄</t>
    </r>
  </si>
  <si>
    <r>
      <rPr>
        <rFont val="Myanmar Sangam MN"/>
        <color theme="1"/>
        <sz val="10.0"/>
      </rPr>
      <t>၁၁၄၀</t>
    </r>
  </si>
  <si>
    <r>
      <rPr>
        <rFont val="Myanmar Sangam MN"/>
        <b/>
        <color theme="1"/>
        <sz val="9.0"/>
      </rPr>
      <t>၂.၈၂%</t>
    </r>
  </si>
  <si>
    <r>
      <rPr>
        <rFont val="Myanmar Sangam MN"/>
        <b/>
        <color theme="1"/>
        <sz val="10.0"/>
      </rPr>
      <t>၆၃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</si>
  <si>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</si>
  <si>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၁၃၄၇၂၃</t>
    </r>
  </si>
  <si>
    <r>
      <rPr>
        <rFont val="Myanmar Sangam MN"/>
        <b/>
        <color theme="1"/>
        <sz val="10.0"/>
      </rPr>
      <t>၆၀၅၅၆</t>
    </r>
  </si>
  <si>
    <r>
      <rPr>
        <rFont val="Myanmar Sangam MN"/>
        <b/>
        <color theme="1"/>
        <sz val="10.0"/>
      </rPr>
      <t>၂၄၂၇၃</t>
    </r>
  </si>
  <si>
    <r>
      <rPr>
        <rFont val="Myanmar Sangam MN"/>
        <b/>
        <color theme="1"/>
        <sz val="10.0"/>
      </rPr>
      <t>၈၄၈၂၉</t>
    </r>
  </si>
  <si>
    <r>
      <rPr>
        <rFont val="Myanmar Sangam MN"/>
        <b/>
        <color theme="1"/>
        <sz val="10.0"/>
      </rPr>
      <t>၆၂.၉၇</t>
    </r>
  </si>
  <si>
    <r>
      <rPr>
        <rFont val="Myanmar Sangam MN"/>
        <b/>
        <color theme="1"/>
        <sz val="10.0"/>
      </rPr>
      <t>၂၅၁</t>
    </r>
  </si>
  <si>
    <r>
      <rPr>
        <rFont val="Myanmar Sangam MN"/>
        <b/>
        <color theme="1"/>
        <sz val="10.0"/>
      </rPr>
      <t>၅</t>
    </r>
  </si>
  <si>
    <r>
      <rPr>
        <rFont val="Myanmar Sangam MN"/>
        <b/>
        <color theme="1"/>
        <sz val="10.0"/>
      </rPr>
      <t>၂၅၆</t>
    </r>
  </si>
  <si>
    <r>
      <rPr>
        <rFont val="Myanmar Sangam MN"/>
        <b/>
        <color theme="1"/>
        <sz val="10.0"/>
      </rPr>
      <t>၆၀၃၃၂</t>
    </r>
  </si>
  <si>
    <r>
      <rPr>
        <rFont val="Myanmar Sangam MN"/>
        <b/>
        <color theme="1"/>
        <sz val="10.0"/>
      </rPr>
      <t>၂၄၂၄၁</t>
    </r>
  </si>
  <si>
    <r>
      <rPr>
        <rFont val="Myanmar Sangam MN"/>
        <b/>
        <color theme="1"/>
        <sz val="10.0"/>
      </rPr>
      <t>၈၄၅၇၃</t>
    </r>
  </si>
  <si>
    <r>
      <rPr>
        <rFont val="Myanmar Sangam MN"/>
        <color theme="1"/>
        <sz val="10.0"/>
      </rPr>
      <t>ေဒချခိ  ျလွင်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</si>
  <si>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</si>
  <si>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၄၉၄၈၆</t>
    </r>
  </si>
  <si>
    <r>
      <rPr>
        <rFont val="Myanmar Sangam MN"/>
        <color theme="1"/>
        <sz val="10.0"/>
      </rPr>
      <t>၁၇၁၄၇</t>
    </r>
  </si>
  <si>
    <r>
      <rPr>
        <rFont val="Myanmar Sangam MN"/>
        <color theme="1"/>
        <sz val="10.0"/>
      </rPr>
      <t>၆၆၆၃၃</t>
    </r>
  </si>
  <si>
    <r>
      <rPr>
        <rFont val="Myanmar Sangam MN"/>
        <b/>
        <color theme="1"/>
        <sz val="9.0"/>
      </rPr>
      <t>၇၈.၇၉%</t>
    </r>
  </si>
  <si>
    <r>
      <rPr>
        <rFont val="Myanmar Sangam MN"/>
        <color theme="1"/>
        <sz val="10.0"/>
      </rPr>
      <t>ဦးယုိုင်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</si>
  <si>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</si>
  <si>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၈၂၈၀</t>
    </r>
  </si>
  <si>
    <r>
      <rPr>
        <rFont val="Myanmar Sangam MN"/>
        <color theme="1"/>
        <sz val="10.0"/>
      </rPr>
      <t>၅၇၉၇</t>
    </r>
  </si>
  <si>
    <r>
      <rPr>
        <rFont val="Myanmar Sangam MN"/>
        <color theme="1"/>
        <sz val="10.0"/>
      </rPr>
      <t>၁၄၀၇၇</t>
    </r>
  </si>
  <si>
    <r>
      <rPr>
        <rFont val="Myanmar Sangam MN"/>
        <b/>
        <color theme="1"/>
        <sz val="9.0"/>
      </rPr>
      <t>၁၆.၆၄%</t>
    </r>
  </si>
  <si>
    <r>
      <rPr>
        <rFont val="Myanmar Sangam MN"/>
        <color theme="1"/>
        <sz val="10.0"/>
      </rPr>
      <t>ေနာ်ေချာေချာေဝ</t>
    </r>
  </si>
  <si>
    <r>
      <rPr>
        <rFont val="Myanmar Sangam MN"/>
        <color theme="1"/>
        <sz val="10.0"/>
      </rPr>
      <t>ကရင်ြပည်သူ ပါတီ</t>
    </r>
  </si>
  <si>
    <r>
      <rPr>
        <rFont val="Myanmar Sangam MN"/>
        <color theme="1"/>
        <sz val="10.0"/>
      </rPr>
      <t>၁၃၀၅</t>
    </r>
  </si>
  <si>
    <r>
      <rPr>
        <rFont val="Myanmar Sangam MN"/>
        <color theme="1"/>
        <sz val="10.0"/>
      </rPr>
      <t>၅၆၄</t>
    </r>
  </si>
  <si>
    <r>
      <rPr>
        <rFont val="Myanmar Sangam MN"/>
        <color theme="1"/>
        <sz val="10.0"/>
      </rPr>
      <t>၁၈၆၉</t>
    </r>
  </si>
  <si>
    <r>
      <rPr>
        <rFont val="Myanmar Sangam MN"/>
        <b/>
        <color theme="1"/>
        <sz val="9.0"/>
      </rPr>
      <t>၂.၂၁%</t>
    </r>
  </si>
  <si>
    <r>
      <rPr>
        <rFont val="Myanmar Sangam MN"/>
        <color theme="1"/>
        <sz val="10.0"/>
      </rPr>
      <t>ဦးြမင့်သိန်း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</si>
  <si>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</si>
  <si>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၆၅၃</t>
    </r>
  </si>
  <si>
    <r>
      <rPr>
        <rFont val="Myanmar Sangam MN"/>
        <color theme="1"/>
        <sz val="10.0"/>
      </rPr>
      <t>၄၆၄</t>
    </r>
  </si>
  <si>
    <r>
      <rPr>
        <rFont val="Myanmar Sangam MN"/>
        <color theme="1"/>
        <sz val="10.0"/>
      </rPr>
      <t>၁၁၁၇</t>
    </r>
  </si>
  <si>
    <r>
      <rPr>
        <rFont val="Myanmar Sangam MN"/>
        <b/>
        <color theme="1"/>
        <sz val="9.0"/>
      </rPr>
      <t>၁.၃၂%</t>
    </r>
  </si>
  <si>
    <r>
      <rPr>
        <rFont val="Myanmar Sangam MN"/>
        <color theme="1"/>
        <sz val="10.0"/>
      </rPr>
      <t>ဦးေအာင်မျးိ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</si>
  <si>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</si>
  <si>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၆၀၈</t>
    </r>
  </si>
  <si>
    <r>
      <rPr>
        <rFont val="Myanmar Sangam MN"/>
        <color theme="1"/>
        <sz val="10.0"/>
      </rPr>
      <t>၂၆၉</t>
    </r>
  </si>
  <si>
    <r>
      <rPr>
        <rFont val="Myanmar Sangam MN"/>
        <color theme="1"/>
        <sz val="10.0"/>
      </rPr>
      <t>၈၇၇</t>
    </r>
  </si>
  <si>
    <r>
      <rPr>
        <rFont val="Myanmar Sangam MN"/>
        <b/>
        <color theme="1"/>
        <sz val="9.0"/>
      </rPr>
      <t>၁.၀၄%</t>
    </r>
  </si>
  <si>
    <r>
      <rPr>
        <rFont val="Myanmar Sangam MN"/>
        <b/>
        <color theme="1"/>
        <sz val="10.0"/>
      </rPr>
      <t>၆၄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</si>
  <si>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</si>
  <si>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၁၁၄၁၇၄</t>
    </r>
  </si>
  <si>
    <r>
      <rPr>
        <rFont val="Myanmar Sangam MN"/>
        <b/>
        <color theme="1"/>
        <sz val="10.0"/>
      </rPr>
      <t>၅၄၀၃၅</t>
    </r>
  </si>
  <si>
    <r>
      <rPr>
        <rFont val="Myanmar Sangam MN"/>
        <b/>
        <color theme="1"/>
        <sz val="10.0"/>
      </rPr>
      <t>၁၇၀၃၂</t>
    </r>
  </si>
  <si>
    <r>
      <rPr>
        <rFont val="Myanmar Sangam MN"/>
        <b/>
        <color theme="1"/>
        <sz val="10.0"/>
      </rPr>
      <t>၇၁၀၆၇</t>
    </r>
  </si>
  <si>
    <r>
      <rPr>
        <rFont val="Myanmar Sangam MN"/>
        <b/>
        <color theme="1"/>
        <sz val="10.0"/>
      </rPr>
      <t>၆၂.၂၄</t>
    </r>
  </si>
  <si>
    <r>
      <rPr>
        <rFont val="Myanmar Sangam MN"/>
        <b/>
        <color theme="1"/>
        <sz val="10.0"/>
      </rPr>
      <t>၄၅၉၈</t>
    </r>
  </si>
  <si>
    <r>
      <rPr>
        <rFont val="Myanmar Sangam MN"/>
        <b/>
        <color theme="1"/>
        <sz val="10.0"/>
      </rPr>
      <t>၁၀</t>
    </r>
  </si>
  <si>
    <r>
      <rPr>
        <rFont val="Myanmar Sangam MN"/>
        <b/>
        <color theme="1"/>
        <sz val="10.0"/>
      </rPr>
      <t>၄၆၀၈</t>
    </r>
  </si>
  <si>
    <r>
      <rPr>
        <rFont val="Myanmar Sangam MN"/>
        <b/>
        <color theme="1"/>
        <sz val="10.0"/>
      </rPr>
      <t>၅၀၁၂၉</t>
    </r>
  </si>
  <si>
    <r>
      <rPr>
        <rFont val="Myanmar Sangam MN"/>
        <b/>
        <color theme="1"/>
        <sz val="10.0"/>
      </rPr>
      <t>၁၆၃၃၀</t>
    </r>
  </si>
  <si>
    <r>
      <rPr>
        <rFont val="Myanmar Sangam MN"/>
        <b/>
        <color theme="1"/>
        <sz val="10.0"/>
      </rPr>
      <t>၆၆၄၅၉</t>
    </r>
  </si>
  <si>
    <r>
      <rPr>
        <rFont val="Myanmar Sangam MN"/>
        <color theme="1"/>
        <sz val="10.0"/>
      </rPr>
      <t>ဦးေကျာ်ေဇယျာစိုး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</si>
  <si>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</si>
  <si>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၃၉၀၄၇</t>
    </r>
  </si>
  <si>
    <r>
      <rPr>
        <rFont val="Myanmar Sangam MN"/>
        <color theme="1"/>
        <sz val="10.0"/>
      </rPr>
      <t>၁၁၁၂၅</t>
    </r>
  </si>
  <si>
    <r>
      <rPr>
        <rFont val="Myanmar Sangam MN"/>
        <color theme="1"/>
        <sz val="10.0"/>
      </rPr>
      <t>၅၀၁၇၂</t>
    </r>
  </si>
  <si>
    <r>
      <rPr>
        <rFont val="Myanmar Sangam MN"/>
        <b/>
        <color theme="1"/>
        <sz val="9.0"/>
      </rPr>
      <t>၇၅.၄၉%</t>
    </r>
  </si>
  <si>
    <r>
      <rPr>
        <rFont val="Myanmar Sangam MN"/>
        <color theme="1"/>
        <sz val="10.0"/>
      </rPr>
      <t>ဦးေမာင်စိန်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</si>
  <si>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</si>
  <si>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၈၅၄၉</t>
    </r>
  </si>
  <si>
    <r>
      <rPr>
        <rFont val="Myanmar Sangam MN"/>
        <color theme="1"/>
        <sz val="10.0"/>
      </rPr>
      <t>၄၁၇၈</t>
    </r>
  </si>
  <si>
    <r>
      <rPr>
        <rFont val="Myanmar Sangam MN"/>
        <color theme="1"/>
        <sz val="10.0"/>
      </rPr>
      <t>၁၂၇၂၇</t>
    </r>
  </si>
  <si>
    <r>
      <rPr>
        <rFont val="Myanmar Sangam MN"/>
        <b/>
        <color theme="1"/>
        <sz val="9.0"/>
      </rPr>
      <t>၁၉.၁၅%</t>
    </r>
  </si>
  <si>
    <r>
      <rPr>
        <rFont val="Myanmar Sangam MN"/>
        <color theme="1"/>
        <sz val="10.0"/>
      </rPr>
      <t>ေဒသန်းသန်းွယ်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</si>
  <si>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</si>
  <si>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၁၄၀၆</t>
    </r>
  </si>
  <si>
    <r>
      <rPr>
        <rFont val="Myanmar Sangam MN"/>
        <color theme="1"/>
        <sz val="10.0"/>
      </rPr>
      <t>၅၃၀</t>
    </r>
  </si>
  <si>
    <r>
      <rPr>
        <rFont val="Myanmar Sangam MN"/>
        <color theme="1"/>
        <sz val="10.0"/>
      </rPr>
      <t>၁၉၃၆</t>
    </r>
  </si>
  <si>
    <r>
      <rPr>
        <rFont val="Myanmar Sangam MN"/>
        <b/>
        <color theme="1"/>
        <sz val="9.0"/>
      </rPr>
      <t>၂.၉၁%</t>
    </r>
  </si>
  <si>
    <r>
      <rPr>
        <rFont val="Myanmar Sangam MN"/>
        <color theme="1"/>
        <sz val="10.0"/>
      </rPr>
      <t>ဦးယူသိန်း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</si>
  <si>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</si>
  <si>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၁၁၂၇</t>
    </r>
  </si>
  <si>
    <r>
      <rPr>
        <rFont val="Myanmar Sangam MN"/>
        <color theme="1"/>
        <sz val="10.0"/>
      </rPr>
      <t>၄၉၇</t>
    </r>
  </si>
  <si>
    <r>
      <rPr>
        <rFont val="Myanmar Sangam MN"/>
        <color theme="1"/>
        <sz val="10.0"/>
      </rPr>
      <t>၁၆၂၄</t>
    </r>
  </si>
  <si>
    <r>
      <rPr>
        <rFont val="Myanmar Sangam MN"/>
        <b/>
        <color theme="1"/>
        <sz val="9.0"/>
      </rPr>
      <t>၂.၄၅%</t>
    </r>
  </si>
  <si>
    <r>
      <rPr>
        <rFont val="Myanmar Sangam MN"/>
        <b/>
        <color theme="1"/>
        <sz val="10.0"/>
      </rPr>
      <t>၆၅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</si>
  <si>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</si>
  <si>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၁၂၇၅၇၄</t>
    </r>
  </si>
  <si>
    <r>
      <rPr>
        <rFont val="Myanmar Sangam MN"/>
        <b/>
        <color theme="1"/>
        <sz val="10.0"/>
      </rPr>
      <t>၅၇၆၄၁</t>
    </r>
  </si>
  <si>
    <r>
      <rPr>
        <rFont val="Myanmar Sangam MN"/>
        <b/>
        <color theme="1"/>
        <sz val="10.0"/>
      </rPr>
      <t>၁၈၅၄၈</t>
    </r>
  </si>
  <si>
    <r>
      <rPr>
        <rFont val="Myanmar Sangam MN"/>
        <b/>
        <color theme="1"/>
        <sz val="10.0"/>
      </rPr>
      <t>၇၆၁၈၉</t>
    </r>
  </si>
  <si>
    <r>
      <rPr>
        <rFont val="Myanmar Sangam MN"/>
        <b/>
        <color theme="1"/>
        <sz val="10.0"/>
      </rPr>
      <t>၅၉.၇၂</t>
    </r>
  </si>
  <si>
    <r>
      <rPr>
        <rFont val="Myanmar Sangam MN"/>
        <b/>
        <color theme="1"/>
        <sz val="10.0"/>
      </rPr>
      <t>၁၀၀၅</t>
    </r>
  </si>
  <si>
    <r>
      <rPr>
        <rFont val="Myanmar Sangam MN"/>
        <b/>
        <color theme="1"/>
        <sz val="10.0"/>
      </rPr>
      <t>၂၄</t>
    </r>
  </si>
  <si>
    <r>
      <rPr>
        <rFont val="Myanmar Sangam MN"/>
        <b/>
        <color theme="1"/>
        <sz val="10.0"/>
      </rPr>
      <t>၁၀၂၉</t>
    </r>
  </si>
  <si>
    <r>
      <rPr>
        <rFont val="Myanmar Sangam MN"/>
        <b/>
        <color theme="1"/>
        <sz val="10.0"/>
      </rPr>
      <t>၅၆၆၁၂</t>
    </r>
  </si>
  <si>
    <r>
      <rPr>
        <rFont val="Myanmar Sangam MN"/>
        <b/>
        <color theme="1"/>
        <sz val="10.0"/>
      </rPr>
      <t>၁၈၅၄၈</t>
    </r>
  </si>
  <si>
    <r>
      <rPr>
        <rFont val="Myanmar Sangam MN"/>
        <b/>
        <color theme="1"/>
        <sz val="10.0"/>
      </rPr>
      <t>၇၅၁၆၀</t>
    </r>
  </si>
  <si>
    <r>
      <rPr>
        <rFont val="Myanmar Sangam MN"/>
        <color theme="1"/>
        <sz val="10.0"/>
      </rPr>
      <t>ေဒဥမာခင်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</si>
  <si>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</si>
  <si>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၄၉၀၁၅</t>
    </r>
  </si>
  <si>
    <r>
      <rPr>
        <rFont val="Myanmar Sangam MN"/>
        <color theme="1"/>
        <sz val="10.0"/>
      </rPr>
      <t>၁၅၀၇၇</t>
    </r>
  </si>
  <si>
    <r>
      <rPr>
        <rFont val="Myanmar Sangam MN"/>
        <color theme="1"/>
        <sz val="10.0"/>
      </rPr>
      <t>၆၄၀၉၂</t>
    </r>
  </si>
  <si>
    <r>
      <rPr>
        <rFont val="Myanmar Sangam MN"/>
        <b/>
        <color theme="1"/>
        <sz val="9.0"/>
      </rPr>
      <t>၈၅.၂၇%</t>
    </r>
  </si>
  <si>
    <r>
      <rPr>
        <rFont val="Myanmar Sangam MN"/>
        <color theme="1"/>
        <sz val="10.0"/>
      </rPr>
      <t>ဦးေနမျးိ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</si>
  <si>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</si>
  <si>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၆၉၃၂</t>
    </r>
  </si>
  <si>
    <r>
      <rPr>
        <rFont val="Myanmar Sangam MN"/>
        <color theme="1"/>
        <sz val="10.0"/>
      </rPr>
      <t>၃၀၄၇</t>
    </r>
  </si>
  <si>
    <r>
      <rPr>
        <rFont val="Myanmar Sangam MN"/>
        <color theme="1"/>
        <sz val="10.0"/>
      </rPr>
      <t>၉၉၇၉</t>
    </r>
  </si>
  <si>
    <r>
      <rPr>
        <rFont val="Myanmar Sangam MN"/>
        <b/>
        <color theme="1"/>
        <sz val="9.0"/>
      </rPr>
      <t>၁၃.၂၈%</t>
    </r>
  </si>
  <si>
    <r>
      <rPr>
        <rFont val="Myanmar Sangam MN"/>
        <color theme="1"/>
        <sz val="10.0"/>
      </rPr>
      <t>ဦးြမင့်သိန်း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</si>
  <si>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</si>
  <si>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၆၆၅</t>
    </r>
  </si>
  <si>
    <r>
      <rPr>
        <rFont val="Myanmar Sangam MN"/>
        <color theme="1"/>
        <sz val="10.0"/>
      </rPr>
      <t>၄၂၄</t>
    </r>
  </si>
  <si>
    <r>
      <rPr>
        <rFont val="Myanmar Sangam MN"/>
        <color theme="1"/>
        <sz val="10.0"/>
      </rPr>
      <t>၁၀၈၉</t>
    </r>
  </si>
  <si>
    <r>
      <rPr>
        <rFont val="Myanmar Sangam MN"/>
        <b/>
        <color theme="1"/>
        <sz val="9.0"/>
      </rPr>
      <t>၁.၄၅%</t>
    </r>
  </si>
  <si>
    <r>
      <rPr>
        <rFont val="Myanmar Sangam MN"/>
        <b/>
        <color theme="1"/>
        <sz val="10.0"/>
      </rPr>
      <t>၆၆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</si>
  <si>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</si>
  <si>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၁၀၆၄၃၆</t>
    </r>
  </si>
  <si>
    <r>
      <rPr>
        <rFont val="Myanmar Sangam MN"/>
        <b/>
        <color theme="1"/>
        <sz val="10.0"/>
      </rPr>
      <t>၄၈၈၈၃</t>
    </r>
  </si>
  <si>
    <r>
      <rPr>
        <rFont val="Myanmar Sangam MN"/>
        <b/>
        <color theme="1"/>
        <sz val="10.0"/>
      </rPr>
      <t>၁၇၂၆၃</t>
    </r>
  </si>
  <si>
    <r>
      <rPr>
        <rFont val="Myanmar Sangam MN"/>
        <b/>
        <color theme="1"/>
        <sz val="10.0"/>
      </rPr>
      <t>၆၆၁၄၆</t>
    </r>
  </si>
  <si>
    <r>
      <rPr>
        <rFont val="Myanmar Sangam MN"/>
        <b/>
        <color theme="1"/>
        <sz val="10.0"/>
      </rPr>
      <t>၆၂.၁၅</t>
    </r>
  </si>
  <si>
    <r>
      <rPr>
        <rFont val="Myanmar Sangam MN"/>
        <b/>
        <color theme="1"/>
        <sz val="10.0"/>
      </rPr>
      <t>၁၆၇၅</t>
    </r>
  </si>
  <si>
    <r>
      <rPr>
        <rFont val="Myanmar Sangam MN"/>
        <b/>
        <color theme="1"/>
        <sz val="10.0"/>
      </rPr>
      <t>၄</t>
    </r>
  </si>
  <si>
    <r>
      <rPr>
        <rFont val="Myanmar Sangam MN"/>
        <b/>
        <color theme="1"/>
        <sz val="10.0"/>
      </rPr>
      <t>၁၆၇၉</t>
    </r>
  </si>
  <si>
    <r>
      <rPr>
        <rFont val="Myanmar Sangam MN"/>
        <b/>
        <color theme="1"/>
        <sz val="10.0"/>
      </rPr>
      <t>၄၇၅၆၈</t>
    </r>
  </si>
  <si>
    <r>
      <rPr>
        <rFont val="Myanmar Sangam MN"/>
        <b/>
        <color theme="1"/>
        <sz val="10.0"/>
      </rPr>
      <t>၁၆၈၉၉</t>
    </r>
  </si>
  <si>
    <r>
      <rPr>
        <rFont val="Myanmar Sangam MN"/>
        <b/>
        <color theme="1"/>
        <sz val="10.0"/>
      </rPr>
      <t>၆၄၄၆၇</t>
    </r>
  </si>
  <si>
    <r>
      <rPr>
        <rFont val="Myanmar Sangam MN"/>
        <color theme="1"/>
        <sz val="10.0"/>
      </rPr>
      <t>ဦးေဌးလွင်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</si>
  <si>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</si>
  <si>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၃၇၈၉၄</t>
    </r>
  </si>
  <si>
    <r>
      <rPr>
        <rFont val="Myanmar Sangam MN"/>
        <color theme="1"/>
        <sz val="10.0"/>
      </rPr>
      <t>၁၂၃၉၂</t>
    </r>
  </si>
  <si>
    <r>
      <rPr>
        <rFont val="Myanmar Sangam MN"/>
        <color theme="1"/>
        <sz val="10.0"/>
      </rPr>
      <t>၅၀၂၈၆</t>
    </r>
  </si>
  <si>
    <r>
      <rPr>
        <rFont val="Myanmar Sangam MN"/>
        <b/>
        <color theme="1"/>
        <sz val="9.0"/>
      </rPr>
      <t>၇၈.၀၀%</t>
    </r>
  </si>
  <si>
    <r>
      <rPr>
        <rFont val="Myanmar Sangam MN"/>
        <color theme="1"/>
        <sz val="10.0"/>
      </rPr>
      <t>ဦးစိုးေထွး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</si>
  <si>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</si>
  <si>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၈၁၈၂</t>
    </r>
  </si>
  <si>
    <r>
      <rPr>
        <rFont val="Myanmar Sangam MN"/>
        <color theme="1"/>
        <sz val="10.0"/>
      </rPr>
      <t>၃၇၀၅</t>
    </r>
  </si>
  <si>
    <r>
      <rPr>
        <rFont val="Myanmar Sangam MN"/>
        <color theme="1"/>
        <sz val="10.0"/>
      </rPr>
      <t>၁၁၈၈၇</t>
    </r>
  </si>
  <si>
    <r>
      <rPr>
        <rFont val="Myanmar Sangam MN"/>
        <b/>
        <color theme="1"/>
        <sz val="9.0"/>
      </rPr>
      <t>၁၈.၄၄%</t>
    </r>
  </si>
  <si>
    <r>
      <rPr>
        <rFont val="Myanmar Sangam MN"/>
        <color theme="1"/>
        <sz val="10.0"/>
      </rPr>
      <t>ဦးထင်ေကျာ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</si>
  <si>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</si>
  <si>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၁၁၄၈</t>
    </r>
  </si>
  <si>
    <r>
      <rPr>
        <rFont val="Myanmar Sangam MN"/>
        <color theme="1"/>
        <sz val="10.0"/>
      </rPr>
      <t>၅၉၆</t>
    </r>
  </si>
  <si>
    <r>
      <rPr>
        <rFont val="Myanmar Sangam MN"/>
        <color theme="1"/>
        <sz val="10.0"/>
      </rPr>
      <t>၁၇၄၄</t>
    </r>
  </si>
  <si>
    <r>
      <rPr>
        <rFont val="Myanmar Sangam MN"/>
        <b/>
        <color theme="1"/>
        <sz val="9.0"/>
      </rPr>
      <t>၂.၇၁%</t>
    </r>
  </si>
  <si>
    <r>
      <rPr>
        <rFont val="Myanmar Sangam MN"/>
        <color theme="1"/>
        <sz val="10.0"/>
      </rPr>
      <t>ဦးဝင်းရှိန်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</si>
  <si>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</si>
  <si>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၃၄၄</t>
    </r>
  </si>
  <si>
    <r>
      <rPr>
        <rFont val="Myanmar Sangam MN"/>
        <color theme="1"/>
        <sz val="10.0"/>
      </rPr>
      <t>၂၀၆</t>
    </r>
  </si>
  <si>
    <r>
      <rPr>
        <rFont val="Myanmar Sangam MN"/>
        <color theme="1"/>
        <sz val="10.0"/>
      </rPr>
      <t>၅၅၀</t>
    </r>
  </si>
  <si>
    <r>
      <rPr>
        <rFont val="Myanmar Sangam MN"/>
        <b/>
        <color theme="1"/>
        <sz val="9.0"/>
      </rPr>
      <t>၀.၈၅%</t>
    </r>
  </si>
  <si>
    <r>
      <rPr>
        <rFont val="Myanmar Sangam MN"/>
        <b/>
        <color theme="1"/>
        <sz val="10.0"/>
      </rPr>
      <t>၆၇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</si>
  <si>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</si>
  <si>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၅၄၉၂၀</t>
    </r>
  </si>
  <si>
    <r>
      <rPr>
        <rFont val="Myanmar Sangam MN"/>
        <b/>
        <color theme="1"/>
        <sz val="10.0"/>
      </rPr>
      <t>၃၅၂၆၁</t>
    </r>
  </si>
  <si>
    <r>
      <rPr>
        <rFont val="Myanmar Sangam MN"/>
        <b/>
        <color theme="1"/>
        <sz val="10.0"/>
      </rPr>
      <t>၈၉၄၉</t>
    </r>
  </si>
  <si>
    <r>
      <rPr>
        <rFont val="Myanmar Sangam MN"/>
        <b/>
        <color theme="1"/>
        <sz val="10.0"/>
      </rPr>
      <t>၄၄၂၁၀</t>
    </r>
  </si>
  <si>
    <r>
      <rPr>
        <rFont val="Myanmar Sangam MN"/>
        <b/>
        <color theme="1"/>
        <sz val="10.0"/>
      </rPr>
      <t>၈၀.၅၀</t>
    </r>
  </si>
  <si>
    <r>
      <rPr>
        <rFont val="Myanmar Sangam MN"/>
        <b/>
        <color theme="1"/>
        <sz val="10.0"/>
      </rPr>
      <t>၁၁၅၉</t>
    </r>
  </si>
  <si>
    <r>
      <rPr>
        <rFont val="Myanmar Sangam MN"/>
        <b/>
        <color theme="1"/>
        <sz val="10.0"/>
      </rPr>
      <t>၃</t>
    </r>
  </si>
  <si>
    <r>
      <rPr>
        <rFont val="Myanmar Sangam MN"/>
        <b/>
        <color theme="1"/>
        <sz val="10.0"/>
      </rPr>
      <t>၁၁၆၂</t>
    </r>
  </si>
  <si>
    <r>
      <rPr>
        <rFont val="Myanmar Sangam MN"/>
        <b/>
        <color theme="1"/>
        <sz val="10.0"/>
      </rPr>
      <t>၃၄၁၄၂</t>
    </r>
  </si>
  <si>
    <r>
      <rPr>
        <rFont val="Myanmar Sangam MN"/>
        <b/>
        <color theme="1"/>
        <sz val="10.0"/>
      </rPr>
      <t>၈၉၀၆</t>
    </r>
  </si>
  <si>
    <r>
      <rPr>
        <rFont val="Myanmar Sangam MN"/>
        <b/>
        <color theme="1"/>
        <sz val="10.0"/>
      </rPr>
      <t>၄၃၀၄၈</t>
    </r>
  </si>
  <si>
    <r>
      <rPr>
        <rFont val="Myanmar Sangam MN"/>
        <color theme="1"/>
        <sz val="10.0"/>
      </rPr>
      <t>ဦးေဇာ်ဟိန်း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</si>
  <si>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</si>
  <si>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၂၄၄၅၂</t>
    </r>
  </si>
  <si>
    <r>
      <rPr>
        <rFont val="Myanmar Sangam MN"/>
        <color theme="1"/>
        <sz val="10.0"/>
      </rPr>
      <t>၅၈၅၃</t>
    </r>
  </si>
  <si>
    <r>
      <rPr>
        <rFont val="Myanmar Sangam MN"/>
        <color theme="1"/>
        <sz val="10.0"/>
      </rPr>
      <t>၃၀၃၀၅</t>
    </r>
  </si>
  <si>
    <r>
      <rPr>
        <rFont val="Myanmar Sangam MN"/>
        <b/>
        <color theme="1"/>
        <sz val="9.0"/>
      </rPr>
      <t>၇၀.၄၀%</t>
    </r>
  </si>
  <si>
    <r>
      <rPr>
        <rFont val="Myanmar Sangam MN"/>
        <color theme="1"/>
        <sz val="10.0"/>
      </rPr>
      <t>ဦးဝင်းက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</si>
  <si>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</si>
  <si>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၈၇၄၀</t>
    </r>
  </si>
  <si>
    <r>
      <rPr>
        <rFont val="Myanmar Sangam MN"/>
        <color theme="1"/>
        <sz val="10.0"/>
      </rPr>
      <t>၂၇၆၃</t>
    </r>
  </si>
  <si>
    <r>
      <rPr>
        <rFont val="Myanmar Sangam MN"/>
        <color theme="1"/>
        <sz val="10.0"/>
      </rPr>
      <t>၁၁၅၀၃</t>
    </r>
  </si>
  <si>
    <r>
      <rPr>
        <rFont val="Myanmar Sangam MN"/>
        <b/>
        <color theme="1"/>
        <sz val="9.0"/>
      </rPr>
      <t>၂၆.၇၂%</t>
    </r>
  </si>
  <si>
    <r>
      <rPr>
        <rFont val="Myanmar Sangam MN"/>
        <color theme="1"/>
        <sz val="10.0"/>
      </rPr>
      <t>ဦးကည်ဝင်း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</si>
  <si>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</si>
  <si>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၅၈၄</t>
    </r>
  </si>
  <si>
    <r>
      <rPr>
        <rFont val="Myanmar Sangam MN"/>
        <color theme="1"/>
        <sz val="10.0"/>
      </rPr>
      <t>၁၇၅</t>
    </r>
  </si>
  <si>
    <r>
      <rPr>
        <rFont val="Myanmar Sangam MN"/>
        <color theme="1"/>
        <sz val="10.0"/>
      </rPr>
      <t>၇၅၉</t>
    </r>
  </si>
  <si>
    <r>
      <rPr>
        <rFont val="Myanmar Sangam MN"/>
        <b/>
        <color theme="1"/>
        <sz val="9.0"/>
      </rPr>
      <t>၁.၇၆%</t>
    </r>
  </si>
  <si>
    <r>
      <rPr>
        <rFont val="Myanmar Sangam MN"/>
        <color theme="1"/>
        <sz val="10.0"/>
      </rPr>
      <t>ဦးေဇာ်ဝင်း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</si>
  <si>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</si>
  <si>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၃၆၆</t>
    </r>
  </si>
  <si>
    <r>
      <rPr>
        <rFont val="Myanmar Sangam MN"/>
        <color theme="1"/>
        <sz val="10.0"/>
      </rPr>
      <t>၁၁၅</t>
    </r>
  </si>
  <si>
    <r>
      <rPr>
        <rFont val="Myanmar Sangam MN"/>
        <color theme="1"/>
        <sz val="10.0"/>
      </rPr>
      <t>၄၈၁</t>
    </r>
  </si>
  <si>
    <r>
      <rPr>
        <rFont val="Myanmar Sangam MN"/>
        <b/>
        <color theme="1"/>
        <sz val="9.0"/>
      </rPr>
      <t>၁.၁၂%</t>
    </r>
  </si>
  <si>
    <r>
      <rPr>
        <rFont val="Myanmar Sangam MN"/>
        <b/>
        <color theme="1"/>
        <sz val="10.0"/>
      </rPr>
      <t>၆၈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</si>
  <si>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</si>
  <si>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၅၉၂၄၁</t>
    </r>
  </si>
  <si>
    <r>
      <rPr>
        <rFont val="Myanmar Sangam MN"/>
        <b/>
        <color theme="1"/>
        <sz val="10.0"/>
      </rPr>
      <t>၃၇၅၈၃</t>
    </r>
  </si>
  <si>
    <r>
      <rPr>
        <rFont val="Myanmar Sangam MN"/>
        <b/>
        <color theme="1"/>
        <sz val="10.0"/>
      </rPr>
      <t>၆၂၇၂</t>
    </r>
  </si>
  <si>
    <r>
      <rPr>
        <rFont val="Myanmar Sangam MN"/>
        <b/>
        <color theme="1"/>
        <sz val="10.0"/>
      </rPr>
      <t>၄၃၈၅၅</t>
    </r>
  </si>
  <si>
    <r>
      <rPr>
        <rFont val="Myanmar Sangam MN"/>
        <b/>
        <color theme="1"/>
        <sz val="10.0"/>
      </rPr>
      <t>၇၄.၀၃</t>
    </r>
  </si>
  <si>
    <r>
      <rPr>
        <rFont val="Myanmar Sangam MN"/>
        <b/>
        <color theme="1"/>
        <sz val="10.0"/>
      </rPr>
      <t>၁၅၃၂</t>
    </r>
  </si>
  <si>
    <r>
      <rPr>
        <rFont val="Myanmar Sangam MN"/>
        <b/>
        <color theme="1"/>
        <sz val="10.0"/>
      </rPr>
      <t>၂</t>
    </r>
  </si>
  <si>
    <r>
      <rPr>
        <rFont val="Myanmar Sangam MN"/>
        <b/>
        <color theme="1"/>
        <sz val="10.0"/>
      </rPr>
      <t>၁၅၃၄</t>
    </r>
  </si>
  <si>
    <r>
      <rPr>
        <rFont val="Myanmar Sangam MN"/>
        <b/>
        <color theme="1"/>
        <sz val="10.0"/>
      </rPr>
      <t>၃၆၅၃၄</t>
    </r>
  </si>
  <si>
    <r>
      <rPr>
        <rFont val="Myanmar Sangam MN"/>
        <b/>
        <color theme="1"/>
        <sz val="10.0"/>
      </rPr>
      <t>၅၇၈၇</t>
    </r>
  </si>
  <si>
    <r>
      <rPr>
        <rFont val="Myanmar Sangam MN"/>
        <b/>
        <color theme="1"/>
        <sz val="10.0"/>
      </rPr>
      <t>၄၂၃၂၁</t>
    </r>
  </si>
  <si>
    <r>
      <rPr>
        <rFont val="Myanmar Sangam MN"/>
        <color theme="1"/>
        <sz val="10.0"/>
      </rPr>
      <t>ေဒသီတာ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</si>
  <si>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</si>
  <si>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၂၇၆၁၈</t>
    </r>
  </si>
  <si>
    <r>
      <rPr>
        <rFont val="Myanmar Sangam MN"/>
        <color theme="1"/>
        <sz val="10.0"/>
      </rPr>
      <t>၄၁၃၈</t>
    </r>
  </si>
  <si>
    <r>
      <rPr>
        <rFont val="Myanmar Sangam MN"/>
        <color theme="1"/>
        <sz val="10.0"/>
      </rPr>
      <t>၃၁၇၅၆</t>
    </r>
  </si>
  <si>
    <r>
      <rPr>
        <rFont val="Myanmar Sangam MN"/>
        <b/>
        <color theme="1"/>
        <sz val="9.0"/>
      </rPr>
      <t>၇၅.၀၄%</t>
    </r>
  </si>
  <si>
    <r>
      <rPr>
        <rFont val="Myanmar Sangam MN"/>
        <color theme="1"/>
        <sz val="10.0"/>
      </rPr>
      <t>ဦးကျားေမာင်(ခ) ဦးေမာင်ကျား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</si>
  <si>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</si>
  <si>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၇၆၁၆</t>
    </r>
  </si>
  <si>
    <r>
      <rPr>
        <rFont val="Myanmar Sangam MN"/>
        <color theme="1"/>
        <sz val="10.0"/>
      </rPr>
      <t>၁၃၇၄</t>
    </r>
  </si>
  <si>
    <r>
      <rPr>
        <rFont val="Myanmar Sangam MN"/>
        <color theme="1"/>
        <sz val="10.0"/>
      </rPr>
      <t>၈၉၉၀</t>
    </r>
  </si>
  <si>
    <r>
      <rPr>
        <rFont val="Myanmar Sangam MN"/>
        <b/>
        <color theme="1"/>
        <sz val="9.0"/>
      </rPr>
      <t>၂၁.၂၄%</t>
    </r>
  </si>
  <si>
    <r>
      <rPr>
        <rFont val="Myanmar Sangam MN"/>
        <color theme="1"/>
        <sz val="10.0"/>
      </rPr>
      <t>ဦးေဇာ်ထွန်းမင်း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</si>
  <si>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</si>
  <si>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၄၅၃</t>
    </r>
  </si>
  <si>
    <r>
      <rPr>
        <rFont val="Myanmar Sangam MN"/>
        <color theme="1"/>
        <sz val="10.0"/>
      </rPr>
      <t>၁၂၇</t>
    </r>
  </si>
  <si>
    <r>
      <rPr>
        <rFont val="Myanmar Sangam MN"/>
        <color theme="1"/>
        <sz val="10.0"/>
      </rPr>
      <t>၅၈၀</t>
    </r>
  </si>
  <si>
    <r>
      <rPr>
        <rFont val="Myanmar Sangam MN"/>
        <b/>
        <color theme="1"/>
        <sz val="9.0"/>
      </rPr>
      <t>၁.၃၇%</t>
    </r>
  </si>
  <si>
    <r>
      <rPr>
        <rFont val="Myanmar Sangam MN"/>
        <color theme="1"/>
        <sz val="10.0"/>
      </rPr>
      <t>ေစာဘိုဘိုေအာင်</t>
    </r>
  </si>
  <si>
    <r>
      <rPr>
        <rFont val="Myanmar Sangam MN"/>
        <color theme="1"/>
        <sz val="10.0"/>
      </rPr>
      <t>ကရင်ြပည်သူ ပါတီ</t>
    </r>
  </si>
  <si>
    <r>
      <rPr>
        <rFont val="Myanmar Sangam MN"/>
        <color theme="1"/>
        <sz val="10.0"/>
      </rPr>
      <t>၄၄၇</t>
    </r>
  </si>
  <si>
    <r>
      <rPr>
        <rFont val="Myanmar Sangam MN"/>
        <color theme="1"/>
        <sz val="10.0"/>
      </rPr>
      <t>၆၆</t>
    </r>
  </si>
  <si>
    <r>
      <rPr>
        <rFont val="Myanmar Sangam MN"/>
        <color theme="1"/>
        <sz val="10.0"/>
      </rPr>
      <t>၅၁၃</t>
    </r>
  </si>
  <si>
    <r>
      <rPr>
        <rFont val="Myanmar Sangam MN"/>
        <b/>
        <color theme="1"/>
        <sz val="9.0"/>
      </rPr>
      <t>၁.၂၁%</t>
    </r>
  </si>
  <si>
    <r>
      <rPr>
        <rFont val="Myanmar Sangam MN"/>
        <color theme="1"/>
        <sz val="10.0"/>
      </rPr>
      <t>ဦးေကျာ်စွာဦး</t>
    </r>
  </si>
  <si>
    <r>
      <rPr>
        <rFont val="Myanmar Sangam MN"/>
        <color theme="1"/>
        <sz val="10.0"/>
      </rPr>
      <t>ဒီမိုကရက်တစ်ပါတီ(ြမန်မာ)</t>
    </r>
  </si>
  <si>
    <r>
      <rPr>
        <rFont val="Myanmar Sangam MN"/>
        <color theme="1"/>
        <sz val="10.0"/>
      </rPr>
      <t>၄၀၀</t>
    </r>
  </si>
  <si>
    <r>
      <rPr>
        <rFont val="Myanmar Sangam MN"/>
        <color theme="1"/>
        <sz val="10.0"/>
      </rPr>
      <t>၈၂</t>
    </r>
  </si>
  <si>
    <r>
      <rPr>
        <rFont val="Myanmar Sangam MN"/>
        <color theme="1"/>
        <sz val="10.0"/>
      </rPr>
      <t>၄၈၂</t>
    </r>
  </si>
  <si>
    <r>
      <rPr>
        <rFont val="Myanmar Sangam MN"/>
        <b/>
        <color theme="1"/>
        <sz val="9.0"/>
      </rPr>
      <t>၁.၁၄%</t>
    </r>
  </si>
  <si>
    <r>
      <rPr>
        <rFont val="Myanmar Sangam MN"/>
        <b/>
        <color theme="1"/>
        <sz val="10.0"/>
      </rPr>
      <t>၆၉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</si>
  <si>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</si>
  <si>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၈၂၃၁၃</t>
    </r>
  </si>
  <si>
    <r>
      <rPr>
        <rFont val="Myanmar Sangam MN"/>
        <b/>
        <color theme="1"/>
        <sz val="10.0"/>
      </rPr>
      <t>၄၉၉၇၉</t>
    </r>
  </si>
  <si>
    <r>
      <rPr>
        <rFont val="Myanmar Sangam MN"/>
        <b/>
        <color theme="1"/>
        <sz val="10.0"/>
      </rPr>
      <t>၁၀၆၃၈</t>
    </r>
  </si>
  <si>
    <r>
      <rPr>
        <rFont val="Myanmar Sangam MN"/>
        <b/>
        <color theme="1"/>
        <sz val="10.0"/>
      </rPr>
      <t>၆၀၆၁၇</t>
    </r>
  </si>
  <si>
    <r>
      <rPr>
        <rFont val="Myanmar Sangam MN"/>
        <b/>
        <color theme="1"/>
        <sz val="10.0"/>
      </rPr>
      <t>၇၃.၆၄</t>
    </r>
  </si>
  <si>
    <r>
      <rPr>
        <rFont val="Myanmar Sangam MN"/>
        <b/>
        <color theme="1"/>
        <sz val="10.0"/>
      </rPr>
      <t>၂၅၆၀</t>
    </r>
  </si>
  <si>
    <r>
      <rPr>
        <rFont val="Myanmar Sangam MN"/>
        <b/>
        <color theme="1"/>
        <sz val="10.0"/>
      </rPr>
      <t>၇၉</t>
    </r>
  </si>
  <si>
    <r>
      <rPr>
        <rFont val="Myanmar Sangam MN"/>
        <b/>
        <color theme="1"/>
        <sz val="10.0"/>
      </rPr>
      <t>၂၆၃၉</t>
    </r>
  </si>
  <si>
    <r>
      <rPr>
        <rFont val="Myanmar Sangam MN"/>
        <b/>
        <color theme="1"/>
        <sz val="10.0"/>
      </rPr>
      <t>၄၇၇၉၈</t>
    </r>
  </si>
  <si>
    <r>
      <rPr>
        <rFont val="Myanmar Sangam MN"/>
        <b/>
        <color theme="1"/>
        <sz val="10.0"/>
      </rPr>
      <t>၁၀၁၈၀</t>
    </r>
  </si>
  <si>
    <r>
      <rPr>
        <rFont val="Myanmar Sangam MN"/>
        <b/>
        <color theme="1"/>
        <sz val="10.0"/>
      </rPr>
      <t>၅၇၉၇၈</t>
    </r>
  </si>
  <si>
    <r>
      <rPr>
        <rFont val="Myanmar Sangam MN"/>
        <color theme="1"/>
        <sz val="10.0"/>
      </rPr>
      <t>ဦးရဲြမင့်ေဆွ(ခ) ဖိုးလြပည့်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</si>
  <si>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</si>
  <si>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၃၇၀၁၁</t>
    </r>
  </si>
  <si>
    <r>
      <rPr>
        <rFont val="Myanmar Sangam MN"/>
        <color theme="1"/>
        <sz val="10.0"/>
      </rPr>
      <t>၇၁၄၈</t>
    </r>
  </si>
  <si>
    <r>
      <rPr>
        <rFont val="Myanmar Sangam MN"/>
        <color theme="1"/>
        <sz val="10.0"/>
      </rPr>
      <t>၄၄၁၅၉</t>
    </r>
  </si>
  <si>
    <r>
      <rPr>
        <rFont val="Myanmar Sangam MN"/>
        <b/>
        <color theme="1"/>
        <sz val="9.0"/>
      </rPr>
      <t>၇၆.၁၆%</t>
    </r>
  </si>
  <si>
    <r>
      <rPr>
        <rFont val="Myanmar Sangam MN"/>
        <color theme="1"/>
        <sz val="10.0"/>
      </rPr>
      <t>ဦးသန်းြမင့်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</si>
  <si>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</si>
  <si>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၅၆၈၁</t>
    </r>
  </si>
  <si>
    <r>
      <rPr>
        <rFont val="Myanmar Sangam MN"/>
        <color theme="1"/>
        <sz val="10.0"/>
      </rPr>
      <t>၁၇၄၀</t>
    </r>
  </si>
  <si>
    <r>
      <rPr>
        <rFont val="Myanmar Sangam MN"/>
        <color theme="1"/>
        <sz val="10.0"/>
      </rPr>
      <t>၇၄၂၁</t>
    </r>
  </si>
  <si>
    <r>
      <rPr>
        <rFont val="Myanmar Sangam MN"/>
        <b/>
        <color theme="1"/>
        <sz val="9.0"/>
      </rPr>
      <t>၁၂.၈၀%</t>
    </r>
  </si>
  <si>
    <r>
      <rPr>
        <rFont val="Myanmar Sangam MN"/>
        <color theme="1"/>
        <sz val="10.0"/>
      </rPr>
      <t>ေဒါက်တာညိညိသင်း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</si>
  <si>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</si>
  <si>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၂၈၆၂</t>
    </r>
  </si>
  <si>
    <r>
      <rPr>
        <rFont val="Myanmar Sangam MN"/>
        <color theme="1"/>
        <sz val="10.0"/>
      </rPr>
      <t>၅၅၄</t>
    </r>
  </si>
  <si>
    <r>
      <rPr>
        <rFont val="Myanmar Sangam MN"/>
        <color theme="1"/>
        <sz val="10.0"/>
      </rPr>
      <t>၃၄၁၆</t>
    </r>
  </si>
  <si>
    <r>
      <rPr>
        <rFont val="Myanmar Sangam MN"/>
        <b/>
        <color theme="1"/>
        <sz val="9.0"/>
      </rPr>
      <t>၅.၈၉%</t>
    </r>
  </si>
  <si>
    <r>
      <rPr>
        <rFont val="Myanmar Sangam MN"/>
        <color theme="1"/>
        <sz val="10.0"/>
      </rPr>
      <t>ဦးထွန်းကိင်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</si>
  <si>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</si>
  <si>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၁၁၄၃</t>
    </r>
  </si>
  <si>
    <r>
      <rPr>
        <rFont val="Myanmar Sangam MN"/>
        <color theme="1"/>
        <sz val="10.0"/>
      </rPr>
      <t>၃၅၈</t>
    </r>
  </si>
  <si>
    <r>
      <rPr>
        <rFont val="Myanmar Sangam MN"/>
        <color theme="1"/>
        <sz val="10.0"/>
      </rPr>
      <t>၁၅၀၁</t>
    </r>
  </si>
  <si>
    <r>
      <rPr>
        <rFont val="Myanmar Sangam MN"/>
        <b/>
        <color theme="1"/>
        <sz val="9.0"/>
      </rPr>
      <t>၂.၅၉%</t>
    </r>
  </si>
  <si>
    <r>
      <rPr>
        <rFont val="Myanmar Sangam MN"/>
        <color theme="1"/>
        <sz val="10.0"/>
      </rPr>
      <t>ဦးစိုးရီ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</si>
  <si>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</si>
  <si>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၇၉၅</t>
    </r>
  </si>
  <si>
    <r>
      <rPr>
        <rFont val="Myanmar Sangam MN"/>
        <color theme="1"/>
        <sz val="10.0"/>
      </rPr>
      <t>၂၇၁</t>
    </r>
  </si>
  <si>
    <r>
      <rPr>
        <rFont val="Myanmar Sangam MN"/>
        <color theme="1"/>
        <sz val="10.0"/>
      </rPr>
      <t>၁၀၆၆</t>
    </r>
  </si>
  <si>
    <r>
      <rPr>
        <rFont val="Myanmar Sangam MN"/>
        <b/>
        <color theme="1"/>
        <sz val="9.0"/>
      </rPr>
      <t>၁.၈၄%</t>
    </r>
  </si>
  <si>
    <r>
      <rPr>
        <rFont val="Myanmar Sangam MN"/>
        <color theme="1"/>
        <sz val="10.0"/>
      </rPr>
      <t>ဦးေအာင်ကိုကို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</si>
  <si>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</si>
  <si>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၃၀၆</t>
    </r>
  </si>
  <si>
    <r>
      <rPr>
        <rFont val="Myanmar Sangam MN"/>
        <color theme="1"/>
        <sz val="10.0"/>
      </rPr>
      <t>၁၀၉</t>
    </r>
  </si>
  <si>
    <r>
      <rPr>
        <rFont val="Myanmar Sangam MN"/>
        <color theme="1"/>
        <sz val="10.0"/>
      </rPr>
      <t>၄၁၅</t>
    </r>
  </si>
  <si>
    <r>
      <rPr>
        <rFont val="Myanmar Sangam MN"/>
        <b/>
        <color theme="1"/>
        <sz val="9.0"/>
      </rPr>
      <t>၀.၇၂%</t>
    </r>
  </si>
  <si>
    <r>
      <rPr>
        <rFont val="Myanmar Sangam MN"/>
        <b/>
        <color theme="1"/>
        <sz val="10.0"/>
      </rPr>
      <t>၇၀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</si>
  <si>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</si>
  <si>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၁၁၄၀၂၃</t>
    </r>
  </si>
  <si>
    <r>
      <rPr>
        <rFont val="Myanmar Sangam MN"/>
        <b/>
        <color theme="1"/>
        <sz val="10.0"/>
      </rPr>
      <t>၅၉၈၁၂</t>
    </r>
  </si>
  <si>
    <r>
      <rPr>
        <rFont val="Myanmar Sangam MN"/>
        <b/>
        <color theme="1"/>
        <sz val="10.0"/>
      </rPr>
      <t>၁၇၄၃၁</t>
    </r>
  </si>
  <si>
    <r>
      <rPr>
        <rFont val="Myanmar Sangam MN"/>
        <b/>
        <color theme="1"/>
        <sz val="10.0"/>
      </rPr>
      <t>၇၇၂၄၃</t>
    </r>
  </si>
  <si>
    <r>
      <rPr>
        <rFont val="Myanmar Sangam MN"/>
        <b/>
        <color theme="1"/>
        <sz val="10.0"/>
      </rPr>
      <t>၆၇.၇၄</t>
    </r>
  </si>
  <si>
    <r>
      <rPr>
        <rFont val="Myanmar Sangam MN"/>
        <b/>
        <color theme="1"/>
        <sz val="10.0"/>
      </rPr>
      <t>၃၀၁၆</t>
    </r>
  </si>
  <si>
    <r>
      <rPr>
        <rFont val="Myanmar Sangam MN"/>
        <b/>
        <color theme="1"/>
        <sz val="10.0"/>
      </rPr>
      <t>၄၈၂</t>
    </r>
  </si>
  <si>
    <r>
      <rPr>
        <rFont val="Myanmar Sangam MN"/>
        <b/>
        <color theme="1"/>
        <sz val="10.0"/>
      </rPr>
      <t>၃၄၉၈</t>
    </r>
  </si>
  <si>
    <r>
      <rPr>
        <rFont val="Myanmar Sangam MN"/>
        <b/>
        <color theme="1"/>
        <sz val="10.0"/>
      </rPr>
      <t>၅၆၇၈၈</t>
    </r>
  </si>
  <si>
    <r>
      <rPr>
        <rFont val="Myanmar Sangam MN"/>
        <b/>
        <color theme="1"/>
        <sz val="10.0"/>
      </rPr>
      <t>၁၆၉၅၇</t>
    </r>
  </si>
  <si>
    <r>
      <rPr>
        <rFont val="Myanmar Sangam MN"/>
        <b/>
        <color theme="1"/>
        <sz val="10.0"/>
      </rPr>
      <t>၇၃၇၄၅</t>
    </r>
  </si>
  <si>
    <r>
      <rPr>
        <rFont val="Myanmar Sangam MN"/>
        <color theme="1"/>
        <sz val="10.0"/>
      </rPr>
      <t>ဦးြမတ်ဖိးဝင်း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</si>
  <si>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</si>
  <si>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၄၄၈၁၈</t>
    </r>
  </si>
  <si>
    <r>
      <rPr>
        <rFont val="Myanmar Sangam MN"/>
        <color theme="1"/>
        <sz val="10.0"/>
      </rPr>
      <t>၁၂၀၃၁</t>
    </r>
  </si>
  <si>
    <r>
      <rPr>
        <rFont val="Myanmar Sangam MN"/>
        <color theme="1"/>
        <sz val="10.0"/>
      </rPr>
      <t>၅၆၈၄၉</t>
    </r>
  </si>
  <si>
    <r>
      <rPr>
        <rFont val="Myanmar Sangam MN"/>
        <b/>
        <color theme="1"/>
        <sz val="9.0"/>
      </rPr>
      <t>၇၇.၀၉%</t>
    </r>
  </si>
  <si>
    <r>
      <rPr>
        <rFont val="Myanmar Sangam MN"/>
        <color theme="1"/>
        <sz val="10.0"/>
      </rPr>
      <t>ဦးဇာနည်ေအာင်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</si>
  <si>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</si>
  <si>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၉၉၅၀</t>
    </r>
  </si>
  <si>
    <r>
      <rPr>
        <rFont val="Myanmar Sangam MN"/>
        <color theme="1"/>
        <sz val="10.0"/>
      </rPr>
      <t>၄၃၁၁</t>
    </r>
  </si>
  <si>
    <r>
      <rPr>
        <rFont val="Myanmar Sangam MN"/>
        <color theme="1"/>
        <sz val="10.0"/>
      </rPr>
      <t>၁၄၂၆၁</t>
    </r>
  </si>
  <si>
    <r>
      <rPr>
        <rFont val="Myanmar Sangam MN"/>
        <b/>
        <color theme="1"/>
        <sz val="9.0"/>
      </rPr>
      <t>၁၉.၃၄%</t>
    </r>
  </si>
  <si>
    <r>
      <rPr>
        <rFont val="Myanmar Sangam MN"/>
        <color theme="1"/>
        <sz val="10.0"/>
      </rPr>
      <t>ဦးလှေကျာ်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</si>
  <si>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</si>
  <si>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၂၀၂၀</t>
    </r>
  </si>
  <si>
    <r>
      <rPr>
        <rFont val="Myanmar Sangam MN"/>
        <color theme="1"/>
        <sz val="10.0"/>
      </rPr>
      <t>၆၁၅</t>
    </r>
  </si>
  <si>
    <r>
      <rPr>
        <rFont val="Myanmar Sangam MN"/>
        <color theme="1"/>
        <sz val="10.0"/>
      </rPr>
      <t>၂၆၃၅</t>
    </r>
  </si>
  <si>
    <r>
      <rPr>
        <rFont val="Myanmar Sangam MN"/>
        <b/>
        <color theme="1"/>
        <sz val="9.0"/>
      </rPr>
      <t>၃.၅၇%</t>
    </r>
  </si>
  <si>
    <r>
      <rPr>
        <rFont val="Myanmar Sangam MN"/>
        <b/>
        <color theme="1"/>
        <sz val="10.0"/>
      </rPr>
      <t>၇၁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</si>
  <si>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</si>
  <si>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၁၁၄၁၆၃</t>
    </r>
  </si>
  <si>
    <r>
      <rPr>
        <rFont val="Myanmar Sangam MN"/>
        <b/>
        <color theme="1"/>
        <sz val="10.0"/>
      </rPr>
      <t>၆၅၇၈၆</t>
    </r>
  </si>
  <si>
    <r>
      <rPr>
        <rFont val="Myanmar Sangam MN"/>
        <b/>
        <color theme="1"/>
        <sz val="10.0"/>
      </rPr>
      <t>၁၆၇၃၂</t>
    </r>
  </si>
  <si>
    <r>
      <rPr>
        <rFont val="Myanmar Sangam MN"/>
        <b/>
        <color theme="1"/>
        <sz val="10.0"/>
      </rPr>
      <t>၈၂၅၁၈</t>
    </r>
  </si>
  <si>
    <r>
      <rPr>
        <rFont val="Myanmar Sangam MN"/>
        <b/>
        <color theme="1"/>
        <sz val="10.0"/>
      </rPr>
      <t>၇၂.၂၈</t>
    </r>
  </si>
  <si>
    <r>
      <rPr>
        <rFont val="Myanmar Sangam MN"/>
        <b/>
        <color theme="1"/>
        <sz val="10.0"/>
      </rPr>
      <t>၁၅၅၉</t>
    </r>
  </si>
  <si>
    <r>
      <rPr>
        <rFont val="Myanmar Sangam MN"/>
        <b/>
        <color theme="1"/>
        <sz val="10.0"/>
      </rPr>
      <t>၂၁</t>
    </r>
  </si>
  <si>
    <r>
      <rPr>
        <rFont val="Myanmar Sangam MN"/>
        <b/>
        <color theme="1"/>
        <sz val="10.0"/>
      </rPr>
      <t>၁၅၈၀</t>
    </r>
  </si>
  <si>
    <r>
      <rPr>
        <rFont val="Myanmar Sangam MN"/>
        <b/>
        <color theme="1"/>
        <sz val="10.0"/>
      </rPr>
      <t>၆၄၅၂၈</t>
    </r>
  </si>
  <si>
    <r>
      <rPr>
        <rFont val="Myanmar Sangam MN"/>
        <b/>
        <color theme="1"/>
        <sz val="10.0"/>
      </rPr>
      <t>၁၆၄၁၀</t>
    </r>
  </si>
  <si>
    <r>
      <rPr>
        <rFont val="Myanmar Sangam MN"/>
        <b/>
        <color theme="1"/>
        <sz val="10.0"/>
      </rPr>
      <t>၈၀၉၃၈</t>
    </r>
  </si>
  <si>
    <r>
      <rPr>
        <rFont val="Myanmar Sangam MN"/>
        <color theme="1"/>
        <sz val="10.0"/>
      </rPr>
      <t>ဦးတင်ေဝ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</si>
  <si>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</si>
  <si>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၅၃၄၄၁</t>
    </r>
  </si>
  <si>
    <r>
      <rPr>
        <rFont val="Myanmar Sangam MN"/>
        <color theme="1"/>
        <sz val="10.0"/>
      </rPr>
      <t>၁၁၇၅၁</t>
    </r>
  </si>
  <si>
    <r>
      <rPr>
        <rFont val="Myanmar Sangam MN"/>
        <color theme="1"/>
        <sz val="10.0"/>
      </rPr>
      <t>၆၅၁၉၂</t>
    </r>
  </si>
  <si>
    <r>
      <rPr>
        <rFont val="Myanmar Sangam MN"/>
        <b/>
        <color theme="1"/>
        <sz val="9.0"/>
      </rPr>
      <t>၈၀.၅၅%</t>
    </r>
  </si>
  <si>
    <r>
      <rPr>
        <rFont val="Myanmar Sangam MN"/>
        <color theme="1"/>
        <sz val="10.0"/>
      </rPr>
      <t>ဦးေမာင်တုတ်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</si>
  <si>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</si>
  <si>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၇၈၉၂</t>
    </r>
  </si>
  <si>
    <r>
      <rPr>
        <rFont val="Myanmar Sangam MN"/>
        <color theme="1"/>
        <sz val="10.0"/>
      </rPr>
      <t>၃၃၈၂</t>
    </r>
  </si>
  <si>
    <r>
      <rPr>
        <rFont val="Myanmar Sangam MN"/>
        <color theme="1"/>
        <sz val="10.0"/>
      </rPr>
      <t>၁၁၂၇၄</t>
    </r>
  </si>
  <si>
    <r>
      <rPr>
        <rFont val="Myanmar Sangam MN"/>
        <b/>
        <color theme="1"/>
        <sz val="9.0"/>
      </rPr>
      <t>၁၃.၉၃%</t>
    </r>
  </si>
  <si>
    <r>
      <rPr>
        <rFont val="Myanmar Sangam MN"/>
        <color theme="1"/>
        <sz val="10.0"/>
      </rPr>
      <t>ဦးဝင်းခိုင်(ခ)ဦးခိုင်ငယ်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</si>
  <si>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</si>
  <si>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၁၄၆၈</t>
    </r>
  </si>
  <si>
    <r>
      <rPr>
        <rFont val="Myanmar Sangam MN"/>
        <color theme="1"/>
        <sz val="10.0"/>
      </rPr>
      <t>၇၃၄</t>
    </r>
  </si>
  <si>
    <r>
      <rPr>
        <rFont val="Myanmar Sangam MN"/>
        <color theme="1"/>
        <sz val="10.0"/>
      </rPr>
      <t>၂၂၀၂</t>
    </r>
  </si>
  <si>
    <r>
      <rPr>
        <rFont val="Myanmar Sangam MN"/>
        <b/>
        <color theme="1"/>
        <sz val="9.0"/>
      </rPr>
      <t>၂.၇၂%</t>
    </r>
  </si>
  <si>
    <r>
      <rPr>
        <rFont val="Myanmar Sangam MN"/>
        <color theme="1"/>
        <sz val="10.0"/>
      </rPr>
      <t>ဦးေအာင်ြမင့်သူ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</si>
  <si>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</si>
  <si>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၈၄၇</t>
    </r>
  </si>
  <si>
    <r>
      <rPr>
        <rFont val="Myanmar Sangam MN"/>
        <color theme="1"/>
        <sz val="10.0"/>
      </rPr>
      <t>၂၂၃</t>
    </r>
  </si>
  <si>
    <r>
      <rPr>
        <rFont val="Myanmar Sangam MN"/>
        <color theme="1"/>
        <sz val="10.0"/>
      </rPr>
      <t>၁၀၇၀</t>
    </r>
  </si>
  <si>
    <r>
      <rPr>
        <rFont val="Myanmar Sangam MN"/>
        <b/>
        <color theme="1"/>
        <sz val="9.0"/>
      </rPr>
      <t>၁.၃၂%</t>
    </r>
  </si>
  <si>
    <r>
      <rPr>
        <rFont val="Myanmar Sangam MN"/>
        <color theme="1"/>
        <sz val="10.0"/>
      </rPr>
      <t>ေဒခင်ေလးရီ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</si>
  <si>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</si>
  <si>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၅၅၈</t>
    </r>
  </si>
  <si>
    <r>
      <rPr>
        <rFont val="Myanmar Sangam MN"/>
        <color theme="1"/>
        <sz val="10.0"/>
      </rPr>
      <t>၂၁၉</t>
    </r>
  </si>
  <si>
    <r>
      <rPr>
        <rFont val="Myanmar Sangam MN"/>
        <color theme="1"/>
        <sz val="10.0"/>
      </rPr>
      <t>၇၇၇</t>
    </r>
  </si>
  <si>
    <r>
      <rPr>
        <rFont val="Myanmar Sangam MN"/>
        <b/>
        <color theme="1"/>
        <sz val="9.0"/>
      </rPr>
      <t>၀.၉၆%</t>
    </r>
  </si>
  <si>
    <r>
      <rPr>
        <rFont val="Myanmar Sangam MN"/>
        <color theme="1"/>
        <sz val="10.0"/>
      </rPr>
      <t>ေစာေအာင်ဝင်း</t>
    </r>
  </si>
  <si>
    <r>
      <rPr>
        <rFont val="Myanmar Sangam MN"/>
        <color theme="1"/>
        <sz val="10.0"/>
      </rPr>
      <t>ကရင်ြပည်သူ ပါတီ</t>
    </r>
  </si>
  <si>
    <r>
      <rPr>
        <rFont val="Myanmar Sangam MN"/>
        <color theme="1"/>
        <sz val="10.0"/>
      </rPr>
      <t>၃၂၂</t>
    </r>
  </si>
  <si>
    <r>
      <rPr>
        <rFont val="Myanmar Sangam MN"/>
        <color theme="1"/>
        <sz val="10.0"/>
      </rPr>
      <t>၁၀၁</t>
    </r>
  </si>
  <si>
    <r>
      <rPr>
        <rFont val="Myanmar Sangam MN"/>
        <color theme="1"/>
        <sz val="10.0"/>
      </rPr>
      <t>၄၂၃</t>
    </r>
  </si>
  <si>
    <r>
      <rPr>
        <rFont val="Myanmar Sangam MN"/>
        <b/>
        <color theme="1"/>
        <sz val="9.0"/>
      </rPr>
      <t>၀.၅၂%</t>
    </r>
  </si>
  <si>
    <r>
      <rPr>
        <rFont val="Myanmar Sangam MN"/>
        <b/>
        <color theme="1"/>
        <sz val="10.0"/>
      </rPr>
      <t>၇၂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</si>
  <si>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</si>
  <si>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၁၁၂၆၃၅</t>
    </r>
  </si>
  <si>
    <r>
      <rPr>
        <rFont val="Myanmar Sangam MN"/>
        <b/>
        <color theme="1"/>
        <sz val="10.0"/>
      </rPr>
      <t>၆၄၃၂၃</t>
    </r>
  </si>
  <si>
    <r>
      <rPr>
        <rFont val="Myanmar Sangam MN"/>
        <b/>
        <color theme="1"/>
        <sz val="10.0"/>
      </rPr>
      <t>၁၁၇၂၅</t>
    </r>
  </si>
  <si>
    <r>
      <rPr>
        <rFont val="Myanmar Sangam MN"/>
        <b/>
        <color theme="1"/>
        <sz val="10.0"/>
      </rPr>
      <t>၇၆၀၄၈</t>
    </r>
  </si>
  <si>
    <r>
      <rPr>
        <rFont val="Myanmar Sangam MN"/>
        <b/>
        <color theme="1"/>
        <sz val="10.0"/>
      </rPr>
      <t>၆၇.၅၂</t>
    </r>
  </si>
  <si>
    <r>
      <rPr>
        <rFont val="Myanmar Sangam MN"/>
        <b/>
        <color theme="1"/>
        <sz val="10.0"/>
      </rPr>
      <t>၂၅၃၆</t>
    </r>
  </si>
  <si>
    <r>
      <rPr>
        <rFont val="Myanmar Sangam MN"/>
        <b/>
        <color theme="1"/>
        <sz val="10.0"/>
      </rPr>
      <t>၁၄၆</t>
    </r>
  </si>
  <si>
    <r>
      <rPr>
        <rFont val="Myanmar Sangam MN"/>
        <b/>
        <color theme="1"/>
        <sz val="10.0"/>
      </rPr>
      <t>၂၆၈၂</t>
    </r>
  </si>
  <si>
    <r>
      <rPr>
        <rFont val="Myanmar Sangam MN"/>
        <b/>
        <color theme="1"/>
        <sz val="10.0"/>
      </rPr>
      <t>၆၂၀၆၅</t>
    </r>
  </si>
  <si>
    <r>
      <rPr>
        <rFont val="Myanmar Sangam MN"/>
        <b/>
        <color theme="1"/>
        <sz val="10.0"/>
      </rPr>
      <t>၁၁၃၀၁</t>
    </r>
  </si>
  <si>
    <r>
      <rPr>
        <rFont val="Myanmar Sangam MN"/>
        <b/>
        <color theme="1"/>
        <sz val="10.0"/>
      </rPr>
      <t>၇၃၃၆၆</t>
    </r>
  </si>
  <si>
    <r>
      <rPr>
        <rFont val="Myanmar Sangam MN"/>
        <color theme="1"/>
        <sz val="10.0"/>
      </rPr>
      <t>ဦးမင်းေဇာ်တင့်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</si>
  <si>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</si>
  <si>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၄၈၉၇၃</t>
    </r>
  </si>
  <si>
    <r>
      <rPr>
        <rFont val="Myanmar Sangam MN"/>
        <color theme="1"/>
        <sz val="10.0"/>
      </rPr>
      <t>၈၀၃၅</t>
    </r>
  </si>
  <si>
    <r>
      <rPr>
        <rFont val="Myanmar Sangam MN"/>
        <color theme="1"/>
        <sz val="10.0"/>
      </rPr>
      <t>၅၇၀၀၈</t>
    </r>
  </si>
  <si>
    <r>
      <rPr>
        <rFont val="Myanmar Sangam MN"/>
        <b/>
        <color theme="1"/>
        <sz val="9.0"/>
      </rPr>
      <t>၇၇.၇၀%</t>
    </r>
  </si>
  <si>
    <r>
      <rPr>
        <rFont val="Myanmar Sangam MN"/>
        <color theme="1"/>
        <sz val="10.0"/>
      </rPr>
      <t>ဦးမိုးြမင့်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</si>
  <si>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</si>
  <si>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၇၃၄၃</t>
    </r>
  </si>
  <si>
    <r>
      <rPr>
        <rFont val="Myanmar Sangam MN"/>
        <color theme="1"/>
        <sz val="10.0"/>
      </rPr>
      <t>၁၇၇၆</t>
    </r>
  </si>
  <si>
    <r>
      <rPr>
        <rFont val="Myanmar Sangam MN"/>
        <color theme="1"/>
        <sz val="10.0"/>
      </rPr>
      <t>၉၁၁၉</t>
    </r>
  </si>
  <si>
    <r>
      <rPr>
        <rFont val="Myanmar Sangam MN"/>
        <b/>
        <color theme="1"/>
        <sz val="9.0"/>
      </rPr>
      <t>၁၂.၄၃%</t>
    </r>
  </si>
  <si>
    <r>
      <rPr>
        <rFont val="Myanmar Sangam MN"/>
        <color theme="1"/>
        <sz val="10.0"/>
      </rPr>
      <t>ဦးလှြမင့်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</si>
  <si>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</si>
  <si>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၃၀၄၇</t>
    </r>
  </si>
  <si>
    <r>
      <rPr>
        <rFont val="Myanmar Sangam MN"/>
        <color theme="1"/>
        <sz val="10.0"/>
      </rPr>
      <t>၇၉၇</t>
    </r>
  </si>
  <si>
    <r>
      <rPr>
        <rFont val="Myanmar Sangam MN"/>
        <color theme="1"/>
        <sz val="10.0"/>
      </rPr>
      <t>၃၈၄၄</t>
    </r>
  </si>
  <si>
    <r>
      <rPr>
        <rFont val="Myanmar Sangam MN"/>
        <b/>
        <color theme="1"/>
        <sz val="9.0"/>
      </rPr>
      <t>၅.၂၄%</t>
    </r>
  </si>
  <si>
    <r>
      <rPr>
        <rFont val="Myanmar Sangam MN"/>
        <color theme="1"/>
        <sz val="10.0"/>
      </rPr>
      <t>ဦးကည်မင်းဟန်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</si>
  <si>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</si>
  <si>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၁၀၉၉</t>
    </r>
  </si>
  <si>
    <r>
      <rPr>
        <rFont val="Myanmar Sangam MN"/>
        <color theme="1"/>
        <sz val="10.0"/>
      </rPr>
      <t>၃၁၃</t>
    </r>
  </si>
  <si>
    <r>
      <rPr>
        <rFont val="Myanmar Sangam MN"/>
        <color theme="1"/>
        <sz val="10.0"/>
      </rPr>
      <t>၁၄၁၂</t>
    </r>
  </si>
  <si>
    <r>
      <rPr>
        <rFont val="Myanmar Sangam MN"/>
        <b/>
        <color theme="1"/>
        <sz val="9.0"/>
      </rPr>
      <t>၁.၉၂%</t>
    </r>
  </si>
  <si>
    <r>
      <rPr>
        <rFont val="Myanmar Sangam MN"/>
        <color theme="1"/>
        <sz val="10.0"/>
      </rPr>
      <t>ဦးကိုဦး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</si>
  <si>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</si>
  <si>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၅၄၂</t>
    </r>
  </si>
  <si>
    <r>
      <rPr>
        <rFont val="Myanmar Sangam MN"/>
        <color theme="1"/>
        <sz val="10.0"/>
      </rPr>
      <t>၁၇၄</t>
    </r>
  </si>
  <si>
    <r>
      <rPr>
        <rFont val="Myanmar Sangam MN"/>
        <color theme="1"/>
        <sz val="10.0"/>
      </rPr>
      <t>၇၁၆</t>
    </r>
  </si>
  <si>
    <r>
      <rPr>
        <rFont val="Myanmar Sangam MN"/>
        <b/>
        <color theme="1"/>
        <sz val="9.0"/>
      </rPr>
      <t>၀.၉၈%</t>
    </r>
  </si>
  <si>
    <r>
      <rPr>
        <rFont val="Myanmar Sangam MN"/>
        <color theme="1"/>
        <sz val="10.0"/>
      </rPr>
      <t>ဦးထင်ေကျာ်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</si>
  <si>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</si>
  <si>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၅၈၃</t>
    </r>
  </si>
  <si>
    <r>
      <rPr>
        <rFont val="Myanmar Sangam MN"/>
        <color theme="1"/>
        <sz val="10.0"/>
      </rPr>
      <t>၉၈</t>
    </r>
  </si>
  <si>
    <r>
      <rPr>
        <rFont val="Myanmar Sangam MN"/>
        <color theme="1"/>
        <sz val="10.0"/>
      </rPr>
      <t>၆၈၁</t>
    </r>
  </si>
  <si>
    <r>
      <rPr>
        <rFont val="Myanmar Sangam MN"/>
        <b/>
        <color theme="1"/>
        <sz val="9.0"/>
      </rPr>
      <t>၀.၉၃%</t>
    </r>
  </si>
  <si>
    <r>
      <rPr>
        <rFont val="Myanmar Sangam MN"/>
        <color theme="1"/>
        <sz val="10.0"/>
      </rPr>
      <t>ဦးခင်ေမာင်သန်း</t>
    </r>
  </si>
  <si>
    <r>
      <rPr>
        <rFont val="Myanmar Sangam MN"/>
        <color theme="1"/>
        <sz val="10.0"/>
      </rPr>
      <t>ြပည်သူ ပါတီ</t>
    </r>
  </si>
  <si>
    <r>
      <rPr>
        <rFont val="Myanmar Sangam MN"/>
        <color theme="1"/>
        <sz val="10.0"/>
      </rPr>
      <t>၄၇၈</t>
    </r>
  </si>
  <si>
    <r>
      <rPr>
        <rFont val="Myanmar Sangam MN"/>
        <color theme="1"/>
        <sz val="10.0"/>
      </rPr>
      <t>၁၀၈</t>
    </r>
  </si>
  <si>
    <r>
      <rPr>
        <rFont val="Myanmar Sangam MN"/>
        <color theme="1"/>
        <sz val="10.0"/>
      </rPr>
      <t>၅၈၆</t>
    </r>
  </si>
  <si>
    <r>
      <rPr>
        <rFont val="Myanmar Sangam MN"/>
        <b/>
        <color theme="1"/>
        <sz val="9.0"/>
      </rPr>
      <t>၀.၈၀%</t>
    </r>
  </si>
  <si>
    <r>
      <rPr>
        <rFont val="Myanmar Sangam MN"/>
        <b/>
        <color theme="1"/>
        <sz val="10.0"/>
      </rPr>
      <t>ပဲခူးတိုင်းေဒသကီး</t>
    </r>
  </si>
  <si>
    <r>
      <rPr>
        <rFont val="Myanmar Sangam MN"/>
        <b/>
        <color theme="1"/>
        <sz val="10.0"/>
      </rPr>
      <t>၃၉၅၁၆၃၇</t>
    </r>
  </si>
  <si>
    <r>
      <rPr>
        <rFont val="Myanmar Sangam MN"/>
        <b/>
        <color theme="1"/>
        <sz val="10.0"/>
      </rPr>
      <t>၂၁၈၀၅၆၀</t>
    </r>
  </si>
  <si>
    <r>
      <rPr>
        <rFont val="Myanmar Sangam MN"/>
        <b/>
        <color theme="1"/>
        <sz val="10.0"/>
      </rPr>
      <t>၆၅၈၃၈၆</t>
    </r>
  </si>
  <si>
    <r>
      <rPr>
        <rFont val="Myanmar Sangam MN"/>
        <b/>
        <color theme="1"/>
        <sz val="10.0"/>
      </rPr>
      <t>၂၈၃၈၉၄၆</t>
    </r>
  </si>
  <si>
    <r>
      <rPr>
        <rFont val="Myanmar Sangam MN"/>
        <b/>
        <color theme="1"/>
        <sz val="10.0"/>
      </rPr>
      <t>၇၁.၈၄</t>
    </r>
  </si>
  <si>
    <r>
      <rPr>
        <rFont val="Myanmar Sangam MN"/>
        <b/>
        <color theme="1"/>
        <sz val="10.0"/>
      </rPr>
      <t>၆၃၉၈၆</t>
    </r>
  </si>
  <si>
    <r>
      <rPr>
        <rFont val="Myanmar Sangam MN"/>
        <b/>
        <color theme="1"/>
        <sz val="10.0"/>
      </rPr>
      <t>၂၁၃၀</t>
    </r>
  </si>
  <si>
    <r>
      <rPr>
        <rFont val="Myanmar Sangam MN"/>
        <b/>
        <color theme="1"/>
        <sz val="10.0"/>
      </rPr>
      <t>၆၆၁၁၆</t>
    </r>
  </si>
  <si>
    <r>
      <rPr>
        <rFont val="Myanmar Sangam MN"/>
        <b/>
        <color theme="1"/>
        <sz val="10.0"/>
      </rPr>
      <t>၂၁၂၃၅၉၇</t>
    </r>
  </si>
  <si>
    <r>
      <rPr>
        <rFont val="Myanmar Sangam MN"/>
        <b/>
        <color theme="1"/>
        <sz val="10.0"/>
      </rPr>
      <t>၆၄၉၂၃၃</t>
    </r>
  </si>
  <si>
    <r>
      <rPr>
        <rFont val="Myanmar Sangam MN"/>
        <b/>
        <color theme="1"/>
        <sz val="10.0"/>
      </rPr>
      <t>၂၇၇၂၈၃၀</t>
    </r>
  </si>
  <si>
    <r>
      <rPr>
        <rFont val="Myanmar Sangam MN"/>
        <b/>
        <color theme="1"/>
        <sz val="10.0"/>
      </rPr>
      <t>၇၃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</si>
  <si>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</si>
  <si>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၂၉၈၅၆၉</t>
    </r>
  </si>
  <si>
    <r>
      <rPr>
        <rFont val="Myanmar Sangam MN"/>
        <b/>
        <color theme="1"/>
        <sz val="10.0"/>
      </rPr>
      <t>၁၆၃၉၆၃</t>
    </r>
  </si>
  <si>
    <r>
      <rPr>
        <rFont val="Myanmar Sangam MN"/>
        <b/>
        <color theme="1"/>
        <sz val="10.0"/>
      </rPr>
      <t>၃၆၃၅၇</t>
    </r>
  </si>
  <si>
    <r>
      <rPr>
        <rFont val="Myanmar Sangam MN"/>
        <b/>
        <color theme="1"/>
        <sz val="10.0"/>
      </rPr>
      <t>၂၀၀၃၂၀</t>
    </r>
  </si>
  <si>
    <r>
      <rPr>
        <rFont val="Myanmar Sangam MN"/>
        <b/>
        <color theme="1"/>
        <sz val="10.0"/>
      </rPr>
      <t>၆၇.၀၉</t>
    </r>
  </si>
  <si>
    <r>
      <rPr>
        <rFont val="Myanmar Sangam MN"/>
        <b/>
        <color theme="1"/>
        <sz val="10.0"/>
      </rPr>
      <t>၆၈၀၀</t>
    </r>
  </si>
  <si>
    <r>
      <rPr>
        <rFont val="Myanmar Sangam MN"/>
        <b/>
        <color theme="1"/>
        <sz val="10.0"/>
      </rPr>
      <t>၁၇၄</t>
    </r>
  </si>
  <si>
    <r>
      <rPr>
        <rFont val="Myanmar Sangam MN"/>
        <b/>
        <color theme="1"/>
        <sz val="10.0"/>
      </rPr>
      <t>၆၉၇၄</t>
    </r>
  </si>
  <si>
    <r>
      <rPr>
        <rFont val="Myanmar Sangam MN"/>
        <color theme="1"/>
        <sz val="10.0"/>
      </rPr>
      <t>၁၅၇၁၅၅</t>
    </r>
  </si>
  <si>
    <r>
      <rPr>
        <rFont val="Myanmar Sangam MN"/>
        <color theme="1"/>
        <sz val="10.0"/>
      </rPr>
      <t>၃၆၁၉၁</t>
    </r>
  </si>
  <si>
    <r>
      <rPr>
        <rFont val="Myanmar Sangam MN"/>
        <b/>
        <color theme="1"/>
        <sz val="10.0"/>
      </rPr>
      <t>၁၉၃၃၄၆</t>
    </r>
  </si>
  <si>
    <r>
      <rPr>
        <rFont val="Myanmar Sangam MN"/>
        <color theme="1"/>
        <sz val="10.0"/>
      </rPr>
      <t xml:space="preserve">ေဒါက်တာဝင်းေရ 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</si>
  <si>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</si>
  <si>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၁၀၅၄၈၁</t>
    </r>
  </si>
  <si>
    <r>
      <rPr>
        <rFont val="Myanmar Sangam MN"/>
        <color theme="1"/>
        <sz val="10.0"/>
      </rPr>
      <t>၂၁၅၈၄</t>
    </r>
  </si>
  <si>
    <r>
      <rPr>
        <rFont val="Myanmar Sangam MN"/>
        <color theme="1"/>
        <sz val="10.0"/>
      </rPr>
      <t>၁၂၇၀၆၅</t>
    </r>
  </si>
  <si>
    <r>
      <rPr>
        <rFont val="Myanmar Sangam MN"/>
        <b/>
        <color theme="1"/>
        <sz val="9.0"/>
      </rPr>
      <t>၆၅.၇၂%</t>
    </r>
  </si>
  <si>
    <r>
      <rPr>
        <rFont val="Myanmar Sangam MN"/>
        <color theme="1"/>
        <sz val="10.0"/>
      </rPr>
      <t>ဦးစိုးသူ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</si>
  <si>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</si>
  <si>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၃၀၈၀၆</t>
    </r>
  </si>
  <si>
    <r>
      <rPr>
        <rFont val="Myanmar Sangam MN"/>
        <color theme="1"/>
        <sz val="10.0"/>
      </rPr>
      <t>၉၀၁၀</t>
    </r>
  </si>
  <si>
    <r>
      <rPr>
        <rFont val="Myanmar Sangam MN"/>
        <color theme="1"/>
        <sz val="10.0"/>
      </rPr>
      <t>၃၉၈၁၆</t>
    </r>
  </si>
  <si>
    <r>
      <rPr>
        <rFont val="Myanmar Sangam MN"/>
        <b/>
        <color theme="1"/>
        <sz val="9.0"/>
      </rPr>
      <t>၂၀.၅၉%</t>
    </r>
  </si>
  <si>
    <r>
      <rPr>
        <rFont val="Myanmar Sangam MN"/>
        <color theme="1"/>
        <sz val="10.0"/>
      </rPr>
      <t>ဦးထင်ေအာင်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</si>
  <si>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</si>
  <si>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၂၀၈၆၈</t>
    </r>
  </si>
  <si>
    <r>
      <rPr>
        <rFont val="Myanmar Sangam MN"/>
        <color theme="1"/>
        <sz val="10.0"/>
      </rPr>
      <t>၅၅၉၇</t>
    </r>
  </si>
  <si>
    <r>
      <rPr>
        <rFont val="Myanmar Sangam MN"/>
        <color theme="1"/>
        <sz val="10.0"/>
      </rPr>
      <t>၂၆၄၆၅</t>
    </r>
  </si>
  <si>
    <r>
      <rPr>
        <rFont val="Myanmar Sangam MN"/>
        <b/>
        <color theme="1"/>
        <sz val="9.0"/>
      </rPr>
      <t>၁၃.၆၉%</t>
    </r>
  </si>
  <si>
    <r>
      <rPr>
        <rFont val="Myanmar Sangam MN"/>
        <b/>
        <color theme="1"/>
        <sz val="10.0"/>
      </rPr>
      <t>၇၄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</si>
  <si>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</si>
  <si>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၃၆၆၉၂၂</t>
    </r>
  </si>
  <si>
    <r>
      <rPr>
        <rFont val="Myanmar Sangam MN"/>
        <b/>
        <color theme="1"/>
        <sz val="10.0"/>
      </rPr>
      <t>၁၉၈၂၃၂</t>
    </r>
  </si>
  <si>
    <r>
      <rPr>
        <rFont val="Myanmar Sangam MN"/>
        <b/>
        <color theme="1"/>
        <sz val="10.0"/>
      </rPr>
      <t>၆၆၃၀၂</t>
    </r>
  </si>
  <si>
    <r>
      <rPr>
        <rFont val="Myanmar Sangam MN"/>
        <b/>
        <color theme="1"/>
        <sz val="10.0"/>
      </rPr>
      <t>၂၆၄၅၃၄</t>
    </r>
  </si>
  <si>
    <r>
      <rPr>
        <rFont val="Myanmar Sangam MN"/>
        <b/>
        <color theme="1"/>
        <sz val="10.0"/>
      </rPr>
      <t>၇၂.၁၀</t>
    </r>
  </si>
  <si>
    <r>
      <rPr>
        <rFont val="Myanmar Sangam MN"/>
        <b/>
        <color theme="1"/>
        <sz val="10.0"/>
      </rPr>
      <t>၇၃၈၂</t>
    </r>
  </si>
  <si>
    <r>
      <rPr>
        <rFont val="Myanmar Sangam MN"/>
        <b/>
        <color theme="1"/>
        <sz val="10.0"/>
      </rPr>
      <t>၂၉၅</t>
    </r>
  </si>
  <si>
    <r>
      <rPr>
        <rFont val="Myanmar Sangam MN"/>
        <b/>
        <color theme="1"/>
        <sz val="10.0"/>
      </rPr>
      <t>၇၆၇၇</t>
    </r>
  </si>
  <si>
    <r>
      <rPr>
        <rFont val="Myanmar Sangam MN"/>
        <b/>
        <color theme="1"/>
        <sz val="10.0"/>
      </rPr>
      <t>၁၉၂၀၇၄</t>
    </r>
  </si>
  <si>
    <r>
      <rPr>
        <rFont val="Myanmar Sangam MN"/>
        <b/>
        <color theme="1"/>
        <sz val="10.0"/>
      </rPr>
      <t>၆၄၇၈၃</t>
    </r>
  </si>
  <si>
    <r>
      <rPr>
        <rFont val="Myanmar Sangam MN"/>
        <b/>
        <color theme="1"/>
        <sz val="10.0"/>
      </rPr>
      <t>၂၅၆၈၅၇</t>
    </r>
  </si>
  <si>
    <r>
      <rPr>
        <rFont val="Myanmar Sangam MN"/>
        <color theme="1"/>
        <sz val="10.0"/>
      </rPr>
      <t>ေဒါက်တာတင်တင်ဝင်း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</si>
  <si>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</si>
  <si>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၁၃၈၈၄၉</t>
    </r>
  </si>
  <si>
    <r>
      <rPr>
        <rFont val="Myanmar Sangam MN"/>
        <color theme="1"/>
        <sz val="10.0"/>
      </rPr>
      <t>၄၀၅၉၅</t>
    </r>
  </si>
  <si>
    <r>
      <rPr>
        <rFont val="Myanmar Sangam MN"/>
        <color theme="1"/>
        <sz val="10.0"/>
      </rPr>
      <t>၁၇၉၄၄၄</t>
    </r>
  </si>
  <si>
    <r>
      <rPr>
        <rFont val="Myanmar Sangam MN"/>
        <b/>
        <color theme="1"/>
        <sz val="9.0"/>
      </rPr>
      <t>၆၉.၈၆%</t>
    </r>
  </si>
  <si>
    <r>
      <rPr>
        <rFont val="Myanmar Sangam MN"/>
        <color theme="1"/>
        <sz val="10.0"/>
      </rPr>
      <t>ေဒနီနီမာ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</si>
  <si>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</si>
  <si>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၅၀၄၈၇</t>
    </r>
  </si>
  <si>
    <r>
      <rPr>
        <rFont val="Myanmar Sangam MN"/>
        <color theme="1"/>
        <sz val="10.0"/>
      </rPr>
      <t>၂၂၇၄၀</t>
    </r>
  </si>
  <si>
    <r>
      <rPr>
        <rFont val="Myanmar Sangam MN"/>
        <color theme="1"/>
        <sz val="10.0"/>
      </rPr>
      <t>၇၃၂၂၇</t>
    </r>
  </si>
  <si>
    <r>
      <rPr>
        <rFont val="Myanmar Sangam MN"/>
        <b/>
        <color theme="1"/>
        <sz val="9.0"/>
      </rPr>
      <t>၂၈.၅၁%</t>
    </r>
  </si>
  <si>
    <r>
      <rPr>
        <rFont val="Myanmar Sangam MN"/>
        <color theme="1"/>
        <sz val="10.0"/>
      </rPr>
      <t>ေဒချစ်ပုံပံုေထွး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</si>
  <si>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</si>
  <si>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၂၇၃၈</t>
    </r>
  </si>
  <si>
    <r>
      <rPr>
        <rFont val="Myanmar Sangam MN"/>
        <color theme="1"/>
        <sz val="10.0"/>
      </rPr>
      <t>၁၄၄၈</t>
    </r>
  </si>
  <si>
    <r>
      <rPr>
        <rFont val="Myanmar Sangam MN"/>
        <color theme="1"/>
        <sz val="10.0"/>
      </rPr>
      <t>၄၁၈၆</t>
    </r>
  </si>
  <si>
    <r>
      <rPr>
        <rFont val="Myanmar Sangam MN"/>
        <b/>
        <color theme="1"/>
        <sz val="9.0"/>
      </rPr>
      <t>၁.၆၃%</t>
    </r>
  </si>
  <si>
    <r>
      <rPr>
        <rFont val="Myanmar Sangam MN"/>
        <b/>
        <color theme="1"/>
        <sz val="10.0"/>
      </rPr>
      <t>၇၅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</si>
  <si>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</si>
  <si>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၂၂၈၉၆၀</t>
    </r>
  </si>
  <si>
    <r>
      <rPr>
        <rFont val="Myanmar Sangam MN"/>
        <b/>
        <color theme="1"/>
        <sz val="10.0"/>
      </rPr>
      <t>၁၂၉၁၀၆</t>
    </r>
  </si>
  <si>
    <r>
      <rPr>
        <rFont val="Myanmar Sangam MN"/>
        <b/>
        <color theme="1"/>
        <sz val="10.0"/>
      </rPr>
      <t>၂၇၇၁၅</t>
    </r>
  </si>
  <si>
    <r>
      <rPr>
        <rFont val="Myanmar Sangam MN"/>
        <b/>
        <color theme="1"/>
        <sz val="10.0"/>
      </rPr>
      <t>၁၅၆၈၂၁</t>
    </r>
  </si>
  <si>
    <r>
      <rPr>
        <rFont val="Myanmar Sangam MN"/>
        <b/>
        <color theme="1"/>
        <sz val="10.0"/>
      </rPr>
      <t>၆၈.၄၉</t>
    </r>
  </si>
  <si>
    <r>
      <rPr>
        <rFont val="Myanmar Sangam MN"/>
        <b/>
        <color theme="1"/>
        <sz val="10.0"/>
      </rPr>
      <t>၃၈၂၉</t>
    </r>
  </si>
  <si>
    <r>
      <rPr>
        <rFont val="Myanmar Sangam MN"/>
        <b/>
        <color theme="1"/>
        <sz val="10.0"/>
      </rPr>
      <t>-</t>
    </r>
  </si>
  <si>
    <r>
      <rPr>
        <rFont val="Myanmar Sangam MN"/>
        <b/>
        <color theme="1"/>
        <sz val="10.0"/>
      </rPr>
      <t>၃၈၂၉</t>
    </r>
  </si>
  <si>
    <r>
      <rPr>
        <rFont val="Myanmar Sangam MN"/>
        <b/>
        <color theme="1"/>
        <sz val="10.0"/>
      </rPr>
      <t>၁၂၅၈၁၇</t>
    </r>
  </si>
  <si>
    <r>
      <rPr>
        <rFont val="Myanmar Sangam MN"/>
        <b/>
        <color theme="1"/>
        <sz val="10.0"/>
      </rPr>
      <t>၂၇၁၇၅</t>
    </r>
  </si>
  <si>
    <r>
      <rPr>
        <rFont val="Myanmar Sangam MN"/>
        <b/>
        <color theme="1"/>
        <sz val="10.0"/>
      </rPr>
      <t>၁၅၂၉၉၂</t>
    </r>
  </si>
  <si>
    <r>
      <rPr>
        <rFont val="Myanmar Sangam MN"/>
        <color theme="1"/>
        <sz val="10.0"/>
      </rPr>
      <t>ဦးမင်းဦး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</si>
  <si>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</si>
  <si>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၈၉၇၀၅</t>
    </r>
  </si>
  <si>
    <r>
      <rPr>
        <rFont val="Myanmar Sangam MN"/>
        <color theme="1"/>
        <sz val="10.0"/>
      </rPr>
      <t>၁၇၈၄၉</t>
    </r>
  </si>
  <si>
    <r>
      <rPr>
        <rFont val="Myanmar Sangam MN"/>
        <color theme="1"/>
        <sz val="10.0"/>
      </rPr>
      <t>၁၀၇၅၅၄</t>
    </r>
  </si>
  <si>
    <r>
      <rPr>
        <rFont val="Myanmar Sangam MN"/>
        <b/>
        <color theme="1"/>
        <sz val="9.0"/>
      </rPr>
      <t>၇၀.၃၀%</t>
    </r>
  </si>
  <si>
    <r>
      <rPr>
        <rFont val="Myanmar Sangam MN"/>
        <color theme="1"/>
        <sz val="10.0"/>
      </rPr>
      <t>ဦးစိုးိုင်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</si>
  <si>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</si>
  <si>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၃၃၂၄၇</t>
    </r>
  </si>
  <si>
    <r>
      <rPr>
        <rFont val="Myanmar Sangam MN"/>
        <color theme="1"/>
        <sz val="10.0"/>
      </rPr>
      <t>၈၆၇၀</t>
    </r>
  </si>
  <si>
    <r>
      <rPr>
        <rFont val="Myanmar Sangam MN"/>
        <color theme="1"/>
        <sz val="10.0"/>
      </rPr>
      <t>၄၁၉၁၇</t>
    </r>
  </si>
  <si>
    <r>
      <rPr>
        <rFont val="Myanmar Sangam MN"/>
        <b/>
        <color theme="1"/>
        <sz val="9.0"/>
      </rPr>
      <t>၂၇.၄၀%</t>
    </r>
  </si>
  <si>
    <r>
      <rPr>
        <rFont val="Myanmar Sangam MN"/>
        <color theme="1"/>
        <sz val="10.0"/>
      </rPr>
      <t>ဦးေဇာ်မင်းိုင်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</si>
  <si>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</si>
  <si>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၂၈၆၅</t>
    </r>
  </si>
  <si>
    <r>
      <rPr>
        <rFont val="Myanmar Sangam MN"/>
        <color theme="1"/>
        <sz val="10.0"/>
      </rPr>
      <t>၆၅၆</t>
    </r>
  </si>
  <si>
    <r>
      <rPr>
        <rFont val="Myanmar Sangam MN"/>
        <color theme="1"/>
        <sz val="10.0"/>
      </rPr>
      <t>၃၅၂၁</t>
    </r>
  </si>
  <si>
    <r>
      <rPr>
        <rFont val="Myanmar Sangam MN"/>
        <b/>
        <color theme="1"/>
        <sz val="9.0"/>
      </rPr>
      <t>၂.၃၀%</t>
    </r>
  </si>
  <si>
    <r>
      <rPr>
        <rFont val="Myanmar Sangam MN"/>
        <b/>
        <color theme="1"/>
        <sz val="10.0"/>
      </rPr>
      <t>၇၆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</si>
  <si>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</si>
  <si>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၂၈၂၂၃၁</t>
    </r>
  </si>
  <si>
    <r>
      <rPr>
        <rFont val="Myanmar Sangam MN"/>
        <b/>
        <color theme="1"/>
        <sz val="10.0"/>
      </rPr>
      <t>၁၄၅၁၃၉</t>
    </r>
  </si>
  <si>
    <r>
      <rPr>
        <rFont val="Myanmar Sangam MN"/>
        <b/>
        <color theme="1"/>
        <sz val="10.0"/>
      </rPr>
      <t>၄၃၅၇၃</t>
    </r>
  </si>
  <si>
    <r>
      <rPr>
        <rFont val="Myanmar Sangam MN"/>
        <b/>
        <color theme="1"/>
        <sz val="10.0"/>
      </rPr>
      <t>၁၈၈၇၁၂</t>
    </r>
  </si>
  <si>
    <r>
      <rPr>
        <rFont val="Myanmar Sangam MN"/>
        <b/>
        <color theme="1"/>
        <sz val="10.0"/>
      </rPr>
      <t>၆၆.၈၆</t>
    </r>
  </si>
  <si>
    <r>
      <rPr>
        <rFont val="Myanmar Sangam MN"/>
        <b/>
        <color theme="1"/>
        <sz val="10.0"/>
      </rPr>
      <t>၅၃၅၀</t>
    </r>
  </si>
  <si>
    <r>
      <rPr>
        <rFont val="Myanmar Sangam MN"/>
        <b/>
        <color theme="1"/>
        <sz val="10.0"/>
      </rPr>
      <t>၆၂</t>
    </r>
  </si>
  <si>
    <r>
      <rPr>
        <rFont val="Myanmar Sangam MN"/>
        <b/>
        <color theme="1"/>
        <sz val="10.0"/>
      </rPr>
      <t>၅၄၁၂</t>
    </r>
  </si>
  <si>
    <r>
      <rPr>
        <rFont val="Myanmar Sangam MN"/>
        <b/>
        <color theme="1"/>
        <sz val="10.0"/>
      </rPr>
      <t>၁၄၀၁၄၃</t>
    </r>
  </si>
  <si>
    <r>
      <rPr>
        <rFont val="Myanmar Sangam MN"/>
        <b/>
        <color theme="1"/>
        <sz val="10.0"/>
      </rPr>
      <t>၄၃၁၅၇</t>
    </r>
  </si>
  <si>
    <r>
      <rPr>
        <rFont val="Myanmar Sangam MN"/>
        <b/>
        <color theme="1"/>
        <sz val="10.0"/>
      </rPr>
      <t>၁၈၃၃၀၀</t>
    </r>
  </si>
  <si>
    <r>
      <rPr>
        <rFont val="Myanmar Sangam MN"/>
        <color theme="1"/>
        <sz val="10.0"/>
      </rPr>
      <t>ဦးေအာင်မင်းထွန်း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</si>
  <si>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</si>
  <si>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၁၁၁၇၅၆</t>
    </r>
  </si>
  <si>
    <r>
      <rPr>
        <rFont val="Myanmar Sangam MN"/>
        <color theme="1"/>
        <sz val="10.0"/>
      </rPr>
      <t>၃၂၈၀၀</t>
    </r>
  </si>
  <si>
    <r>
      <rPr>
        <rFont val="Myanmar Sangam MN"/>
        <color theme="1"/>
        <sz val="10.0"/>
      </rPr>
      <t>၁၄၄၅၅၆</t>
    </r>
  </si>
  <si>
    <r>
      <rPr>
        <rFont val="Myanmar Sangam MN"/>
        <b/>
        <color theme="1"/>
        <sz val="9.0"/>
      </rPr>
      <t>၇၈.၈၆%</t>
    </r>
  </si>
  <si>
    <r>
      <rPr>
        <rFont val="Myanmar Sangam MN"/>
        <color theme="1"/>
        <sz val="10.0"/>
      </rPr>
      <t>ဦးြမင့်သိန်း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</si>
  <si>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</si>
  <si>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၂၂၆၁၉</t>
    </r>
  </si>
  <si>
    <r>
      <rPr>
        <rFont val="Myanmar Sangam MN"/>
        <color theme="1"/>
        <sz val="10.0"/>
      </rPr>
      <t>၇၇၆၁</t>
    </r>
  </si>
  <si>
    <r>
      <rPr>
        <rFont val="Myanmar Sangam MN"/>
        <color theme="1"/>
        <sz val="10.0"/>
      </rPr>
      <t>၃၀၃၈၀</t>
    </r>
  </si>
  <si>
    <r>
      <rPr>
        <rFont val="Myanmar Sangam MN"/>
        <b/>
        <color theme="1"/>
        <sz val="9.0"/>
      </rPr>
      <t>၁၆.၅၇%</t>
    </r>
  </si>
  <si>
    <r>
      <rPr>
        <rFont val="Myanmar Sangam MN"/>
        <color theme="1"/>
        <sz val="10.0"/>
      </rPr>
      <t>ဦးေဇာ်မင်းထွန်း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</si>
  <si>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</si>
  <si>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၄၅၈၀</t>
    </r>
  </si>
  <si>
    <r>
      <rPr>
        <rFont val="Myanmar Sangam MN"/>
        <color theme="1"/>
        <sz val="10.0"/>
      </rPr>
      <t>၁၉၆၂</t>
    </r>
  </si>
  <si>
    <r>
      <rPr>
        <rFont val="Myanmar Sangam MN"/>
        <color theme="1"/>
        <sz val="10.0"/>
      </rPr>
      <t>၆၅၄၂</t>
    </r>
  </si>
  <si>
    <r>
      <rPr>
        <rFont val="Myanmar Sangam MN"/>
        <b/>
        <color theme="1"/>
        <sz val="9.0"/>
      </rPr>
      <t>၃.၅၇%</t>
    </r>
  </si>
  <si>
    <r>
      <rPr>
        <rFont val="Myanmar Sangam MN"/>
        <color theme="1"/>
        <sz val="10.0"/>
      </rPr>
      <t>ေဒဇာကည်စိုး</t>
    </r>
  </si>
  <si>
    <r>
      <rPr>
        <rFont val="Myanmar Sangam MN"/>
        <color theme="1"/>
        <sz val="9.0"/>
      </rPr>
      <t>ြမန်မာုိင်ငံအလုပ်သမားလယ်သမားမဟာမိတ် ပါတီ</t>
    </r>
  </si>
  <si>
    <r>
      <rPr>
        <rFont val="Myanmar Sangam MN"/>
        <color theme="1"/>
        <sz val="10.0"/>
      </rPr>
      <t>၁၁၈၈</t>
    </r>
  </si>
  <si>
    <r>
      <rPr>
        <rFont val="Myanmar Sangam MN"/>
        <color theme="1"/>
        <sz val="10.0"/>
      </rPr>
      <t>၆၃၄</t>
    </r>
  </si>
  <si>
    <r>
      <rPr>
        <rFont val="Myanmar Sangam MN"/>
        <color theme="1"/>
        <sz val="10.0"/>
      </rPr>
      <t>၁၈၂၂</t>
    </r>
  </si>
  <si>
    <r>
      <rPr>
        <rFont val="Myanmar Sangam MN"/>
        <b/>
        <color theme="1"/>
        <sz val="9.0"/>
      </rPr>
      <t>၁.၀၀%</t>
    </r>
  </si>
  <si>
    <r>
      <rPr>
        <rFont val="Myanmar Sangam MN"/>
        <b/>
        <color theme="1"/>
        <sz val="10.0"/>
      </rPr>
      <t>၇၇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</si>
  <si>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</si>
  <si>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၃၆၆၇၈၃</t>
    </r>
  </si>
  <si>
    <r>
      <rPr>
        <rFont val="Myanmar Sangam MN"/>
        <b/>
        <color theme="1"/>
        <sz val="10.0"/>
      </rPr>
      <t>၁၈၅၅၆၁</t>
    </r>
  </si>
  <si>
    <r>
      <rPr>
        <rFont val="Myanmar Sangam MN"/>
        <b/>
        <color theme="1"/>
        <sz val="10.0"/>
      </rPr>
      <t>၄၈၃၅၂</t>
    </r>
  </si>
  <si>
    <r>
      <rPr>
        <rFont val="Myanmar Sangam MN"/>
        <b/>
        <color theme="1"/>
        <sz val="10.0"/>
      </rPr>
      <t>၂၃၃၉၁၃</t>
    </r>
  </si>
  <si>
    <r>
      <rPr>
        <rFont val="Myanmar Sangam MN"/>
        <b/>
        <color theme="1"/>
        <sz val="10.0"/>
      </rPr>
      <t>၆၃.၇၇</t>
    </r>
  </si>
  <si>
    <r>
      <rPr>
        <rFont val="Myanmar Sangam MN"/>
        <b/>
        <color theme="1"/>
        <sz val="10.0"/>
      </rPr>
      <t>၆၇၂၈</t>
    </r>
  </si>
  <si>
    <r>
      <rPr>
        <rFont val="Myanmar Sangam MN"/>
        <b/>
        <color theme="1"/>
        <sz val="10.0"/>
      </rPr>
      <t>၁၄၇</t>
    </r>
  </si>
  <si>
    <r>
      <rPr>
        <rFont val="Myanmar Sangam MN"/>
        <b/>
        <color theme="1"/>
        <sz val="10.0"/>
      </rPr>
      <t>၆၈၇၅</t>
    </r>
  </si>
  <si>
    <r>
      <rPr>
        <rFont val="Myanmar Sangam MN"/>
        <b/>
        <color theme="1"/>
        <sz val="10.0"/>
      </rPr>
      <t>၁၇၉၇၃၅</t>
    </r>
  </si>
  <si>
    <r>
      <rPr>
        <rFont val="Myanmar Sangam MN"/>
        <b/>
        <color theme="1"/>
        <sz val="10.0"/>
      </rPr>
      <t>၄၇၃၀၃</t>
    </r>
  </si>
  <si>
    <r>
      <rPr>
        <rFont val="Myanmar Sangam MN"/>
        <b/>
        <color theme="1"/>
        <sz val="10.0"/>
      </rPr>
      <t>၂၂၇၀၃၈</t>
    </r>
  </si>
  <si>
    <r>
      <rPr>
        <rFont val="Myanmar Sangam MN"/>
        <color theme="1"/>
        <sz val="10.0"/>
      </rPr>
      <t>ေဒါက်တာဝင်းြမတ်ေအး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</si>
  <si>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</si>
  <si>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၁၃၇၂၉၆</t>
    </r>
  </si>
  <si>
    <r>
      <rPr>
        <rFont val="Myanmar Sangam MN"/>
        <color theme="1"/>
        <sz val="10.0"/>
      </rPr>
      <t>၃၄၉၅၉</t>
    </r>
  </si>
  <si>
    <r>
      <rPr>
        <rFont val="Myanmar Sangam MN"/>
        <color theme="1"/>
        <sz val="10.0"/>
      </rPr>
      <t>၁၇၂၂၅၅</t>
    </r>
  </si>
  <si>
    <r>
      <rPr>
        <rFont val="Myanmar Sangam MN"/>
        <b/>
        <color theme="1"/>
        <sz val="9.0"/>
      </rPr>
      <t>၇၅.၈၇%</t>
    </r>
  </si>
  <si>
    <r>
      <rPr>
        <rFont val="Myanmar Sangam MN"/>
        <color theme="1"/>
        <sz val="10.0"/>
      </rPr>
      <t>ဦးမျးိ ွန 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</si>
  <si>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</si>
  <si>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၃၁၃၆၂</t>
    </r>
  </si>
  <si>
    <r>
      <rPr>
        <rFont val="Myanmar Sangam MN"/>
        <color theme="1"/>
        <sz val="10.0"/>
      </rPr>
      <t>၉၅၆၂</t>
    </r>
  </si>
  <si>
    <r>
      <rPr>
        <rFont val="Myanmar Sangam MN"/>
        <color theme="1"/>
        <sz val="10.0"/>
      </rPr>
      <t>၄၀၉၂၄</t>
    </r>
  </si>
  <si>
    <r>
      <rPr>
        <rFont val="Myanmar Sangam MN"/>
        <b/>
        <color theme="1"/>
        <sz val="9.0"/>
      </rPr>
      <t>၁၈.၀၃%</t>
    </r>
  </si>
  <si>
    <r>
      <rPr>
        <rFont val="Myanmar Sangam MN"/>
        <color theme="1"/>
        <sz val="10.0"/>
      </rPr>
      <t>ေဒါက်တာခင်ေမာင်ေဆွ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</si>
  <si>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</si>
  <si>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၉၀၆၃</t>
    </r>
  </si>
  <si>
    <r>
      <rPr>
        <rFont val="Myanmar Sangam MN"/>
        <color theme="1"/>
        <sz val="10.0"/>
      </rPr>
      <t>၂၁၁၇</t>
    </r>
  </si>
  <si>
    <r>
      <rPr>
        <rFont val="Myanmar Sangam MN"/>
        <color theme="1"/>
        <sz val="10.0"/>
      </rPr>
      <t>၁၁၁၈၀</t>
    </r>
  </si>
  <si>
    <r>
      <rPr>
        <rFont val="Myanmar Sangam MN"/>
        <b/>
        <color theme="1"/>
        <sz val="9.0"/>
      </rPr>
      <t>၄.၉၂%</t>
    </r>
  </si>
  <si>
    <r>
      <rPr>
        <rFont val="Myanmar Sangam MN"/>
        <color theme="1"/>
        <sz val="10.0"/>
      </rPr>
      <t>ဦးေစာကွာလာ</t>
    </r>
  </si>
  <si>
    <r>
      <rPr>
        <rFont val="Myanmar Sangam MN"/>
        <color theme="1"/>
        <sz val="10.0"/>
      </rPr>
      <t>ကရင်ြပည်သူ ပါတီ</t>
    </r>
  </si>
  <si>
    <r>
      <rPr>
        <rFont val="Myanmar Sangam MN"/>
        <color theme="1"/>
        <sz val="10.0"/>
      </rPr>
      <t>၂၀၁၄</t>
    </r>
  </si>
  <si>
    <r>
      <rPr>
        <rFont val="Myanmar Sangam MN"/>
        <color theme="1"/>
        <sz val="10.0"/>
      </rPr>
      <t>၆၆၅</t>
    </r>
  </si>
  <si>
    <r>
      <rPr>
        <rFont val="Myanmar Sangam MN"/>
        <color theme="1"/>
        <sz val="10.0"/>
      </rPr>
      <t>၂၆၇၉</t>
    </r>
  </si>
  <si>
    <r>
      <rPr>
        <rFont val="Myanmar Sangam MN"/>
        <b/>
        <color theme="1"/>
        <sz val="9.0"/>
      </rPr>
      <t>၁.၁၈%</t>
    </r>
  </si>
  <si>
    <r>
      <rPr>
        <rFont val="Myanmar Sangam MN"/>
        <b/>
        <color theme="1"/>
        <sz val="10.0"/>
      </rPr>
      <t>၇၈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</si>
  <si>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</si>
  <si>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၃၈၉၉၉၈</t>
    </r>
  </si>
  <si>
    <r>
      <rPr>
        <rFont val="Myanmar Sangam MN"/>
        <b/>
        <color theme="1"/>
        <sz val="10.0"/>
      </rPr>
      <t>၁၉၂၉၀၀</t>
    </r>
  </si>
  <si>
    <r>
      <rPr>
        <rFont val="Myanmar Sangam MN"/>
        <b/>
        <color theme="1"/>
        <sz val="10.0"/>
      </rPr>
      <t>၆၀၁၉၆</t>
    </r>
  </si>
  <si>
    <r>
      <rPr>
        <rFont val="Myanmar Sangam MN"/>
        <b/>
        <color theme="1"/>
        <sz val="10.0"/>
      </rPr>
      <t>၂၅၃၀၉၆</t>
    </r>
  </si>
  <si>
    <r>
      <rPr>
        <rFont val="Myanmar Sangam MN"/>
        <b/>
        <color theme="1"/>
        <sz val="10.0"/>
      </rPr>
      <t>၆၄.၉၀</t>
    </r>
  </si>
  <si>
    <r>
      <rPr>
        <rFont val="Myanmar Sangam MN"/>
        <b/>
        <color theme="1"/>
        <sz val="10.0"/>
      </rPr>
      <t>၅၉၀၉</t>
    </r>
  </si>
  <si>
    <r>
      <rPr>
        <rFont val="Myanmar Sangam MN"/>
        <b/>
        <color theme="1"/>
        <sz val="10.0"/>
      </rPr>
      <t>၁၃၉</t>
    </r>
  </si>
  <si>
    <r>
      <rPr>
        <rFont val="Myanmar Sangam MN"/>
        <b/>
        <color theme="1"/>
        <sz val="10.0"/>
      </rPr>
      <t>၆၀၄၈</t>
    </r>
  </si>
  <si>
    <r>
      <rPr>
        <rFont val="Myanmar Sangam MN"/>
        <b/>
        <color theme="1"/>
        <sz val="10.0"/>
      </rPr>
      <t>၁၈၇၆၂၅</t>
    </r>
  </si>
  <si>
    <r>
      <rPr>
        <rFont val="Myanmar Sangam MN"/>
        <b/>
        <color theme="1"/>
        <sz val="10.0"/>
      </rPr>
      <t>၅၉၄၂၃</t>
    </r>
  </si>
  <si>
    <r>
      <rPr>
        <rFont val="Myanmar Sangam MN"/>
        <b/>
        <color theme="1"/>
        <sz val="10.0"/>
      </rPr>
      <t>၂၄၇၀၄၈</t>
    </r>
  </si>
  <si>
    <r>
      <rPr>
        <rFont val="Myanmar Sangam MN"/>
        <color theme="1"/>
        <sz val="9.0"/>
      </rPr>
      <t>ေဒါက်တာမျးကိုကိုေကျာ်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</si>
  <si>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</si>
  <si>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၁၄၅၃၆၁</t>
    </r>
  </si>
  <si>
    <r>
      <rPr>
        <rFont val="Myanmar Sangam MN"/>
        <color theme="1"/>
        <sz val="10.0"/>
      </rPr>
      <t>၄၂၅၂၆</t>
    </r>
  </si>
  <si>
    <r>
      <rPr>
        <rFont val="Myanmar Sangam MN"/>
        <color theme="1"/>
        <sz val="10.0"/>
      </rPr>
      <t>၁၈၇၈၈၇</t>
    </r>
  </si>
  <si>
    <r>
      <rPr>
        <rFont val="Myanmar Sangam MN"/>
        <b/>
        <color theme="1"/>
        <sz val="9.0"/>
      </rPr>
      <t>၇၆.၀၅%</t>
    </r>
  </si>
  <si>
    <r>
      <rPr>
        <rFont val="Myanmar Sangam MN"/>
        <color theme="1"/>
        <sz val="10.0"/>
      </rPr>
      <t>ဦးေအာင်စိုး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</si>
  <si>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</si>
  <si>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၃၈၆၇၁</t>
    </r>
  </si>
  <si>
    <r>
      <rPr>
        <rFont val="Myanmar Sangam MN"/>
        <color theme="1"/>
        <sz val="10.0"/>
      </rPr>
      <t>၁၅၂၄၉</t>
    </r>
  </si>
  <si>
    <r>
      <rPr>
        <rFont val="Myanmar Sangam MN"/>
        <color theme="1"/>
        <sz val="10.0"/>
      </rPr>
      <t>၅၃၉၂၀</t>
    </r>
  </si>
  <si>
    <r>
      <rPr>
        <rFont val="Myanmar Sangam MN"/>
        <b/>
        <color theme="1"/>
        <sz val="9.0"/>
      </rPr>
      <t>၂၁.၈၃%</t>
    </r>
  </si>
  <si>
    <r>
      <rPr>
        <rFont val="Myanmar Sangam MN"/>
        <color theme="1"/>
        <sz val="10.0"/>
      </rPr>
      <t>ဦးသန်းြမင့်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</si>
  <si>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</si>
  <si>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၃၅၉၃</t>
    </r>
  </si>
  <si>
    <r>
      <rPr>
        <rFont val="Myanmar Sangam MN"/>
        <color theme="1"/>
        <sz val="10.0"/>
      </rPr>
      <t>၁၆၄၈</t>
    </r>
  </si>
  <si>
    <r>
      <rPr>
        <rFont val="Myanmar Sangam MN"/>
        <color theme="1"/>
        <sz val="10.0"/>
      </rPr>
      <t>၅၂၄၁</t>
    </r>
  </si>
  <si>
    <r>
      <rPr>
        <rFont val="Myanmar Sangam MN"/>
        <b/>
        <color theme="1"/>
        <sz val="9.0"/>
      </rPr>
      <t>၂.၁၂%</t>
    </r>
  </si>
  <si>
    <r>
      <rPr>
        <rFont val="Myanmar Sangam MN"/>
        <b/>
        <color theme="1"/>
        <sz val="10.0"/>
      </rPr>
      <t>၇၉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</si>
  <si>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</si>
  <si>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၄၁၂၆၃၁</t>
    </r>
  </si>
  <si>
    <r>
      <rPr>
        <rFont val="Myanmar Sangam MN"/>
        <b/>
        <color theme="1"/>
        <sz val="10.0"/>
      </rPr>
      <t>၂၁၇၅၇၉</t>
    </r>
  </si>
  <si>
    <r>
      <rPr>
        <rFont val="Myanmar Sangam MN"/>
        <b/>
        <color theme="1"/>
        <sz val="10.0"/>
      </rPr>
      <t>၇၀၂၉၁</t>
    </r>
  </si>
  <si>
    <r>
      <rPr>
        <rFont val="Myanmar Sangam MN"/>
        <b/>
        <color theme="1"/>
        <sz val="10.0"/>
      </rPr>
      <t>၂၈၇၈၇၀</t>
    </r>
  </si>
  <si>
    <r>
      <rPr>
        <rFont val="Myanmar Sangam MN"/>
        <b/>
        <color theme="1"/>
        <sz val="10.0"/>
      </rPr>
      <t>၆၉.၇၆</t>
    </r>
  </si>
  <si>
    <r>
      <rPr>
        <rFont val="Myanmar Sangam MN"/>
        <b/>
        <color theme="1"/>
        <sz val="10.0"/>
      </rPr>
      <t>၂၈၁၄</t>
    </r>
  </si>
  <si>
    <r>
      <rPr>
        <rFont val="Myanmar Sangam MN"/>
        <b/>
        <color theme="1"/>
        <sz val="10.0"/>
      </rPr>
      <t>၃၃</t>
    </r>
  </si>
  <si>
    <r>
      <rPr>
        <rFont val="Myanmar Sangam MN"/>
        <b/>
        <color theme="1"/>
        <sz val="10.0"/>
      </rPr>
      <t>၂၈၄၇</t>
    </r>
  </si>
  <si>
    <r>
      <rPr>
        <rFont val="Myanmar Sangam MN"/>
        <b/>
        <color theme="1"/>
        <sz val="10.0"/>
      </rPr>
      <t>၂၁၄၇၃၂</t>
    </r>
  </si>
  <si>
    <r>
      <rPr>
        <rFont val="Myanmar Sangam MN"/>
        <b/>
        <color theme="1"/>
        <sz val="10.0"/>
      </rPr>
      <t>၇၀၂၉၁</t>
    </r>
  </si>
  <si>
    <r>
      <rPr>
        <rFont val="Myanmar Sangam MN"/>
        <b/>
        <color theme="1"/>
        <sz val="10.0"/>
      </rPr>
      <t>၂၈၅၀၂၃</t>
    </r>
  </si>
  <si>
    <r>
      <rPr>
        <rFont val="Myanmar Sangam MN"/>
        <color theme="1"/>
        <sz val="10.0"/>
      </rPr>
      <t>ဦးေဇလတ်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</si>
  <si>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</si>
  <si>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၁၇၅၁၉၉</t>
    </r>
  </si>
  <si>
    <r>
      <rPr>
        <rFont val="Myanmar Sangam MN"/>
        <color theme="1"/>
        <sz val="10.0"/>
      </rPr>
      <t>၅၂၅၈၄</t>
    </r>
  </si>
  <si>
    <r>
      <rPr>
        <rFont val="Myanmar Sangam MN"/>
        <color theme="1"/>
        <sz val="10.0"/>
      </rPr>
      <t>၂၂၇၇၈၃</t>
    </r>
  </si>
  <si>
    <r>
      <rPr>
        <rFont val="Myanmar Sangam MN"/>
        <b/>
        <color theme="1"/>
        <sz val="9.0"/>
      </rPr>
      <t>၇၉.၉၂%</t>
    </r>
  </si>
  <si>
    <r>
      <rPr>
        <rFont val="Myanmar Sangam MN"/>
        <color theme="1"/>
        <sz val="10.0"/>
      </rPr>
      <t>ဦးဝင်းတင်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</si>
  <si>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</si>
  <si>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၃၆၂၉၉</t>
    </r>
  </si>
  <si>
    <r>
      <rPr>
        <rFont val="Myanmar Sangam MN"/>
        <color theme="1"/>
        <sz val="10.0"/>
      </rPr>
      <t>၁၆၁၆၃</t>
    </r>
  </si>
  <si>
    <r>
      <rPr>
        <rFont val="Myanmar Sangam MN"/>
        <color theme="1"/>
        <sz val="10.0"/>
      </rPr>
      <t>၅၂၄၆၂</t>
    </r>
  </si>
  <si>
    <r>
      <rPr>
        <rFont val="Myanmar Sangam MN"/>
        <b/>
        <color theme="1"/>
        <sz val="9.0"/>
      </rPr>
      <t>၁၈.၄၁%</t>
    </r>
  </si>
  <si>
    <r>
      <rPr>
        <rFont val="Myanmar Sangam MN"/>
        <color theme="1"/>
        <sz val="10.0"/>
      </rPr>
      <t>ဦးမျးိ တင့်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</si>
  <si>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</si>
  <si>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၁၅၃၇</t>
    </r>
  </si>
  <si>
    <r>
      <rPr>
        <rFont val="Myanmar Sangam MN"/>
        <color theme="1"/>
        <sz val="10.0"/>
      </rPr>
      <t>၈၁၅</t>
    </r>
  </si>
  <si>
    <r>
      <rPr>
        <rFont val="Myanmar Sangam MN"/>
        <color theme="1"/>
        <sz val="10.0"/>
      </rPr>
      <t>၂၃၅၂</t>
    </r>
  </si>
  <si>
    <r>
      <rPr>
        <rFont val="Myanmar Sangam MN"/>
        <b/>
        <color theme="1"/>
        <sz val="9.0"/>
      </rPr>
      <t>၀.၈၂%</t>
    </r>
  </si>
  <si>
    <r>
      <rPr>
        <rFont val="Myanmar Sangam MN"/>
        <color theme="1"/>
        <sz val="10.0"/>
      </rPr>
      <t>ဦးဝင်းြမင့်</t>
    </r>
  </si>
  <si>
    <r>
      <rPr>
        <rFont val="Myanmar Sangam MN"/>
        <color theme="1"/>
        <sz val="9.0"/>
      </rPr>
      <t>ြမန်မာုိင်ငံအလုပ်သမားလယ်သမားမဟာမိတ် ပါတီ</t>
    </r>
  </si>
  <si>
    <r>
      <rPr>
        <rFont val="Myanmar Sangam MN"/>
        <color theme="1"/>
        <sz val="10.0"/>
      </rPr>
      <t>၁၃၀၀</t>
    </r>
  </si>
  <si>
    <r>
      <rPr>
        <rFont val="Myanmar Sangam MN"/>
        <color theme="1"/>
        <sz val="10.0"/>
      </rPr>
      <t>၅၆၅</t>
    </r>
  </si>
  <si>
    <r>
      <rPr>
        <rFont val="Myanmar Sangam MN"/>
        <color theme="1"/>
        <sz val="10.0"/>
      </rPr>
      <t>၁၈၆၅</t>
    </r>
  </si>
  <si>
    <r>
      <rPr>
        <rFont val="Myanmar Sangam MN"/>
        <b/>
        <color theme="1"/>
        <sz val="9.0"/>
      </rPr>
      <t>၀.၆၅%</t>
    </r>
  </si>
  <si>
    <r>
      <rPr>
        <rFont val="Myanmar Sangam MN"/>
        <color theme="1"/>
        <sz val="10.0"/>
      </rPr>
      <t>ဦးေအာင်မျးိ ထွန်း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</si>
  <si>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</si>
  <si>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၃၉၇</t>
    </r>
  </si>
  <si>
    <r>
      <rPr>
        <rFont val="Myanmar Sangam MN"/>
        <color theme="1"/>
        <sz val="10.0"/>
      </rPr>
      <t>၁၆၄</t>
    </r>
  </si>
  <si>
    <r>
      <rPr>
        <rFont val="Myanmar Sangam MN"/>
        <color theme="1"/>
        <sz val="10.0"/>
      </rPr>
      <t>၅၆၁</t>
    </r>
  </si>
  <si>
    <r>
      <rPr>
        <rFont val="Myanmar Sangam MN"/>
        <b/>
        <color theme="1"/>
        <sz val="9.0"/>
      </rPr>
      <t>၀.၂၀%</t>
    </r>
  </si>
  <si>
    <r>
      <rPr>
        <rFont val="Myanmar Sangam MN"/>
        <b/>
        <color theme="1"/>
        <sz val="10.0"/>
      </rPr>
      <t>၈၀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</si>
  <si>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</si>
  <si>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၄၁၂၀၈၈</t>
    </r>
  </si>
  <si>
    <r>
      <rPr>
        <rFont val="Myanmar Sangam MN"/>
        <b/>
        <color theme="1"/>
        <sz val="10.0"/>
      </rPr>
      <t>၂၅၂၀၅၄</t>
    </r>
  </si>
  <si>
    <r>
      <rPr>
        <rFont val="Myanmar Sangam MN"/>
        <b/>
        <color theme="1"/>
        <sz val="10.0"/>
      </rPr>
      <t>၇၇၅၂၉</t>
    </r>
  </si>
  <si>
    <r>
      <rPr>
        <rFont val="Myanmar Sangam MN"/>
        <b/>
        <color theme="1"/>
        <sz val="10.0"/>
      </rPr>
      <t>၃၂၉၅၈၃</t>
    </r>
  </si>
  <si>
    <r>
      <rPr>
        <rFont val="Myanmar Sangam MN"/>
        <b/>
        <color theme="1"/>
        <sz val="10.0"/>
      </rPr>
      <t>၇၉.၉၈</t>
    </r>
  </si>
  <si>
    <r>
      <rPr>
        <rFont val="Myanmar Sangam MN"/>
        <b/>
        <color theme="1"/>
        <sz val="10.0"/>
      </rPr>
      <t>၄၅၉၂</t>
    </r>
  </si>
  <si>
    <r>
      <rPr>
        <rFont val="Myanmar Sangam MN"/>
        <b/>
        <color theme="1"/>
        <sz val="10.0"/>
      </rPr>
      <t>၈၉၈</t>
    </r>
  </si>
  <si>
    <r>
      <rPr>
        <rFont val="Myanmar Sangam MN"/>
        <b/>
        <color theme="1"/>
        <sz val="10.0"/>
      </rPr>
      <t>၅၄၉၀</t>
    </r>
  </si>
  <si>
    <r>
      <rPr>
        <rFont val="Myanmar Sangam MN"/>
        <b/>
        <color theme="1"/>
        <sz val="10.0"/>
      </rPr>
      <t>၂၄၇၆၇၇</t>
    </r>
  </si>
  <si>
    <r>
      <rPr>
        <rFont val="Myanmar Sangam MN"/>
        <b/>
        <color theme="1"/>
        <sz val="10.0"/>
      </rPr>
      <t>၇၆၄၁၆</t>
    </r>
  </si>
  <si>
    <r>
      <rPr>
        <rFont val="Myanmar Sangam MN"/>
        <b/>
        <color theme="1"/>
        <sz val="10.0"/>
      </rPr>
      <t>၃၂၄၀၉၃</t>
    </r>
  </si>
  <si>
    <r>
      <rPr>
        <rFont val="Myanmar Sangam MN"/>
        <color theme="1"/>
        <sz val="10.0"/>
      </rPr>
      <t>ေဒါက်တာဝင်းြမင့်ချစ်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</si>
  <si>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</si>
  <si>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၁၇၆၂၄၅</t>
    </r>
  </si>
  <si>
    <r>
      <rPr>
        <rFont val="Myanmar Sangam MN"/>
        <color theme="1"/>
        <sz val="10.0"/>
      </rPr>
      <t>၄၈၈၅၃</t>
    </r>
  </si>
  <si>
    <r>
      <rPr>
        <rFont val="Myanmar Sangam MN"/>
        <color theme="1"/>
        <sz val="10.0"/>
      </rPr>
      <t>၂၂၅၀၉၈</t>
    </r>
  </si>
  <si>
    <r>
      <rPr>
        <rFont val="Myanmar Sangam MN"/>
        <b/>
        <color theme="1"/>
        <sz val="9.0"/>
      </rPr>
      <t>၆၉.၄၅%</t>
    </r>
  </si>
  <si>
    <r>
      <rPr>
        <rFont val="Myanmar Sangam MN"/>
        <color rgb="FF000000"/>
        <sz val="10.0"/>
      </rPr>
      <t xml:space="preserve">ေဒခင်ေရ ြမင့်(ခ)
</t>
    </r>
    <r>
      <rPr>
        <rFont val="Myanmar Sangam MN"/>
        <color rgb="FF000000"/>
        <sz val="10.0"/>
      </rPr>
      <t>ေဒေှာင်းေထွး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</si>
  <si>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</si>
  <si>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၆၇၄၃၂</t>
    </r>
  </si>
  <si>
    <r>
      <rPr>
        <rFont val="Myanmar Sangam MN"/>
        <color theme="1"/>
        <sz val="10.0"/>
      </rPr>
      <t>၂၅၈၂၈</t>
    </r>
  </si>
  <si>
    <r>
      <rPr>
        <rFont val="Myanmar Sangam MN"/>
        <color theme="1"/>
        <sz val="10.0"/>
      </rPr>
      <t>၉၃၂၆၀</t>
    </r>
  </si>
  <si>
    <r>
      <rPr>
        <rFont val="Myanmar Sangam MN"/>
        <b/>
        <color theme="1"/>
        <sz val="9.0"/>
      </rPr>
      <t>၂၈.၇၈%</t>
    </r>
  </si>
  <si>
    <r>
      <rPr>
        <rFont val="Myanmar Sangam MN"/>
        <color theme="1"/>
        <sz val="10.0"/>
      </rPr>
      <t>ဦးေကျာ်ဆန်း</t>
    </r>
  </si>
  <si>
    <r>
      <rPr>
        <rFont val="Myanmar Sangam MN"/>
        <color theme="1"/>
        <sz val="10.0"/>
      </rPr>
      <t>ညီွတ်ေသာတိုင်းရင်းသားလူမျးိ များ ဒီမိုကေရစီပါတီ</t>
    </r>
  </si>
  <si>
    <r>
      <rPr>
        <rFont val="Myanmar Sangam MN"/>
        <color theme="1"/>
        <sz val="10.0"/>
      </rPr>
      <t>၂၂၈၆</t>
    </r>
  </si>
  <si>
    <r>
      <rPr>
        <rFont val="Myanmar Sangam MN"/>
        <color theme="1"/>
        <sz val="10.0"/>
      </rPr>
      <t>၈၆၇</t>
    </r>
  </si>
  <si>
    <r>
      <rPr>
        <rFont val="Myanmar Sangam MN"/>
        <color theme="1"/>
        <sz val="10.0"/>
      </rPr>
      <t>၃၁၅၃</t>
    </r>
  </si>
  <si>
    <r>
      <rPr>
        <rFont val="Myanmar Sangam MN"/>
        <b/>
        <color theme="1"/>
        <sz val="9.0"/>
      </rPr>
      <t>၀.၉၇%</t>
    </r>
  </si>
  <si>
    <r>
      <rPr>
        <rFont val="Myanmar Sangam MN"/>
        <color theme="1"/>
        <sz val="10.0"/>
      </rPr>
      <t>ဦးညိေထွး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</si>
  <si>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</si>
  <si>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၁၇၁၄</t>
    </r>
  </si>
  <si>
    <r>
      <rPr>
        <rFont val="Myanmar Sangam MN"/>
        <color theme="1"/>
        <sz val="10.0"/>
      </rPr>
      <t>၈၆၈</t>
    </r>
  </si>
  <si>
    <r>
      <rPr>
        <rFont val="Myanmar Sangam MN"/>
        <color theme="1"/>
        <sz val="10.0"/>
      </rPr>
      <t>၂၅၈၂</t>
    </r>
  </si>
  <si>
    <r>
      <rPr>
        <rFont val="Myanmar Sangam MN"/>
        <b/>
        <color theme="1"/>
        <sz val="9.0"/>
      </rPr>
      <t>၀.၈၀%</t>
    </r>
  </si>
  <si>
    <r>
      <rPr>
        <rFont val="Myanmar Sangam MN"/>
        <b/>
        <color theme="1"/>
        <sz val="10.0"/>
      </rPr>
      <t>၈၁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</si>
  <si>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</si>
  <si>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၃၂၅၁၀၉</t>
    </r>
  </si>
  <si>
    <r>
      <rPr>
        <rFont val="Myanmar Sangam MN"/>
        <b/>
        <color theme="1"/>
        <sz val="10.0"/>
      </rPr>
      <t>၁၉၂၂၄၅</t>
    </r>
  </si>
  <si>
    <r>
      <rPr>
        <rFont val="Myanmar Sangam MN"/>
        <b/>
        <color theme="1"/>
        <sz val="10.0"/>
      </rPr>
      <t>၇၀၈၈၇</t>
    </r>
  </si>
  <si>
    <r>
      <rPr>
        <rFont val="Myanmar Sangam MN"/>
        <b/>
        <color theme="1"/>
        <sz val="10.0"/>
      </rPr>
      <t>၂၆၃၁၃၂</t>
    </r>
  </si>
  <si>
    <r>
      <rPr>
        <rFont val="Myanmar Sangam MN"/>
        <b/>
        <color theme="1"/>
        <sz val="10.0"/>
      </rPr>
      <t>၈၀.၉၄</t>
    </r>
  </si>
  <si>
    <r>
      <rPr>
        <rFont val="Myanmar Sangam MN"/>
        <b/>
        <color theme="1"/>
        <sz val="10.0"/>
      </rPr>
      <t>၅၅၂၇</t>
    </r>
  </si>
  <si>
    <r>
      <rPr>
        <rFont val="Myanmar Sangam MN"/>
        <b/>
        <color theme="1"/>
        <sz val="10.0"/>
      </rPr>
      <t>၁၈၁</t>
    </r>
  </si>
  <si>
    <r>
      <rPr>
        <rFont val="Myanmar Sangam MN"/>
        <b/>
        <color theme="1"/>
        <sz val="10.0"/>
      </rPr>
      <t>၅၇၀၈</t>
    </r>
  </si>
  <si>
    <r>
      <rPr>
        <rFont val="Myanmar Sangam MN"/>
        <b/>
        <color theme="1"/>
        <sz val="10.0"/>
      </rPr>
      <t>၁၈၆၉၇၅</t>
    </r>
  </si>
  <si>
    <r>
      <rPr>
        <rFont val="Myanmar Sangam MN"/>
        <b/>
        <color theme="1"/>
        <sz val="10.0"/>
      </rPr>
      <t>၇၀၄၄၉</t>
    </r>
  </si>
  <si>
    <r>
      <rPr>
        <rFont val="Myanmar Sangam MN"/>
        <b/>
        <color theme="1"/>
        <sz val="10.0"/>
      </rPr>
      <t>၂၅၇၄၂၄</t>
    </r>
  </si>
  <si>
    <r>
      <rPr>
        <rFont val="Myanmar Sangam MN"/>
        <color theme="1"/>
        <sz val="10.0"/>
      </rPr>
      <t>ဦးေအးချိ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</si>
  <si>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</si>
  <si>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၁၄၁၇၄၂</t>
    </r>
  </si>
  <si>
    <r>
      <rPr>
        <rFont val="Myanmar Sangam MN"/>
        <color theme="1"/>
        <sz val="10.0"/>
      </rPr>
      <t>၅၁၀၀၉</t>
    </r>
  </si>
  <si>
    <r>
      <rPr>
        <rFont val="Myanmar Sangam MN"/>
        <color theme="1"/>
        <sz val="10.0"/>
      </rPr>
      <t>၁၉၂၇၅၁</t>
    </r>
  </si>
  <si>
    <r>
      <rPr>
        <rFont val="Myanmar Sangam MN"/>
        <b/>
        <color theme="1"/>
        <sz val="9.0"/>
      </rPr>
      <t>၇၄.၈၈%</t>
    </r>
  </si>
  <si>
    <r>
      <rPr>
        <rFont val="Myanmar Sangam MN"/>
        <color theme="1"/>
        <sz val="10.0"/>
      </rPr>
      <t>ေဒထားထားု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</si>
  <si>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</si>
  <si>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၄၀၄၀၄</t>
    </r>
  </si>
  <si>
    <r>
      <rPr>
        <rFont val="Myanmar Sangam MN"/>
        <color theme="1"/>
        <sz val="10.0"/>
      </rPr>
      <t>၁၇၉၆၅</t>
    </r>
  </si>
  <si>
    <r>
      <rPr>
        <rFont val="Myanmar Sangam MN"/>
        <color theme="1"/>
        <sz val="10.0"/>
      </rPr>
      <t>၅၈၃၆၉</t>
    </r>
  </si>
  <si>
    <r>
      <rPr>
        <rFont val="Myanmar Sangam MN"/>
        <b/>
        <color theme="1"/>
        <sz val="9.0"/>
      </rPr>
      <t>၂၂.၆၇%</t>
    </r>
  </si>
  <si>
    <r>
      <rPr>
        <rFont val="Myanmar Sangam MN"/>
        <color theme="1"/>
        <sz val="10.0"/>
      </rPr>
      <t>ဦးေအာင်ြမင့်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</si>
  <si>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</si>
  <si>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၄၈၂၉</t>
    </r>
  </si>
  <si>
    <r>
      <rPr>
        <rFont val="Myanmar Sangam MN"/>
        <color theme="1"/>
        <sz val="10.0"/>
      </rPr>
      <t>၁၄၇၅</t>
    </r>
  </si>
  <si>
    <r>
      <rPr>
        <rFont val="Myanmar Sangam MN"/>
        <color theme="1"/>
        <sz val="10.0"/>
      </rPr>
      <t>၆၃၀၄</t>
    </r>
  </si>
  <si>
    <r>
      <rPr>
        <rFont val="Myanmar Sangam MN"/>
        <b/>
        <color theme="1"/>
        <sz val="9.0"/>
      </rPr>
      <t>၂.၄၅%</t>
    </r>
  </si>
  <si>
    <r>
      <rPr>
        <rFont val="Myanmar Sangam MN"/>
        <b/>
        <color theme="1"/>
        <sz val="10.0"/>
      </rPr>
      <t>၈၂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</si>
  <si>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</si>
  <si>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၂၉၅၄၈၆</t>
    </r>
  </si>
  <si>
    <r>
      <rPr>
        <rFont val="Myanmar Sangam MN"/>
        <b/>
        <color theme="1"/>
        <sz val="10.0"/>
      </rPr>
      <t>၁၇၈၈၄၁</t>
    </r>
  </si>
  <si>
    <r>
      <rPr>
        <rFont val="Myanmar Sangam MN"/>
        <b/>
        <color theme="1"/>
        <sz val="10.0"/>
      </rPr>
      <t>၅၂၀၅၆</t>
    </r>
  </si>
  <si>
    <r>
      <rPr>
        <rFont val="Myanmar Sangam MN"/>
        <b/>
        <color theme="1"/>
        <sz val="10.0"/>
      </rPr>
      <t>၂၃၀၈၉၇</t>
    </r>
  </si>
  <si>
    <r>
      <rPr>
        <rFont val="Myanmar Sangam MN"/>
        <b/>
        <color theme="1"/>
        <sz val="10.0"/>
      </rPr>
      <t>၇၈.၁၄</t>
    </r>
  </si>
  <si>
    <r>
      <rPr>
        <rFont val="Myanmar Sangam MN"/>
        <b/>
        <color theme="1"/>
        <sz val="10.0"/>
      </rPr>
      <t>၄၇၄၇</t>
    </r>
  </si>
  <si>
    <r>
      <rPr>
        <rFont val="Myanmar Sangam MN"/>
        <b/>
        <color theme="1"/>
        <sz val="10.0"/>
      </rPr>
      <t>၄၇</t>
    </r>
  </si>
  <si>
    <r>
      <rPr>
        <rFont val="Myanmar Sangam MN"/>
        <b/>
        <color theme="1"/>
        <sz val="10.0"/>
      </rPr>
      <t>၄၇၉၄</t>
    </r>
  </si>
  <si>
    <r>
      <rPr>
        <rFont val="Myanmar Sangam MN"/>
        <b/>
        <color theme="1"/>
        <sz val="10.0"/>
      </rPr>
      <t>၁၇၄၈၉၇</t>
    </r>
  </si>
  <si>
    <r>
      <rPr>
        <rFont val="Myanmar Sangam MN"/>
        <b/>
        <color theme="1"/>
        <sz val="10.0"/>
      </rPr>
      <t>၅၁၂၀၆</t>
    </r>
  </si>
  <si>
    <r>
      <rPr>
        <rFont val="Myanmar Sangam MN"/>
        <b/>
        <color theme="1"/>
        <sz val="10.0"/>
      </rPr>
      <t>၂၂၆၁၀၃</t>
    </r>
  </si>
  <si>
    <r>
      <rPr>
        <rFont val="Myanmar Sangam MN"/>
        <color theme="1"/>
        <sz val="10.0"/>
      </rPr>
      <t>ဦးရဲမင်း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</si>
  <si>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</si>
  <si>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၁၂၃၆၆၂</t>
    </r>
  </si>
  <si>
    <r>
      <rPr>
        <rFont val="Myanmar Sangam MN"/>
        <color theme="1"/>
        <sz val="10.0"/>
      </rPr>
      <t>၃၄၁၀၄</t>
    </r>
  </si>
  <si>
    <r>
      <rPr>
        <rFont val="Myanmar Sangam MN"/>
        <color theme="1"/>
        <sz val="10.0"/>
      </rPr>
      <t>၁၅၇၇၆၆</t>
    </r>
  </si>
  <si>
    <r>
      <rPr>
        <rFont val="Myanmar Sangam MN"/>
        <b/>
        <color theme="1"/>
        <sz val="9.0"/>
      </rPr>
      <t>၆၉.၇၈%</t>
    </r>
  </si>
  <si>
    <r>
      <rPr>
        <rFont val="Myanmar Sangam MN"/>
        <color theme="1"/>
        <sz val="10.0"/>
      </rPr>
      <t>ဦးသန်းေဇာ်ထွန်း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</si>
  <si>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</si>
  <si>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၄၇၈၆၃</t>
    </r>
  </si>
  <si>
    <r>
      <rPr>
        <rFont val="Myanmar Sangam MN"/>
        <color theme="1"/>
        <sz val="10.0"/>
      </rPr>
      <t>၁၅၉၁၁</t>
    </r>
  </si>
  <si>
    <r>
      <rPr>
        <rFont val="Myanmar Sangam MN"/>
        <color theme="1"/>
        <sz val="10.0"/>
      </rPr>
      <t>၆၃၇၇၄</t>
    </r>
  </si>
  <si>
    <r>
      <rPr>
        <rFont val="Myanmar Sangam MN"/>
        <b/>
        <color theme="1"/>
        <sz val="9.0"/>
      </rPr>
      <t>၂၈.၂၀%</t>
    </r>
  </si>
  <si>
    <r>
      <rPr>
        <rFont val="Myanmar Sangam MN"/>
        <color theme="1"/>
        <sz val="10.0"/>
      </rPr>
      <t>ဦးေမာင်ေမာင်ဝင်း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</si>
  <si>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</si>
  <si>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၃၃၇၂</t>
    </r>
  </si>
  <si>
    <r>
      <rPr>
        <rFont val="Myanmar Sangam MN"/>
        <color theme="1"/>
        <sz val="10.0"/>
      </rPr>
      <t>၁၁၉၁</t>
    </r>
  </si>
  <si>
    <r>
      <rPr>
        <rFont val="Myanmar Sangam MN"/>
        <color theme="1"/>
        <sz val="10.0"/>
      </rPr>
      <t>၄၅၆၃</t>
    </r>
  </si>
  <si>
    <r>
      <rPr>
        <rFont val="Myanmar Sangam MN"/>
        <b/>
        <color theme="1"/>
        <sz val="9.0"/>
      </rPr>
      <t>၂.၀၂%</t>
    </r>
  </si>
  <si>
    <r>
      <rPr>
        <rFont val="Myanmar Sangam MN"/>
        <b/>
        <color theme="1"/>
        <sz val="10.0"/>
      </rPr>
      <t>၈၃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</si>
  <si>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</si>
  <si>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၃၀၈၅၇၈</t>
    </r>
  </si>
  <si>
    <r>
      <rPr>
        <rFont val="Myanmar Sangam MN"/>
        <b/>
        <color theme="1"/>
        <sz val="10.0"/>
      </rPr>
      <t>၁၈၀၈၀၂</t>
    </r>
  </si>
  <si>
    <r>
      <rPr>
        <rFont val="Myanmar Sangam MN"/>
        <b/>
        <color theme="1"/>
        <sz val="10.0"/>
      </rPr>
      <t>၅၅၃၇၇</t>
    </r>
  </si>
  <si>
    <r>
      <rPr>
        <rFont val="Myanmar Sangam MN"/>
        <b/>
        <color theme="1"/>
        <sz val="10.0"/>
      </rPr>
      <t>၂၃၆၁၇၉</t>
    </r>
  </si>
  <si>
    <r>
      <rPr>
        <rFont val="Myanmar Sangam MN"/>
        <b/>
        <color theme="1"/>
        <sz val="10.0"/>
      </rPr>
      <t>၇၆.၅၄</t>
    </r>
  </si>
  <si>
    <r>
      <rPr>
        <rFont val="Myanmar Sangam MN"/>
        <b/>
        <color theme="1"/>
        <sz val="10.0"/>
      </rPr>
      <t>၆၃၇၀</t>
    </r>
  </si>
  <si>
    <r>
      <rPr>
        <rFont val="Myanmar Sangam MN"/>
        <b/>
        <color theme="1"/>
        <sz val="10.0"/>
      </rPr>
      <t>၅၀</t>
    </r>
  </si>
  <si>
    <r>
      <rPr>
        <rFont val="Myanmar Sangam MN"/>
        <b/>
        <color theme="1"/>
        <sz val="10.0"/>
      </rPr>
      <t>၆၄၂၀</t>
    </r>
  </si>
  <si>
    <r>
      <rPr>
        <rFont val="Myanmar Sangam MN"/>
        <b/>
        <color theme="1"/>
        <sz val="10.0"/>
      </rPr>
      <t>၁၇၆၆၇၁</t>
    </r>
  </si>
  <si>
    <r>
      <rPr>
        <rFont val="Myanmar Sangam MN"/>
        <b/>
        <color theme="1"/>
        <sz val="10.0"/>
      </rPr>
      <t>၅၃၀၈၈</t>
    </r>
  </si>
  <si>
    <r>
      <rPr>
        <rFont val="Myanmar Sangam MN"/>
        <b/>
        <color theme="1"/>
        <sz val="10.0"/>
      </rPr>
      <t>၂၂၉၇၅၉</t>
    </r>
  </si>
  <si>
    <r>
      <rPr>
        <rFont val="Myanmar Sangam MN"/>
        <color theme="1"/>
        <sz val="10.0"/>
      </rPr>
      <t>ေဒါက်တာဝင်းြမင့်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</si>
  <si>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</si>
  <si>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၁၃၂၁၃၀</t>
    </r>
  </si>
  <si>
    <r>
      <rPr>
        <rFont val="Myanmar Sangam MN"/>
        <color theme="1"/>
        <sz val="10.0"/>
      </rPr>
      <t>၃၈၆၅၉</t>
    </r>
  </si>
  <si>
    <r>
      <rPr>
        <rFont val="Myanmar Sangam MN"/>
        <color theme="1"/>
        <sz val="10.0"/>
      </rPr>
      <t>၁၇၀၇၈၉</t>
    </r>
  </si>
  <si>
    <r>
      <rPr>
        <rFont val="Myanmar Sangam MN"/>
        <b/>
        <color theme="1"/>
        <sz val="9.0"/>
      </rPr>
      <t>၇၄.၃၃%</t>
    </r>
  </si>
  <si>
    <r>
      <rPr>
        <rFont val="Myanmar Sangam MN"/>
        <color theme="1"/>
        <sz val="10.0"/>
      </rPr>
      <t>ဦးစန်းေအာင်ိုင်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</si>
  <si>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</si>
  <si>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၄၁၅၅၅</t>
    </r>
  </si>
  <si>
    <r>
      <rPr>
        <rFont val="Myanmar Sangam MN"/>
        <color theme="1"/>
        <sz val="10.0"/>
      </rPr>
      <t>၁၃၄၆၀</t>
    </r>
  </si>
  <si>
    <r>
      <rPr>
        <rFont val="Myanmar Sangam MN"/>
        <color theme="1"/>
        <sz val="10.0"/>
      </rPr>
      <t>၅၅၀၁၅</t>
    </r>
  </si>
  <si>
    <r>
      <rPr>
        <rFont val="Myanmar Sangam MN"/>
        <b/>
        <color theme="1"/>
        <sz val="9.0"/>
      </rPr>
      <t>၂၃.၉၅%</t>
    </r>
  </si>
  <si>
    <r>
      <rPr>
        <rFont val="Myanmar Sangam MN"/>
        <color theme="1"/>
        <sz val="10.0"/>
      </rPr>
      <t>ဦးေစာတင်ဝင်း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</si>
  <si>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</si>
  <si>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၂၉၈၆</t>
    </r>
  </si>
  <si>
    <r>
      <rPr>
        <rFont val="Myanmar Sangam MN"/>
        <color theme="1"/>
        <sz val="10.0"/>
      </rPr>
      <t>၉၆၉</t>
    </r>
  </si>
  <si>
    <r>
      <rPr>
        <rFont val="Myanmar Sangam MN"/>
        <color theme="1"/>
        <sz val="10.0"/>
      </rPr>
      <t>၃၉၅၅</t>
    </r>
  </si>
  <si>
    <r>
      <rPr>
        <rFont val="Myanmar Sangam MN"/>
        <b/>
        <color theme="1"/>
        <sz val="9.0"/>
      </rPr>
      <t>၁.၇၂%</t>
    </r>
  </si>
  <si>
    <r>
      <rPr>
        <rFont val="Myanmar Sangam MN"/>
        <b/>
        <color theme="1"/>
        <sz val="10.0"/>
      </rPr>
      <t>၈၄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</si>
  <si>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</si>
  <si>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၂၆၄၂၈၂</t>
    </r>
  </si>
  <si>
    <r>
      <rPr>
        <rFont val="Myanmar Sangam MN"/>
        <b/>
        <color theme="1"/>
        <sz val="10.0"/>
      </rPr>
      <t>၁၄၄၁၃၈</t>
    </r>
  </si>
  <si>
    <r>
      <rPr>
        <rFont val="Myanmar Sangam MN"/>
        <b/>
        <color theme="1"/>
        <sz val="10.0"/>
      </rPr>
      <t>၄၉၇၅၁</t>
    </r>
  </si>
  <si>
    <r>
      <rPr>
        <rFont val="Myanmar Sangam MN"/>
        <b/>
        <color theme="1"/>
        <sz val="10.0"/>
      </rPr>
      <t>၁၉၃၈၈၉</t>
    </r>
  </si>
  <si>
    <r>
      <rPr>
        <rFont val="Myanmar Sangam MN"/>
        <b/>
        <color theme="1"/>
        <sz val="10.0"/>
      </rPr>
      <t>၇၃.၃၆</t>
    </r>
  </si>
  <si>
    <r>
      <rPr>
        <rFont val="Myanmar Sangam MN"/>
        <b/>
        <color theme="1"/>
        <sz val="10.0"/>
      </rPr>
      <t>၃၉၃၈</t>
    </r>
  </si>
  <si>
    <r>
      <rPr>
        <rFont val="Myanmar Sangam MN"/>
        <b/>
        <color theme="1"/>
        <sz val="10.0"/>
      </rPr>
      <t>၁၀၄</t>
    </r>
  </si>
  <si>
    <r>
      <rPr>
        <rFont val="Myanmar Sangam MN"/>
        <b/>
        <color theme="1"/>
        <sz val="10.0"/>
      </rPr>
      <t>၄၀၄၂</t>
    </r>
  </si>
  <si>
    <r>
      <rPr>
        <rFont val="Myanmar Sangam MN"/>
        <b/>
        <color theme="1"/>
        <sz val="10.0"/>
      </rPr>
      <t>၁၄၀၀၉၆</t>
    </r>
  </si>
  <si>
    <r>
      <rPr>
        <rFont val="Myanmar Sangam MN"/>
        <b/>
        <color theme="1"/>
        <sz val="10.0"/>
      </rPr>
      <t>၄၉၇၅၁</t>
    </r>
  </si>
  <si>
    <r>
      <rPr>
        <rFont val="Myanmar Sangam MN"/>
        <b/>
        <color theme="1"/>
        <sz val="10.0"/>
      </rPr>
      <t>၁၈၉၈၄၇</t>
    </r>
  </si>
  <si>
    <r>
      <rPr>
        <rFont val="Myanmar Sangam MN"/>
        <color theme="1"/>
        <sz val="10.0"/>
      </rPr>
      <t>ဦးဝင်းကိင်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</si>
  <si>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</si>
  <si>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၉၇၉၇၀</t>
    </r>
  </si>
  <si>
    <r>
      <rPr>
        <rFont val="Myanmar Sangam MN"/>
        <color theme="1"/>
        <sz val="10.0"/>
      </rPr>
      <t>၃၂၉၂၂</t>
    </r>
  </si>
  <si>
    <r>
      <rPr>
        <rFont val="Myanmar Sangam MN"/>
        <color theme="1"/>
        <sz val="10.0"/>
      </rPr>
      <t>၁၃၀၈၉၂</t>
    </r>
  </si>
  <si>
    <r>
      <rPr>
        <rFont val="Myanmar Sangam MN"/>
        <b/>
        <color theme="1"/>
        <sz val="9.0"/>
      </rPr>
      <t>၆၉.၀၀%</t>
    </r>
  </si>
  <si>
    <r>
      <rPr>
        <rFont val="Myanmar Sangam MN"/>
        <color theme="1"/>
        <sz val="10.0"/>
      </rPr>
      <t>ဦးသိန်းေဇာ်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</si>
  <si>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</si>
  <si>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၃၇၃၇၁</t>
    </r>
  </si>
  <si>
    <r>
      <rPr>
        <rFont val="Myanmar Sangam MN"/>
        <color theme="1"/>
        <sz val="10.0"/>
      </rPr>
      <t>၁၄၉၀၄</t>
    </r>
  </si>
  <si>
    <r>
      <rPr>
        <rFont val="Myanmar Sangam MN"/>
        <color theme="1"/>
        <sz val="10.0"/>
      </rPr>
      <t>၅၂၂၇၅</t>
    </r>
  </si>
  <si>
    <r>
      <rPr>
        <rFont val="Myanmar Sangam MN"/>
        <b/>
        <color theme="1"/>
        <sz val="9.0"/>
      </rPr>
      <t>၂၇.၅၃%</t>
    </r>
  </si>
  <si>
    <r>
      <rPr>
        <rFont val="Myanmar Sangam MN"/>
        <color theme="1"/>
        <sz val="10.0"/>
      </rPr>
      <t>ဦးဝင်းရှိန်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</si>
  <si>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</si>
  <si>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၄၀၂၁</t>
    </r>
  </si>
  <si>
    <r>
      <rPr>
        <rFont val="Myanmar Sangam MN"/>
        <color theme="1"/>
        <sz val="10.0"/>
      </rPr>
      <t>၁၆၀၄</t>
    </r>
  </si>
  <si>
    <r>
      <rPr>
        <rFont val="Myanmar Sangam MN"/>
        <color theme="1"/>
        <sz val="10.0"/>
      </rPr>
      <t>၅၆၂၅</t>
    </r>
  </si>
  <si>
    <r>
      <rPr>
        <rFont val="Myanmar Sangam MN"/>
        <b/>
        <color theme="1"/>
        <sz val="9.0"/>
      </rPr>
      <t>၂.၉၆%</t>
    </r>
  </si>
  <si>
    <r>
      <rPr>
        <rFont val="Myanmar Sangam MN"/>
        <color theme="1"/>
        <sz val="10.0"/>
      </rPr>
      <t>ဦးေဇာ်မိုးိုင်</t>
    </r>
  </si>
  <si>
    <r>
      <rPr>
        <rFont val="Myanmar Sangam MN"/>
        <color theme="1"/>
        <sz val="10.0"/>
      </rPr>
      <t>ြပည်သူ အလုပ်သမားပါတီ</t>
    </r>
  </si>
  <si>
    <r>
      <rPr>
        <rFont val="Myanmar Sangam MN"/>
        <color theme="1"/>
        <sz val="10.0"/>
      </rPr>
      <t>၇၃၄</t>
    </r>
  </si>
  <si>
    <r>
      <rPr>
        <rFont val="Myanmar Sangam MN"/>
        <color theme="1"/>
        <sz val="10.0"/>
      </rPr>
      <t>၃၂၁</t>
    </r>
  </si>
  <si>
    <r>
      <rPr>
        <rFont val="Myanmar Sangam MN"/>
        <color theme="1"/>
        <sz val="10.0"/>
      </rPr>
      <t>၁၀၅၅</t>
    </r>
  </si>
  <si>
    <r>
      <rPr>
        <rFont val="Myanmar Sangam MN"/>
        <b/>
        <color theme="1"/>
        <sz val="9.0"/>
      </rPr>
      <t>၀.၅၆%</t>
    </r>
  </si>
  <si>
    <r>
      <rPr>
        <rFont val="Myanmar Sangam MN"/>
        <b/>
        <color theme="1"/>
        <sz val="10.0"/>
      </rPr>
      <t>မေကွးတိုင်းေဒသကီး</t>
    </r>
  </si>
  <si>
    <r>
      <rPr>
        <rFont val="Myanmar Sangam MN"/>
        <b/>
        <color theme="1"/>
        <sz val="10.0"/>
      </rPr>
      <t>၃၃၁၀၁၃၂</t>
    </r>
  </si>
  <si>
    <r>
      <rPr>
        <rFont val="Myanmar Sangam MN"/>
        <b/>
        <color theme="1"/>
        <sz val="10.0"/>
      </rPr>
      <t>၂၀၄၉၃၁၀</t>
    </r>
  </si>
  <si>
    <r>
      <rPr>
        <rFont val="Myanmar Sangam MN"/>
        <b/>
        <color theme="1"/>
        <sz val="10.0"/>
      </rPr>
      <t>၅၂၇၂၄၇</t>
    </r>
  </si>
  <si>
    <r>
      <rPr>
        <rFont val="Myanmar Sangam MN"/>
        <b/>
        <color theme="1"/>
        <sz val="10.0"/>
      </rPr>
      <t>၂၅၇၆၅၅၇</t>
    </r>
  </si>
  <si>
    <r>
      <rPr>
        <rFont val="Myanmar Sangam MN"/>
        <b/>
        <color theme="1"/>
        <sz val="10.0"/>
      </rPr>
      <t>၇၇.၈၄</t>
    </r>
  </si>
  <si>
    <r>
      <rPr>
        <rFont val="Myanmar Sangam MN"/>
        <b/>
        <color theme="1"/>
        <sz val="10.0"/>
      </rPr>
      <t>၅၀၁၆၈</t>
    </r>
  </si>
  <si>
    <r>
      <rPr>
        <rFont val="Myanmar Sangam MN"/>
        <b/>
        <color theme="1"/>
        <sz val="10.0"/>
      </rPr>
      <t>၃၃၃၆</t>
    </r>
  </si>
  <si>
    <r>
      <rPr>
        <rFont val="Myanmar Sangam MN"/>
        <b/>
        <color theme="1"/>
        <sz val="10.0"/>
      </rPr>
      <t>၅၃၅၀၄</t>
    </r>
  </si>
  <si>
    <r>
      <rPr>
        <rFont val="Myanmar Sangam MN"/>
        <b/>
        <color theme="1"/>
        <sz val="10.0"/>
      </rPr>
      <t>၂၀၀၆၇၂၂</t>
    </r>
  </si>
  <si>
    <r>
      <rPr>
        <rFont val="Myanmar Sangam MN"/>
        <b/>
        <color theme="1"/>
        <sz val="10.0"/>
      </rPr>
      <t>၅၁၆၃၃၁</t>
    </r>
  </si>
  <si>
    <r>
      <rPr>
        <rFont val="Myanmar Sangam MN"/>
        <b/>
        <color theme="1"/>
        <sz val="10.0"/>
      </rPr>
      <t>၂၅၂၃၀၅၃</t>
    </r>
  </si>
  <si>
    <r>
      <rPr>
        <rFont val="Myanmar Sangam MN"/>
        <b/>
        <color theme="1"/>
        <sz val="10.0"/>
      </rPr>
      <t>၈၅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</si>
  <si>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</si>
  <si>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၂၀၇၇၄၀</t>
    </r>
  </si>
  <si>
    <r>
      <rPr>
        <rFont val="Myanmar Sangam MN"/>
        <b/>
        <color theme="1"/>
        <sz val="10.0"/>
      </rPr>
      <t>၁၃၄၂၈၄</t>
    </r>
  </si>
  <si>
    <r>
      <rPr>
        <rFont val="Myanmar Sangam MN"/>
        <b/>
        <color theme="1"/>
        <sz val="10.0"/>
      </rPr>
      <t>၄၁၃၄၄</t>
    </r>
  </si>
  <si>
    <r>
      <rPr>
        <rFont val="Myanmar Sangam MN"/>
        <b/>
        <color theme="1"/>
        <sz val="10.0"/>
      </rPr>
      <t>၁၇၅၆၂၈</t>
    </r>
  </si>
  <si>
    <r>
      <rPr>
        <rFont val="Myanmar Sangam MN"/>
        <b/>
        <color theme="1"/>
        <sz val="10.0"/>
      </rPr>
      <t>၈၄.၅၄</t>
    </r>
  </si>
  <si>
    <r>
      <rPr>
        <rFont val="Myanmar Sangam MN"/>
        <b/>
        <color theme="1"/>
        <sz val="10.0"/>
      </rPr>
      <t>၃၁၂၇</t>
    </r>
  </si>
  <si>
    <r>
      <rPr>
        <rFont val="Myanmar Sangam MN"/>
        <b/>
        <color theme="1"/>
        <sz val="10.0"/>
      </rPr>
      <t>၁၅၇</t>
    </r>
  </si>
  <si>
    <r>
      <rPr>
        <rFont val="Myanmar Sangam MN"/>
        <b/>
        <color theme="1"/>
        <sz val="10.0"/>
      </rPr>
      <t>၃၂၈၄</t>
    </r>
  </si>
  <si>
    <r>
      <rPr>
        <rFont val="Myanmar Sangam MN"/>
        <b/>
        <color theme="1"/>
        <sz val="10.0"/>
      </rPr>
      <t>၁၃၁၄၅၆</t>
    </r>
  </si>
  <si>
    <r>
      <rPr>
        <rFont val="Myanmar Sangam MN"/>
        <b/>
        <color theme="1"/>
        <sz val="10.0"/>
      </rPr>
      <t>၄၀၈၈၈</t>
    </r>
  </si>
  <si>
    <r>
      <rPr>
        <rFont val="Myanmar Sangam MN"/>
        <b/>
        <color theme="1"/>
        <sz val="10.0"/>
      </rPr>
      <t>၁၇၂၃၄၄</t>
    </r>
  </si>
  <si>
    <r>
      <rPr>
        <rFont val="Myanmar Sangam MN"/>
        <color theme="1"/>
        <sz val="10.0"/>
      </rPr>
      <t>ဦးြပးလွင်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</si>
  <si>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</si>
  <si>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၁၀၀၉၅၅</t>
    </r>
  </si>
  <si>
    <r>
      <rPr>
        <rFont val="Myanmar Sangam MN"/>
        <color theme="1"/>
        <sz val="10.0"/>
      </rPr>
      <t>၃၀၇၈၀</t>
    </r>
  </si>
  <si>
    <r>
      <rPr>
        <rFont val="Myanmar Sangam MN"/>
        <color theme="1"/>
        <sz val="10.0"/>
      </rPr>
      <t>၁၃၁၇၃၅</t>
    </r>
  </si>
  <si>
    <r>
      <rPr>
        <rFont val="Myanmar Sangam MN"/>
        <b/>
        <color theme="1"/>
        <sz val="9.0"/>
      </rPr>
      <t>၇၆.၄၄%</t>
    </r>
  </si>
  <si>
    <r>
      <rPr>
        <rFont val="Myanmar Sangam MN"/>
        <color theme="1"/>
        <sz val="10.0"/>
      </rPr>
      <t>ဦးခင်ေမာင်ချိ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</si>
  <si>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</si>
  <si>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၂၆၉၄၂</t>
    </r>
  </si>
  <si>
    <r>
      <rPr>
        <rFont val="Myanmar Sangam MN"/>
        <color theme="1"/>
        <sz val="10.0"/>
      </rPr>
      <t>၈၃၂၇</t>
    </r>
  </si>
  <si>
    <r>
      <rPr>
        <rFont val="Myanmar Sangam MN"/>
        <color theme="1"/>
        <sz val="10.0"/>
      </rPr>
      <t>၃၅၂၆၉</t>
    </r>
  </si>
  <si>
    <r>
      <rPr>
        <rFont val="Myanmar Sangam MN"/>
        <b/>
        <color theme="1"/>
        <sz val="9.0"/>
      </rPr>
      <t>၂၀.၄၆%</t>
    </r>
  </si>
  <si>
    <r>
      <rPr>
        <rFont val="Myanmar Sangam MN"/>
        <color theme="1"/>
        <sz val="10.0"/>
      </rPr>
      <t>ဦးြမင့်ေအာင်(ခ)ဦးဖိုးပါ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</si>
  <si>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</si>
  <si>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၂၃၉၈</t>
    </r>
  </si>
  <si>
    <r>
      <rPr>
        <rFont val="Myanmar Sangam MN"/>
        <color theme="1"/>
        <sz val="10.0"/>
      </rPr>
      <t>၁၃၁၅</t>
    </r>
  </si>
  <si>
    <r>
      <rPr>
        <rFont val="Myanmar Sangam MN"/>
        <color theme="1"/>
        <sz val="10.0"/>
      </rPr>
      <t>၃၇၁၃</t>
    </r>
  </si>
  <si>
    <r>
      <rPr>
        <rFont val="Myanmar Sangam MN"/>
        <b/>
        <color theme="1"/>
        <sz val="9.0"/>
      </rPr>
      <t>၂.၁၆%</t>
    </r>
  </si>
  <si>
    <r>
      <rPr>
        <rFont val="Myanmar Sangam MN"/>
        <color theme="1"/>
        <sz val="10.0"/>
      </rPr>
      <t>ဦးလိန်းထန်း</t>
    </r>
  </si>
  <si>
    <r>
      <rPr>
        <rFont val="Myanmar Sangam MN"/>
        <color theme="1"/>
        <sz val="10.0"/>
      </rPr>
      <t>ချင်းအမျးိ သားဒီမိုကေရစီအဖွဲချပ်ပါတီ</t>
    </r>
  </si>
  <si>
    <r>
      <rPr>
        <rFont val="Myanmar Sangam MN"/>
        <color theme="1"/>
        <sz val="10.0"/>
      </rPr>
      <t>၁၁၆၁</t>
    </r>
  </si>
  <si>
    <r>
      <rPr>
        <rFont val="Myanmar Sangam MN"/>
        <color theme="1"/>
        <sz val="10.0"/>
      </rPr>
      <t>၄၆၆</t>
    </r>
  </si>
  <si>
    <r>
      <rPr>
        <rFont val="Myanmar Sangam MN"/>
        <color theme="1"/>
        <sz val="10.0"/>
      </rPr>
      <t>၁၆၂၇</t>
    </r>
  </si>
  <si>
    <r>
      <rPr>
        <rFont val="Myanmar Sangam MN"/>
        <b/>
        <color theme="1"/>
        <sz val="9.0"/>
      </rPr>
      <t>၀.၉၄%</t>
    </r>
  </si>
  <si>
    <r>
      <rPr>
        <rFont val="Myanmar Sangam MN"/>
        <b/>
        <color theme="1"/>
        <sz val="10.0"/>
      </rPr>
      <t>၈၆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</si>
  <si>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</si>
  <si>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၃၃၃၀၇၇</t>
    </r>
  </si>
  <si>
    <r>
      <rPr>
        <rFont val="Myanmar Sangam MN"/>
        <b/>
        <color theme="1"/>
        <sz val="10.0"/>
      </rPr>
      <t>၂၁၀၄၆၅</t>
    </r>
  </si>
  <si>
    <r>
      <rPr>
        <rFont val="Myanmar Sangam MN"/>
        <b/>
        <color theme="1"/>
        <sz val="10.0"/>
      </rPr>
      <t>၅၁၀၁၂</t>
    </r>
  </si>
  <si>
    <r>
      <rPr>
        <rFont val="Myanmar Sangam MN"/>
        <b/>
        <color theme="1"/>
        <sz val="10.0"/>
      </rPr>
      <t>၂၆၁၄၇၇</t>
    </r>
  </si>
  <si>
    <r>
      <rPr>
        <rFont val="Myanmar Sangam MN"/>
        <b/>
        <color theme="1"/>
        <sz val="10.0"/>
      </rPr>
      <t>၇၈.၅၀</t>
    </r>
  </si>
  <si>
    <r>
      <rPr>
        <rFont val="Myanmar Sangam MN"/>
        <b/>
        <color theme="1"/>
        <sz val="10.0"/>
      </rPr>
      <t>၄၂၀၄</t>
    </r>
  </si>
  <si>
    <r>
      <rPr>
        <rFont val="Myanmar Sangam MN"/>
        <b/>
        <color theme="1"/>
        <sz val="10.0"/>
      </rPr>
      <t>၅၀၅</t>
    </r>
  </si>
  <si>
    <r>
      <rPr>
        <rFont val="Myanmar Sangam MN"/>
        <b/>
        <color theme="1"/>
        <sz val="10.0"/>
      </rPr>
      <t>၄၇၀၉</t>
    </r>
  </si>
  <si>
    <r>
      <rPr>
        <rFont val="Myanmar Sangam MN"/>
        <b/>
        <color theme="1"/>
        <sz val="10.0"/>
      </rPr>
      <t>၂၀၆၇၃၇</t>
    </r>
  </si>
  <si>
    <r>
      <rPr>
        <rFont val="Myanmar Sangam MN"/>
        <b/>
        <color theme="1"/>
        <sz val="10.0"/>
      </rPr>
      <t>၅၀၀၃၁</t>
    </r>
  </si>
  <si>
    <r>
      <rPr>
        <rFont val="Myanmar Sangam MN"/>
        <b/>
        <color theme="1"/>
        <sz val="10.0"/>
      </rPr>
      <t>၂၅၆၇၆၈</t>
    </r>
  </si>
  <si>
    <r>
      <rPr>
        <rFont val="Myanmar Sangam MN"/>
        <color theme="1"/>
        <sz val="10.0"/>
      </rPr>
      <t>ဦးစန်းလွင်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</si>
  <si>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</si>
  <si>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၁၇၁၅၆၀</t>
    </r>
  </si>
  <si>
    <r>
      <rPr>
        <rFont val="Myanmar Sangam MN"/>
        <color theme="1"/>
        <sz val="10.0"/>
      </rPr>
      <t>၄၀၄၅၃</t>
    </r>
  </si>
  <si>
    <r>
      <rPr>
        <rFont val="Myanmar Sangam MN"/>
        <color theme="1"/>
        <sz val="10.0"/>
      </rPr>
      <t>၂၁၂၀၁၃</t>
    </r>
  </si>
  <si>
    <r>
      <rPr>
        <rFont val="Myanmar Sangam MN"/>
        <b/>
        <color theme="1"/>
        <sz val="9.0"/>
      </rPr>
      <t>၈၂.၅၇%</t>
    </r>
  </si>
  <si>
    <r>
      <rPr>
        <rFont val="Myanmar Sangam MN"/>
        <color theme="1"/>
        <sz val="10.0"/>
      </rPr>
      <t>ဦးသိန်းထွန်း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</si>
  <si>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</si>
  <si>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၃၂၃၁၂</t>
    </r>
  </si>
  <si>
    <r>
      <rPr>
        <rFont val="Myanmar Sangam MN"/>
        <color theme="1"/>
        <sz val="10.0"/>
      </rPr>
      <t>၈၄၅၅</t>
    </r>
  </si>
  <si>
    <r>
      <rPr>
        <rFont val="Myanmar Sangam MN"/>
        <color theme="1"/>
        <sz val="10.0"/>
      </rPr>
      <t>၄၀၇၆၇</t>
    </r>
  </si>
  <si>
    <r>
      <rPr>
        <rFont val="Myanmar Sangam MN"/>
        <b/>
        <color theme="1"/>
        <sz val="9.0"/>
      </rPr>
      <t>၁၅.၈၈%</t>
    </r>
  </si>
  <si>
    <r>
      <rPr>
        <rFont val="Myanmar Sangam MN"/>
        <color theme="1"/>
        <sz val="10.0"/>
      </rPr>
      <t>ဦးြပည်ငိမ်း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</si>
  <si>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</si>
  <si>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၁၃၂၈</t>
    </r>
  </si>
  <si>
    <r>
      <rPr>
        <rFont val="Myanmar Sangam MN"/>
        <color theme="1"/>
        <sz val="10.0"/>
      </rPr>
      <t>၅၂၄</t>
    </r>
  </si>
  <si>
    <r>
      <rPr>
        <rFont val="Myanmar Sangam MN"/>
        <color theme="1"/>
        <sz val="10.0"/>
      </rPr>
      <t>၁၈၅၂</t>
    </r>
  </si>
  <si>
    <r>
      <rPr>
        <rFont val="Myanmar Sangam MN"/>
        <b/>
        <color theme="1"/>
        <sz val="9.0"/>
      </rPr>
      <t>၀.၇၂%</t>
    </r>
  </si>
  <si>
    <r>
      <rPr>
        <rFont val="Myanmar Sangam MN"/>
        <color theme="1"/>
        <sz val="10.0"/>
      </rPr>
      <t>ဦးသက်ခိုင်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</si>
  <si>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</si>
  <si>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၈၉၈</t>
    </r>
  </si>
  <si>
    <r>
      <rPr>
        <rFont val="Myanmar Sangam MN"/>
        <color theme="1"/>
        <sz val="10.0"/>
      </rPr>
      <t>၂၈၉</t>
    </r>
  </si>
  <si>
    <r>
      <rPr>
        <rFont val="Myanmar Sangam MN"/>
        <color theme="1"/>
        <sz val="10.0"/>
      </rPr>
      <t>၁၁၈၇</t>
    </r>
  </si>
  <si>
    <r>
      <rPr>
        <rFont val="Myanmar Sangam MN"/>
        <b/>
        <color theme="1"/>
        <sz val="9.0"/>
      </rPr>
      <t>၀.၄၆%</t>
    </r>
  </si>
  <si>
    <r>
      <rPr>
        <rFont val="Myanmar Sangam MN"/>
        <color theme="1"/>
        <sz val="10.0"/>
      </rPr>
      <t>ဦးရန်ိုင်ဝင်း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</si>
  <si>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</si>
  <si>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၆၃၉</t>
    </r>
  </si>
  <si>
    <r>
      <rPr>
        <rFont val="Myanmar Sangam MN"/>
        <color theme="1"/>
        <sz val="10.0"/>
      </rPr>
      <t>၃၁၀</t>
    </r>
  </si>
  <si>
    <r>
      <rPr>
        <rFont val="Myanmar Sangam MN"/>
        <color theme="1"/>
        <sz val="10.0"/>
      </rPr>
      <t>၉၄၉</t>
    </r>
  </si>
  <si>
    <r>
      <rPr>
        <rFont val="Myanmar Sangam MN"/>
        <b/>
        <color theme="1"/>
        <sz val="9.0"/>
      </rPr>
      <t>၀.၃၇%</t>
    </r>
  </si>
  <si>
    <r>
      <rPr>
        <rFont val="Myanmar Sangam MN"/>
        <b/>
        <color theme="1"/>
        <sz val="10.0"/>
      </rPr>
      <t>၈၇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</si>
  <si>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</si>
  <si>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၃၆၀၁၁၅</t>
    </r>
  </si>
  <si>
    <r>
      <rPr>
        <rFont val="Myanmar Sangam MN"/>
        <b/>
        <color theme="1"/>
        <sz val="10.0"/>
      </rPr>
      <t>၂၃၀၅၉၃</t>
    </r>
  </si>
  <si>
    <r>
      <rPr>
        <rFont val="Myanmar Sangam MN"/>
        <b/>
        <color theme="1"/>
        <sz val="10.0"/>
      </rPr>
      <t>၄၆၉၅၃</t>
    </r>
  </si>
  <si>
    <r>
      <rPr>
        <rFont val="Myanmar Sangam MN"/>
        <b/>
        <color theme="1"/>
        <sz val="10.0"/>
      </rPr>
      <t>၂၇၇၅၄၆</t>
    </r>
  </si>
  <si>
    <r>
      <rPr>
        <rFont val="Myanmar Sangam MN"/>
        <b/>
        <color theme="1"/>
        <sz val="10.0"/>
      </rPr>
      <t>၇၇.၀၇</t>
    </r>
  </si>
  <si>
    <r>
      <rPr>
        <rFont val="Myanmar Sangam MN"/>
        <b/>
        <color theme="1"/>
        <sz val="10.0"/>
      </rPr>
      <t>၅၉၇၄</t>
    </r>
  </si>
  <si>
    <r>
      <rPr>
        <rFont val="Myanmar Sangam MN"/>
        <b/>
        <color theme="1"/>
        <sz val="10.0"/>
      </rPr>
      <t>၆၀၁</t>
    </r>
  </si>
  <si>
    <r>
      <rPr>
        <rFont val="Myanmar Sangam MN"/>
        <b/>
        <color theme="1"/>
        <sz val="10.0"/>
      </rPr>
      <t>၆၅၇၅</t>
    </r>
  </si>
  <si>
    <r>
      <rPr>
        <rFont val="Myanmar Sangam MN"/>
        <color theme="1"/>
        <sz val="10.0"/>
      </rPr>
      <t>၂၂၅၄၃၂</t>
    </r>
  </si>
  <si>
    <r>
      <rPr>
        <rFont val="Myanmar Sangam MN"/>
        <color theme="1"/>
        <sz val="10.0"/>
      </rPr>
      <t>၄၅၅၃၉</t>
    </r>
  </si>
  <si>
    <r>
      <rPr>
        <rFont val="Myanmar Sangam MN"/>
        <color theme="1"/>
        <sz val="10.0"/>
      </rPr>
      <t>၂၇၀၉၇၁</t>
    </r>
  </si>
  <si>
    <r>
      <rPr>
        <rFont val="Myanmar Sangam MN"/>
        <color theme="1"/>
        <sz val="10.0"/>
      </rPr>
      <t>ဦးေကျာ်ေဆွ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</si>
  <si>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</si>
  <si>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၁၈၀၃၂၃</t>
    </r>
  </si>
  <si>
    <r>
      <rPr>
        <rFont val="Myanmar Sangam MN"/>
        <color theme="1"/>
        <sz val="10.0"/>
      </rPr>
      <t>၃၄၀၄၆</t>
    </r>
  </si>
  <si>
    <r>
      <rPr>
        <rFont val="Myanmar Sangam MN"/>
        <color theme="1"/>
        <sz val="10.0"/>
      </rPr>
      <t>၂၁၄၃၆၉</t>
    </r>
  </si>
  <si>
    <r>
      <rPr>
        <rFont val="Myanmar Sangam MN"/>
        <b/>
        <color theme="1"/>
        <sz val="9.0"/>
      </rPr>
      <t>၇၉.၁၁%</t>
    </r>
  </si>
  <si>
    <r>
      <rPr>
        <rFont val="Myanmar Sangam MN"/>
        <color theme="1"/>
        <sz val="10.0"/>
      </rPr>
      <t>ဦးေအာင်စိုးဝင်း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</si>
  <si>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</si>
  <si>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၄၃၀၉၇</t>
    </r>
  </si>
  <si>
    <r>
      <rPr>
        <rFont val="Myanmar Sangam MN"/>
        <color theme="1"/>
        <sz val="10.0"/>
      </rPr>
      <t>၁၀၇၀၂</t>
    </r>
  </si>
  <si>
    <r>
      <rPr>
        <rFont val="Myanmar Sangam MN"/>
        <color theme="1"/>
        <sz val="10.0"/>
      </rPr>
      <t>၅၃၇၉၉</t>
    </r>
  </si>
  <si>
    <r>
      <rPr>
        <rFont val="Myanmar Sangam MN"/>
        <b/>
        <color theme="1"/>
        <sz val="9.0"/>
      </rPr>
      <t>၁၉.၈၅%</t>
    </r>
  </si>
  <si>
    <r>
      <rPr>
        <rFont val="Myanmar Sangam MN"/>
        <color theme="1"/>
        <sz val="10.0"/>
      </rPr>
      <t>ဦးဝင်းမင်းဦး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</si>
  <si>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</si>
  <si>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၁၂၂၂</t>
    </r>
  </si>
  <si>
    <r>
      <rPr>
        <rFont val="Myanmar Sangam MN"/>
        <color theme="1"/>
        <sz val="10.0"/>
      </rPr>
      <t>၃၈၉</t>
    </r>
  </si>
  <si>
    <r>
      <rPr>
        <rFont val="Myanmar Sangam MN"/>
        <color theme="1"/>
        <sz val="10.0"/>
      </rPr>
      <t>၁၆၁၁</t>
    </r>
  </si>
  <si>
    <r>
      <rPr>
        <rFont val="Myanmar Sangam MN"/>
        <b/>
        <color theme="1"/>
        <sz val="9.0"/>
      </rPr>
      <t>၀.၆၀%</t>
    </r>
  </si>
  <si>
    <r>
      <rPr>
        <rFont val="Myanmar Sangam MN"/>
        <color theme="1"/>
        <sz val="10.0"/>
      </rPr>
      <t>ဦးေရ ေလး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</si>
  <si>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</si>
  <si>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၇၉၀</t>
    </r>
  </si>
  <si>
    <r>
      <rPr>
        <rFont val="Myanmar Sangam MN"/>
        <color theme="1"/>
        <sz val="10.0"/>
      </rPr>
      <t>၄၀၂</t>
    </r>
  </si>
  <si>
    <r>
      <rPr>
        <rFont val="Myanmar Sangam MN"/>
        <color theme="1"/>
        <sz val="10.0"/>
      </rPr>
      <t>၁၁၉၂</t>
    </r>
  </si>
  <si>
    <r>
      <rPr>
        <rFont val="Myanmar Sangam MN"/>
        <b/>
        <color theme="1"/>
        <sz val="9.0"/>
      </rPr>
      <t>၀.၄၄%</t>
    </r>
  </si>
  <si>
    <r>
      <rPr>
        <rFont val="Myanmar Sangam MN"/>
        <b/>
        <color theme="1"/>
        <sz val="10.0"/>
      </rPr>
      <t>၈၈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</si>
  <si>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</si>
  <si>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၁၉၃၂၃၆</t>
    </r>
  </si>
  <si>
    <r>
      <rPr>
        <rFont val="Myanmar Sangam MN"/>
        <b/>
        <color theme="1"/>
        <sz val="10.0"/>
      </rPr>
      <t>၁၁၈၅၄၆</t>
    </r>
  </si>
  <si>
    <r>
      <rPr>
        <rFont val="Myanmar Sangam MN"/>
        <b/>
        <color theme="1"/>
        <sz val="10.0"/>
      </rPr>
      <t>၃၃၁၀၉</t>
    </r>
  </si>
  <si>
    <r>
      <rPr>
        <rFont val="Myanmar Sangam MN"/>
        <b/>
        <color theme="1"/>
        <sz val="10.0"/>
      </rPr>
      <t>၁၅၁၆၅၅</t>
    </r>
  </si>
  <si>
    <r>
      <rPr>
        <rFont val="Myanmar Sangam MN"/>
        <b/>
        <color theme="1"/>
        <sz val="10.0"/>
      </rPr>
      <t>၇၈.၄၈</t>
    </r>
  </si>
  <si>
    <r>
      <rPr>
        <rFont val="Myanmar Sangam MN"/>
        <b/>
        <color theme="1"/>
        <sz val="10.0"/>
      </rPr>
      <t>၂၁၈၈</t>
    </r>
  </si>
  <si>
    <r>
      <rPr>
        <rFont val="Myanmar Sangam MN"/>
        <b/>
        <color theme="1"/>
        <sz val="10.0"/>
      </rPr>
      <t>၂၆၇</t>
    </r>
  </si>
  <si>
    <r>
      <rPr>
        <rFont val="Myanmar Sangam MN"/>
        <b/>
        <color theme="1"/>
        <sz val="10.0"/>
      </rPr>
      <t>၂၄၅၅</t>
    </r>
  </si>
  <si>
    <r>
      <rPr>
        <rFont val="Myanmar Sangam MN"/>
        <b/>
        <color theme="1"/>
        <sz val="10.0"/>
      </rPr>
      <t>၁၁၆၈၆၇</t>
    </r>
  </si>
  <si>
    <r>
      <rPr>
        <rFont val="Myanmar Sangam MN"/>
        <b/>
        <color theme="1"/>
        <sz val="10.0"/>
      </rPr>
      <t>၃၂၃၃၃</t>
    </r>
  </si>
  <si>
    <r>
      <rPr>
        <rFont val="Myanmar Sangam MN"/>
        <b/>
        <color theme="1"/>
        <sz val="10.0"/>
      </rPr>
      <t>၁၄၉၂၀၀</t>
    </r>
  </si>
  <si>
    <r>
      <rPr>
        <rFont val="Myanmar Sangam MN"/>
        <color theme="1"/>
        <sz val="10.0"/>
      </rPr>
      <t>ေဒါက်တာေကျာ်ေငွ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</si>
  <si>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</si>
  <si>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၈၄၈၈၂</t>
    </r>
  </si>
  <si>
    <r>
      <rPr>
        <rFont val="Myanmar Sangam MN"/>
        <color theme="1"/>
        <sz val="10.0"/>
      </rPr>
      <t>၂၂၅၀၀</t>
    </r>
  </si>
  <si>
    <r>
      <rPr>
        <rFont val="Myanmar Sangam MN"/>
        <color theme="1"/>
        <sz val="10.0"/>
      </rPr>
      <t>၁၀၇၃၈၂</t>
    </r>
  </si>
  <si>
    <r>
      <rPr>
        <rFont val="Myanmar Sangam MN"/>
        <b/>
        <color theme="1"/>
        <sz val="9.0"/>
      </rPr>
      <t>၇၁.၉၇%</t>
    </r>
  </si>
  <si>
    <r>
      <rPr>
        <rFont val="Myanmar Sangam MN"/>
        <color theme="1"/>
        <sz val="9.0"/>
      </rPr>
      <t>ဦးသိန်းလွင်(ခ)ဦးဖိုးသိန်း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</si>
  <si>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</si>
  <si>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၂၂၂၅၉</t>
    </r>
  </si>
  <si>
    <r>
      <rPr>
        <rFont val="Myanmar Sangam MN"/>
        <color theme="1"/>
        <sz val="10.0"/>
      </rPr>
      <t>၆၇၈၂</t>
    </r>
  </si>
  <si>
    <r>
      <rPr>
        <rFont val="Myanmar Sangam MN"/>
        <color theme="1"/>
        <sz val="10.0"/>
      </rPr>
      <t>၂၉၀၄၁</t>
    </r>
  </si>
  <si>
    <r>
      <rPr>
        <rFont val="Myanmar Sangam MN"/>
        <b/>
        <color theme="1"/>
        <sz val="9.0"/>
      </rPr>
      <t>၁၉.၄၆%</t>
    </r>
  </si>
  <si>
    <r>
      <rPr>
        <rFont val="Myanmar Sangam MN"/>
        <color theme="1"/>
        <sz val="10.0"/>
      </rPr>
      <t>ဦးရဲရင့်ေအာင်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</si>
  <si>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</si>
  <si>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၇၈၈၁</t>
    </r>
  </si>
  <si>
    <r>
      <rPr>
        <rFont val="Myanmar Sangam MN"/>
        <color theme="1"/>
        <sz val="10.0"/>
      </rPr>
      <t>၂၁၄၀</t>
    </r>
  </si>
  <si>
    <r>
      <rPr>
        <rFont val="Myanmar Sangam MN"/>
        <color theme="1"/>
        <sz val="10.0"/>
      </rPr>
      <t>၁၀၀၂၁</t>
    </r>
  </si>
  <si>
    <r>
      <rPr>
        <rFont val="Myanmar Sangam MN"/>
        <b/>
        <color theme="1"/>
        <sz val="9.0"/>
      </rPr>
      <t>၆.၇၂%</t>
    </r>
  </si>
  <si>
    <r>
      <rPr>
        <rFont val="Myanmar Sangam MN"/>
        <color theme="1"/>
        <sz val="10.0"/>
      </rPr>
      <t>ေဒေွးေွးေမ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</si>
  <si>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</si>
  <si>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၉၄၉</t>
    </r>
  </si>
  <si>
    <r>
      <rPr>
        <rFont val="Myanmar Sangam MN"/>
        <color theme="1"/>
        <sz val="10.0"/>
      </rPr>
      <t>၅၃၇</t>
    </r>
  </si>
  <si>
    <r>
      <rPr>
        <rFont val="Myanmar Sangam MN"/>
        <color theme="1"/>
        <sz val="10.0"/>
      </rPr>
      <t>၁၄၈၆</t>
    </r>
  </si>
  <si>
    <r>
      <rPr>
        <rFont val="Myanmar Sangam MN"/>
        <b/>
        <color theme="1"/>
        <sz val="9.0"/>
      </rPr>
      <t>၁.၀၀%</t>
    </r>
  </si>
  <si>
    <r>
      <rPr>
        <rFont val="Myanmar Sangam MN"/>
        <color theme="1"/>
        <sz val="10.0"/>
      </rPr>
      <t>ဦးသီဟညိ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</si>
  <si>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</si>
  <si>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၈၉၆</t>
    </r>
  </si>
  <si>
    <r>
      <rPr>
        <rFont val="Myanmar Sangam MN"/>
        <color theme="1"/>
        <sz val="10.0"/>
      </rPr>
      <t>၃၇၄</t>
    </r>
  </si>
  <si>
    <r>
      <rPr>
        <rFont val="Myanmar Sangam MN"/>
        <color theme="1"/>
        <sz val="10.0"/>
      </rPr>
      <t>၁၂၇၀</t>
    </r>
  </si>
  <si>
    <r>
      <rPr>
        <rFont val="Myanmar Sangam MN"/>
        <b/>
        <color theme="1"/>
        <sz val="9.0"/>
      </rPr>
      <t>၀.၈၅%</t>
    </r>
  </si>
  <si>
    <r>
      <rPr>
        <rFont val="Myanmar Sangam MN"/>
        <b/>
        <color theme="1"/>
        <sz val="10.0"/>
      </rPr>
      <t>၈၉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</si>
  <si>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</si>
  <si>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၂၉၁၀၁၀</t>
    </r>
  </si>
  <si>
    <r>
      <rPr>
        <rFont val="Myanmar Sangam MN"/>
        <b/>
        <color theme="1"/>
        <sz val="10.0"/>
      </rPr>
      <t>၁၇၂၅၄၃</t>
    </r>
  </si>
  <si>
    <r>
      <rPr>
        <rFont val="Myanmar Sangam MN"/>
        <b/>
        <color theme="1"/>
        <sz val="10.0"/>
      </rPr>
      <t>၄၃၄၈၈</t>
    </r>
  </si>
  <si>
    <r>
      <rPr>
        <rFont val="Myanmar Sangam MN"/>
        <b/>
        <color theme="1"/>
        <sz val="10.0"/>
      </rPr>
      <t>၂၁၆၀၃၁</t>
    </r>
  </si>
  <si>
    <r>
      <rPr>
        <rFont val="Myanmar Sangam MN"/>
        <b/>
        <color theme="1"/>
        <sz val="10.0"/>
      </rPr>
      <t>၇၄.၂၃</t>
    </r>
  </si>
  <si>
    <r>
      <rPr>
        <rFont val="Myanmar Sangam MN"/>
        <b/>
        <color theme="1"/>
        <sz val="10.0"/>
      </rPr>
      <t>၄၁၂၃</t>
    </r>
  </si>
  <si>
    <r>
      <rPr>
        <rFont val="Myanmar Sangam MN"/>
        <b/>
        <color theme="1"/>
        <sz val="10.0"/>
      </rPr>
      <t>၂၇၁</t>
    </r>
  </si>
  <si>
    <r>
      <rPr>
        <rFont val="Myanmar Sangam MN"/>
        <b/>
        <color theme="1"/>
        <sz val="10.0"/>
      </rPr>
      <t>၄၃၉၄</t>
    </r>
  </si>
  <si>
    <r>
      <rPr>
        <rFont val="Myanmar Sangam MN"/>
        <b/>
        <color theme="1"/>
        <sz val="10.0"/>
      </rPr>
      <t>၁၆၉၀၉၄</t>
    </r>
  </si>
  <si>
    <r>
      <rPr>
        <rFont val="Myanmar Sangam MN"/>
        <b/>
        <color theme="1"/>
        <sz val="10.0"/>
      </rPr>
      <t>၄၂၅၄၃</t>
    </r>
  </si>
  <si>
    <r>
      <rPr>
        <rFont val="Myanmar Sangam MN"/>
        <b/>
        <color theme="1"/>
        <sz val="10.0"/>
      </rPr>
      <t>၂၁၁၆၃၇</t>
    </r>
  </si>
  <si>
    <r>
      <rPr>
        <rFont val="Myanmar Sangam MN"/>
        <color theme="1"/>
        <sz val="10.0"/>
      </rPr>
      <t>ဦးခင်ဝင်း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</si>
  <si>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</si>
  <si>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၁၄၁၀၀၃</t>
    </r>
  </si>
  <si>
    <r>
      <rPr>
        <rFont val="Myanmar Sangam MN"/>
        <color theme="1"/>
        <sz val="10.0"/>
      </rPr>
      <t>၃၄၂၁၉</t>
    </r>
  </si>
  <si>
    <r>
      <rPr>
        <rFont val="Myanmar Sangam MN"/>
        <color theme="1"/>
        <sz val="10.0"/>
      </rPr>
      <t>၁၇၅၂၂၂</t>
    </r>
  </si>
  <si>
    <r>
      <rPr>
        <rFont val="Myanmar Sangam MN"/>
        <b/>
        <color theme="1"/>
        <sz val="9.0"/>
      </rPr>
      <t>၈၂.၇၉%</t>
    </r>
  </si>
  <si>
    <r>
      <rPr>
        <rFont val="Myanmar Sangam MN"/>
        <color theme="1"/>
        <sz val="10.0"/>
      </rPr>
      <t>ဦးထွန်းရှိန်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</si>
  <si>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</si>
  <si>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၂၆၁၆၃</t>
    </r>
  </si>
  <si>
    <r>
      <rPr>
        <rFont val="Myanmar Sangam MN"/>
        <color theme="1"/>
        <sz val="10.0"/>
      </rPr>
      <t>၇၇၆၀</t>
    </r>
  </si>
  <si>
    <r>
      <rPr>
        <rFont val="Myanmar Sangam MN"/>
        <color theme="1"/>
        <sz val="10.0"/>
      </rPr>
      <t>၃၃၉၂၃</t>
    </r>
  </si>
  <si>
    <r>
      <rPr>
        <rFont val="Myanmar Sangam MN"/>
        <b/>
        <color theme="1"/>
        <sz val="9.0"/>
      </rPr>
      <t>၁၆.၀၃%</t>
    </r>
  </si>
  <si>
    <r>
      <rPr>
        <rFont val="Myanmar Sangam MN"/>
        <color theme="1"/>
        <sz val="10.0"/>
      </rPr>
      <t>ဦးတင်ဝင်းိုင်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</si>
  <si>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</si>
  <si>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၁၄၄၅</t>
    </r>
  </si>
  <si>
    <r>
      <rPr>
        <rFont val="Myanmar Sangam MN"/>
        <color theme="1"/>
        <sz val="10.0"/>
      </rPr>
      <t>၄၄၁</t>
    </r>
  </si>
  <si>
    <r>
      <rPr>
        <rFont val="Myanmar Sangam MN"/>
        <color theme="1"/>
        <sz val="10.0"/>
      </rPr>
      <t>၁၈၈၆</t>
    </r>
  </si>
  <si>
    <r>
      <rPr>
        <rFont val="Myanmar Sangam MN"/>
        <b/>
        <color theme="1"/>
        <sz val="9.0"/>
      </rPr>
      <t>၀.၈၉%</t>
    </r>
  </si>
  <si>
    <r>
      <rPr>
        <rFont val="Myanmar Sangam MN"/>
        <color theme="1"/>
        <sz val="10.0"/>
      </rPr>
      <t>ဦးေအာင်ေကျာ်လင်း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</si>
  <si>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</si>
  <si>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၄၈၃</t>
    </r>
  </si>
  <si>
    <r>
      <rPr>
        <rFont val="Myanmar Sangam MN"/>
        <color theme="1"/>
        <sz val="10.0"/>
      </rPr>
      <t>၁၂၃</t>
    </r>
  </si>
  <si>
    <r>
      <rPr>
        <rFont val="Myanmar Sangam MN"/>
        <color theme="1"/>
        <sz val="10.0"/>
      </rPr>
      <t>၆၀၆</t>
    </r>
  </si>
  <si>
    <r>
      <rPr>
        <rFont val="Myanmar Sangam MN"/>
        <b/>
        <color theme="1"/>
        <sz val="9.0"/>
      </rPr>
      <t>၀.၂၉%</t>
    </r>
  </si>
  <si>
    <r>
      <rPr>
        <rFont val="Myanmar Sangam MN"/>
        <b/>
        <color theme="1"/>
        <sz val="10.0"/>
      </rPr>
      <t>၉၀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</si>
  <si>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</si>
  <si>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၂၁၉၁၁၂</t>
    </r>
  </si>
  <si>
    <r>
      <rPr>
        <rFont val="Myanmar Sangam MN"/>
        <b/>
        <color theme="1"/>
        <sz val="10.0"/>
      </rPr>
      <t>၁၃၃၃၆၈</t>
    </r>
  </si>
  <si>
    <r>
      <rPr>
        <rFont val="Myanmar Sangam MN"/>
        <b/>
        <color theme="1"/>
        <sz val="10.0"/>
      </rPr>
      <t>၂၈၄၄၄</t>
    </r>
  </si>
  <si>
    <r>
      <rPr>
        <rFont val="Myanmar Sangam MN"/>
        <b/>
        <color theme="1"/>
        <sz val="10.0"/>
      </rPr>
      <t>၁၆၁၈၁၂</t>
    </r>
  </si>
  <si>
    <r>
      <rPr>
        <rFont val="Myanmar Sangam MN"/>
        <b/>
        <color theme="1"/>
        <sz val="10.0"/>
      </rPr>
      <t>၇၃.၈၅</t>
    </r>
  </si>
  <si>
    <r>
      <rPr>
        <rFont val="Myanmar Sangam MN"/>
        <b/>
        <color theme="1"/>
        <sz val="10.0"/>
      </rPr>
      <t>၂၇၆၇</t>
    </r>
  </si>
  <si>
    <r>
      <rPr>
        <rFont val="Myanmar Sangam MN"/>
        <b/>
        <color theme="1"/>
        <sz val="10.0"/>
      </rPr>
      <t>၁၄၅</t>
    </r>
  </si>
  <si>
    <r>
      <rPr>
        <rFont val="Myanmar Sangam MN"/>
        <b/>
        <color theme="1"/>
        <sz val="10.0"/>
      </rPr>
      <t>၂၉၁၂</t>
    </r>
  </si>
  <si>
    <r>
      <rPr>
        <rFont val="Myanmar Sangam MN"/>
        <b/>
        <color theme="1"/>
        <sz val="10.0"/>
      </rPr>
      <t>၁၃၁၂၁၆</t>
    </r>
  </si>
  <si>
    <r>
      <rPr>
        <rFont val="Myanmar Sangam MN"/>
        <b/>
        <color theme="1"/>
        <sz val="10.0"/>
      </rPr>
      <t>၂၇၆၈၄</t>
    </r>
  </si>
  <si>
    <r>
      <rPr>
        <rFont val="Myanmar Sangam MN"/>
        <b/>
        <color theme="1"/>
        <sz val="10.0"/>
      </rPr>
      <t>၁၅၈၉၀၀</t>
    </r>
  </si>
  <si>
    <r>
      <rPr>
        <rFont val="Myanmar Sangam MN"/>
        <color theme="1"/>
        <sz val="10.0"/>
      </rPr>
      <t>ဦးေအာင်ကည်ွန 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</si>
  <si>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</si>
  <si>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၉၈၈၀၁</t>
    </r>
  </si>
  <si>
    <r>
      <rPr>
        <rFont val="Myanmar Sangam MN"/>
        <color theme="1"/>
        <sz val="10.0"/>
      </rPr>
      <t>၂၀၂၈၄</t>
    </r>
  </si>
  <si>
    <r>
      <rPr>
        <rFont val="Myanmar Sangam MN"/>
        <color theme="1"/>
        <sz val="10.0"/>
      </rPr>
      <t>၁၁၉၀၈၅</t>
    </r>
  </si>
  <si>
    <r>
      <rPr>
        <rFont val="Myanmar Sangam MN"/>
        <b/>
        <color theme="1"/>
        <sz val="9.0"/>
      </rPr>
      <t>၇၄.၉၄%</t>
    </r>
  </si>
  <si>
    <r>
      <rPr>
        <rFont val="Myanmar Sangam MN"/>
        <color theme="1"/>
        <sz val="10.0"/>
      </rPr>
      <t>ဦးခင်ေဇာ်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</si>
  <si>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</si>
  <si>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၂၈၇၄၇</t>
    </r>
  </si>
  <si>
    <r>
      <rPr>
        <rFont val="Myanmar Sangam MN"/>
        <color theme="1"/>
        <sz val="10.0"/>
      </rPr>
      <t>၆၄၂၄</t>
    </r>
  </si>
  <si>
    <r>
      <rPr>
        <rFont val="Myanmar Sangam MN"/>
        <color theme="1"/>
        <sz val="10.0"/>
      </rPr>
      <t>၃၅၁၇၁</t>
    </r>
  </si>
  <si>
    <r>
      <rPr>
        <rFont val="Myanmar Sangam MN"/>
        <b/>
        <color theme="1"/>
        <sz val="9.0"/>
      </rPr>
      <t>၂၂.၁၃%</t>
    </r>
  </si>
  <si>
    <r>
      <rPr>
        <rFont val="Myanmar Sangam MN"/>
        <color theme="1"/>
        <sz val="10.0"/>
      </rPr>
      <t xml:space="preserve">ဦးခင်ေမာင်ေရ 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</si>
  <si>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</si>
  <si>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၁၆၆၁</t>
    </r>
  </si>
  <si>
    <r>
      <rPr>
        <rFont val="Myanmar Sangam MN"/>
        <color theme="1"/>
        <sz val="10.0"/>
      </rPr>
      <t>၄၉၅</t>
    </r>
  </si>
  <si>
    <r>
      <rPr>
        <rFont val="Myanmar Sangam MN"/>
        <color theme="1"/>
        <sz val="10.0"/>
      </rPr>
      <t>၂၁၅၆</t>
    </r>
  </si>
  <si>
    <r>
      <rPr>
        <rFont val="Myanmar Sangam MN"/>
        <b/>
        <color theme="1"/>
        <sz val="9.0"/>
      </rPr>
      <t>၁.၃၆%</t>
    </r>
  </si>
  <si>
    <r>
      <rPr>
        <rFont val="Myanmar Sangam MN"/>
        <color theme="1"/>
        <sz val="10.0"/>
      </rPr>
      <t>ဦးေအာင်ကိုကိုလင်း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</si>
  <si>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</si>
  <si>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၁၅၉၂</t>
    </r>
  </si>
  <si>
    <r>
      <rPr>
        <rFont val="Myanmar Sangam MN"/>
        <color theme="1"/>
        <sz val="10.0"/>
      </rPr>
      <t>၃၃၀</t>
    </r>
  </si>
  <si>
    <r>
      <rPr>
        <rFont val="Myanmar Sangam MN"/>
        <color theme="1"/>
        <sz val="10.0"/>
      </rPr>
      <t>၁၉၂၂</t>
    </r>
  </si>
  <si>
    <r>
      <rPr>
        <rFont val="Myanmar Sangam MN"/>
        <b/>
        <color theme="1"/>
        <sz val="9.0"/>
      </rPr>
      <t>၁.၂၁%</t>
    </r>
  </si>
  <si>
    <r>
      <rPr>
        <rFont val="Myanmar Sangam MN"/>
        <color theme="1"/>
        <sz val="10.0"/>
      </rPr>
      <t>ဦးဆန်းထွန်းဦး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</si>
  <si>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</si>
  <si>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၄၁၅</t>
    </r>
  </si>
  <si>
    <r>
      <rPr>
        <rFont val="Myanmar Sangam MN"/>
        <color theme="1"/>
        <sz val="10.0"/>
      </rPr>
      <t>၁၅၁</t>
    </r>
  </si>
  <si>
    <r>
      <rPr>
        <rFont val="Myanmar Sangam MN"/>
        <color theme="1"/>
        <sz val="10.0"/>
      </rPr>
      <t>၅၆၆</t>
    </r>
  </si>
  <si>
    <r>
      <rPr>
        <rFont val="Myanmar Sangam MN"/>
        <b/>
        <color theme="1"/>
        <sz val="9.0"/>
      </rPr>
      <t>၀.၃၆%</t>
    </r>
  </si>
  <si>
    <r>
      <rPr>
        <rFont val="Myanmar Sangam MN"/>
        <b/>
        <color theme="1"/>
        <sz val="10.0"/>
      </rPr>
      <t>၉၁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</si>
  <si>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</si>
  <si>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၃၂၈၃၈၁</t>
    </r>
  </si>
  <si>
    <r>
      <rPr>
        <rFont val="Myanmar Sangam MN"/>
        <b/>
        <color theme="1"/>
        <sz val="10.0"/>
      </rPr>
      <t>၁၈၉၃၃၃</t>
    </r>
  </si>
  <si>
    <r>
      <rPr>
        <rFont val="Myanmar Sangam MN"/>
        <b/>
        <color theme="1"/>
        <sz val="10.0"/>
      </rPr>
      <t>၅၃၈၈၇</t>
    </r>
  </si>
  <si>
    <r>
      <rPr>
        <rFont val="Myanmar Sangam MN"/>
        <b/>
        <color theme="1"/>
        <sz val="10.0"/>
      </rPr>
      <t>၂၄၃၂၂၀</t>
    </r>
  </si>
  <si>
    <r>
      <rPr>
        <rFont val="Myanmar Sangam MN"/>
        <b/>
        <color theme="1"/>
        <sz val="10.0"/>
      </rPr>
      <t>၇၄.၀၇</t>
    </r>
  </si>
  <si>
    <r>
      <rPr>
        <rFont val="Myanmar Sangam MN"/>
        <b/>
        <color theme="1"/>
        <sz val="10.0"/>
      </rPr>
      <t>၅၀၆၁</t>
    </r>
  </si>
  <si>
    <r>
      <rPr>
        <rFont val="Myanmar Sangam MN"/>
        <b/>
        <color theme="1"/>
        <sz val="10.0"/>
      </rPr>
      <t>၂၃၈</t>
    </r>
  </si>
  <si>
    <r>
      <rPr>
        <rFont val="Myanmar Sangam MN"/>
        <b/>
        <color theme="1"/>
        <sz val="10.0"/>
      </rPr>
      <t>၅၂၉၉</t>
    </r>
  </si>
  <si>
    <r>
      <rPr>
        <rFont val="Myanmar Sangam MN"/>
        <b/>
        <color theme="1"/>
        <sz val="10.0"/>
      </rPr>
      <t>၁၈၄၆၄၂</t>
    </r>
  </si>
  <si>
    <r>
      <rPr>
        <rFont val="Myanmar Sangam MN"/>
        <b/>
        <color theme="1"/>
        <sz val="10.0"/>
      </rPr>
      <t>၅၃၂၇၉</t>
    </r>
  </si>
  <si>
    <r>
      <rPr>
        <rFont val="Myanmar Sangam MN"/>
        <b/>
        <color theme="1"/>
        <sz val="10.0"/>
      </rPr>
      <t>၂၃၇၉၂၁</t>
    </r>
  </si>
  <si>
    <r>
      <rPr>
        <rFont val="Myanmar Sangam MN"/>
        <color theme="1"/>
        <sz val="10.0"/>
      </rPr>
      <t>ဦးဝင်းတင့်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</si>
  <si>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</si>
  <si>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၁၅၇၄၅၁</t>
    </r>
  </si>
  <si>
    <r>
      <rPr>
        <rFont val="Myanmar Sangam MN"/>
        <color theme="1"/>
        <sz val="10.0"/>
      </rPr>
      <t>၄၃၄၉၇</t>
    </r>
  </si>
  <si>
    <r>
      <rPr>
        <rFont val="Myanmar Sangam MN"/>
        <color theme="1"/>
        <sz val="10.0"/>
      </rPr>
      <t>၂၀၀၉၄၈</t>
    </r>
  </si>
  <si>
    <r>
      <rPr>
        <rFont val="Myanmar Sangam MN"/>
        <b/>
        <color theme="1"/>
        <sz val="9.0"/>
      </rPr>
      <t>၈၄.၄၆%</t>
    </r>
  </si>
  <si>
    <r>
      <rPr>
        <rFont val="Myanmar Sangam MN"/>
        <color theme="1"/>
        <sz val="10.0"/>
      </rPr>
      <t>ဦးဆန်းွန ်ေအာင်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</si>
  <si>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</si>
  <si>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၂၂၆၁၉</t>
    </r>
  </si>
  <si>
    <r>
      <rPr>
        <rFont val="Myanmar Sangam MN"/>
        <color theme="1"/>
        <sz val="10.0"/>
      </rPr>
      <t>၇၃၆၀</t>
    </r>
  </si>
  <si>
    <r>
      <rPr>
        <rFont val="Myanmar Sangam MN"/>
        <color theme="1"/>
        <sz val="10.0"/>
      </rPr>
      <t>၂၉၉၇၉</t>
    </r>
  </si>
  <si>
    <r>
      <rPr>
        <rFont val="Myanmar Sangam MN"/>
        <b/>
        <color theme="1"/>
        <sz val="9.0"/>
      </rPr>
      <t>၁၂.၆၀%</t>
    </r>
  </si>
  <si>
    <r>
      <rPr>
        <rFont val="Myanmar Sangam MN"/>
        <color theme="1"/>
        <sz val="10.0"/>
      </rPr>
      <t>ဦးဖိးေဝထွန်း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</si>
  <si>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</si>
  <si>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၂၅၂၃</t>
    </r>
  </si>
  <si>
    <r>
      <rPr>
        <rFont val="Myanmar Sangam MN"/>
        <color theme="1"/>
        <sz val="10.0"/>
      </rPr>
      <t>၉၇၅</t>
    </r>
  </si>
  <si>
    <r>
      <rPr>
        <rFont val="Myanmar Sangam MN"/>
        <color theme="1"/>
        <sz val="10.0"/>
      </rPr>
      <t>၃၄၉၈</t>
    </r>
  </si>
  <si>
    <r>
      <rPr>
        <rFont val="Myanmar Sangam MN"/>
        <b/>
        <color theme="1"/>
        <sz val="9.0"/>
      </rPr>
      <t>၁.၄၇%</t>
    </r>
  </si>
  <si>
    <r>
      <rPr>
        <rFont val="Myanmar Sangam MN"/>
        <color theme="1"/>
        <sz val="10.0"/>
      </rPr>
      <t xml:space="preserve">ဦးတင်ေရ 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</si>
  <si>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</si>
  <si>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၂၀၄၉</t>
    </r>
  </si>
  <si>
    <r>
      <rPr>
        <rFont val="Myanmar Sangam MN"/>
        <color theme="1"/>
        <sz val="10.0"/>
      </rPr>
      <t>၁၄၄၇</t>
    </r>
  </si>
  <si>
    <r>
      <rPr>
        <rFont val="Myanmar Sangam MN"/>
        <color theme="1"/>
        <sz val="10.0"/>
      </rPr>
      <t>၃၄၉၆</t>
    </r>
  </si>
  <si>
    <r>
      <rPr>
        <rFont val="Myanmar Sangam MN"/>
        <b/>
        <color theme="1"/>
        <sz val="9.0"/>
      </rPr>
      <t>၁.၄၇%</t>
    </r>
  </si>
  <si>
    <r>
      <rPr>
        <rFont val="Myanmar Sangam MN"/>
        <b/>
        <color theme="1"/>
        <sz val="10.0"/>
      </rPr>
      <t>၉၂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</si>
  <si>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</si>
  <si>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၂၄၂၁၉၉</t>
    </r>
  </si>
  <si>
    <r>
      <rPr>
        <rFont val="Myanmar Sangam MN"/>
        <b/>
        <color theme="1"/>
        <sz val="10.0"/>
      </rPr>
      <t>၁၅၀၈၃၇</t>
    </r>
  </si>
  <si>
    <r>
      <rPr>
        <rFont val="Myanmar Sangam MN"/>
        <b/>
        <color theme="1"/>
        <sz val="10.0"/>
      </rPr>
      <t>၃၇၃၄၃</t>
    </r>
  </si>
  <si>
    <r>
      <rPr>
        <rFont val="Myanmar Sangam MN"/>
        <b/>
        <color theme="1"/>
        <sz val="10.0"/>
      </rPr>
      <t>၁၈၈၁၈၀</t>
    </r>
  </si>
  <si>
    <r>
      <rPr>
        <rFont val="Myanmar Sangam MN"/>
        <b/>
        <color theme="1"/>
        <sz val="10.0"/>
      </rPr>
      <t>၇၇.၇၀</t>
    </r>
  </si>
  <si>
    <r>
      <rPr>
        <rFont val="Myanmar Sangam MN"/>
        <b/>
        <color theme="1"/>
        <sz val="10.0"/>
      </rPr>
      <t>၂၄၃၂</t>
    </r>
  </si>
  <si>
    <r>
      <rPr>
        <rFont val="Myanmar Sangam MN"/>
        <b/>
        <color theme="1"/>
        <sz val="10.0"/>
      </rPr>
      <t>၂၈၃</t>
    </r>
  </si>
  <si>
    <r>
      <rPr>
        <rFont val="Myanmar Sangam MN"/>
        <b/>
        <color theme="1"/>
        <sz val="10.0"/>
      </rPr>
      <t>၂၇၁၅</t>
    </r>
  </si>
  <si>
    <r>
      <rPr>
        <rFont val="Myanmar Sangam MN"/>
        <b/>
        <color theme="1"/>
        <sz val="10.0"/>
      </rPr>
      <t>၁၄၈၈၃၄</t>
    </r>
  </si>
  <si>
    <r>
      <rPr>
        <rFont val="Myanmar Sangam MN"/>
        <b/>
        <color theme="1"/>
        <sz val="10.0"/>
      </rPr>
      <t>၃၆၆၃၁</t>
    </r>
  </si>
  <si>
    <r>
      <rPr>
        <rFont val="Myanmar Sangam MN"/>
        <b/>
        <color theme="1"/>
        <sz val="10.0"/>
      </rPr>
      <t>၁၈၅၄၆၅</t>
    </r>
  </si>
  <si>
    <r>
      <rPr>
        <rFont val="Myanmar Sangam MN"/>
        <color theme="1"/>
        <sz val="10.0"/>
      </rPr>
      <t>ဦးရဲတင့်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</si>
  <si>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</si>
  <si>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၁၂၀၅၆၆</t>
    </r>
  </si>
  <si>
    <r>
      <rPr>
        <rFont val="Myanmar Sangam MN"/>
        <color theme="1"/>
        <sz val="10.0"/>
      </rPr>
      <t>၂၈၀၄၇</t>
    </r>
  </si>
  <si>
    <r>
      <rPr>
        <rFont val="Myanmar Sangam MN"/>
        <color theme="1"/>
        <sz val="10.0"/>
      </rPr>
      <t>၁၄၈၆၁၃</t>
    </r>
  </si>
  <si>
    <r>
      <rPr>
        <rFont val="Myanmar Sangam MN"/>
        <b/>
        <color theme="1"/>
        <sz val="9.0"/>
      </rPr>
      <t>၈၀.၁၃%</t>
    </r>
  </si>
  <si>
    <r>
      <rPr>
        <rFont val="Myanmar Sangam MN"/>
        <color theme="1"/>
        <sz val="10.0"/>
      </rPr>
      <t>ဦးကည်ထွန်း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</si>
  <si>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</si>
  <si>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၂၅၆၀၂</t>
    </r>
  </si>
  <si>
    <r>
      <rPr>
        <rFont val="Myanmar Sangam MN"/>
        <color theme="1"/>
        <sz val="10.0"/>
      </rPr>
      <t>၇၆၆၃</t>
    </r>
  </si>
  <si>
    <r>
      <rPr>
        <rFont val="Myanmar Sangam MN"/>
        <color theme="1"/>
        <sz val="10.0"/>
      </rPr>
      <t>၃၃၂၆၅</t>
    </r>
  </si>
  <si>
    <r>
      <rPr>
        <rFont val="Myanmar Sangam MN"/>
        <b/>
        <color theme="1"/>
        <sz val="9.0"/>
      </rPr>
      <t>၁၇.၉၄%</t>
    </r>
  </si>
  <si>
    <r>
      <rPr>
        <rFont val="Myanmar Sangam MN"/>
        <color theme="1"/>
        <sz val="10.0"/>
      </rPr>
      <t>ဦးေဇာ်ဝင်း(ခ) ဦးေကျာ်ေကျာ်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</si>
  <si>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</si>
  <si>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၁၄၇၃</t>
    </r>
  </si>
  <si>
    <r>
      <rPr>
        <rFont val="Myanmar Sangam MN"/>
        <color theme="1"/>
        <sz val="10.0"/>
      </rPr>
      <t>၃၅၅</t>
    </r>
  </si>
  <si>
    <r>
      <rPr>
        <rFont val="Myanmar Sangam MN"/>
        <color theme="1"/>
        <sz val="10.0"/>
      </rPr>
      <t>၁၈၂၈</t>
    </r>
  </si>
  <si>
    <r>
      <rPr>
        <rFont val="Myanmar Sangam MN"/>
        <b/>
        <color theme="1"/>
        <sz val="9.0"/>
      </rPr>
      <t>၀.၉၈%</t>
    </r>
  </si>
  <si>
    <r>
      <rPr>
        <rFont val="Myanmar Sangam MN"/>
        <color theme="1"/>
        <sz val="10.0"/>
      </rPr>
      <t>ဦးချမ်းေြမ့ေအာင်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</si>
  <si>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</si>
  <si>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၁၁၉၃</t>
    </r>
  </si>
  <si>
    <r>
      <rPr>
        <rFont val="Myanmar Sangam MN"/>
        <color theme="1"/>
        <sz val="10.0"/>
      </rPr>
      <t>၅၆၆</t>
    </r>
  </si>
  <si>
    <r>
      <rPr>
        <rFont val="Myanmar Sangam MN"/>
        <color theme="1"/>
        <sz val="10.0"/>
      </rPr>
      <t>၁၇၅၉</t>
    </r>
  </si>
  <si>
    <r>
      <rPr>
        <rFont val="Myanmar Sangam MN"/>
        <b/>
        <color theme="1"/>
        <sz val="9.0"/>
      </rPr>
      <t>၀.၉၅%</t>
    </r>
  </si>
  <si>
    <r>
      <rPr>
        <rFont val="Myanmar Sangam MN"/>
        <b/>
        <color theme="1"/>
        <sz val="10.0"/>
      </rPr>
      <t>၉၃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</si>
  <si>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</si>
  <si>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၂၇၂၆၉၂</t>
    </r>
  </si>
  <si>
    <r>
      <rPr>
        <rFont val="Myanmar Sangam MN"/>
        <b/>
        <color theme="1"/>
        <sz val="10.0"/>
      </rPr>
      <t>၁၇၆၉၃၆</t>
    </r>
  </si>
  <si>
    <r>
      <rPr>
        <rFont val="Myanmar Sangam MN"/>
        <b/>
        <color theme="1"/>
        <sz val="10.0"/>
      </rPr>
      <t>၄၂၅၁၂</t>
    </r>
  </si>
  <si>
    <r>
      <rPr>
        <rFont val="Myanmar Sangam MN"/>
        <b/>
        <color theme="1"/>
        <sz val="10.0"/>
      </rPr>
      <t>၂၁၉၄၄၈</t>
    </r>
  </si>
  <si>
    <r>
      <rPr>
        <rFont val="Myanmar Sangam MN"/>
        <b/>
        <color theme="1"/>
        <sz val="10.0"/>
      </rPr>
      <t>၈၀.၄၇</t>
    </r>
  </si>
  <si>
    <r>
      <rPr>
        <rFont val="Myanmar Sangam MN"/>
        <b/>
        <color theme="1"/>
        <sz val="10.0"/>
      </rPr>
      <t>၄၁၆၁</t>
    </r>
  </si>
  <si>
    <r>
      <rPr>
        <rFont val="Myanmar Sangam MN"/>
        <b/>
        <color theme="1"/>
        <sz val="10.0"/>
      </rPr>
      <t>၄၅၅</t>
    </r>
  </si>
  <si>
    <r>
      <rPr>
        <rFont val="Myanmar Sangam MN"/>
        <b/>
        <color theme="1"/>
        <sz val="10.0"/>
      </rPr>
      <t>၄၆၁၆</t>
    </r>
  </si>
  <si>
    <r>
      <rPr>
        <rFont val="Myanmar Sangam MN"/>
        <b/>
        <color theme="1"/>
        <sz val="10.0"/>
      </rPr>
      <t>၁၇၃၃၅၀</t>
    </r>
  </si>
  <si>
    <r>
      <rPr>
        <rFont val="Myanmar Sangam MN"/>
        <b/>
        <color theme="1"/>
        <sz val="10.0"/>
      </rPr>
      <t>၄၁၄၈၂</t>
    </r>
  </si>
  <si>
    <r>
      <rPr>
        <rFont val="Myanmar Sangam MN"/>
        <b/>
        <color theme="1"/>
        <sz val="10.0"/>
      </rPr>
      <t>၂၁၄၈၃၂</t>
    </r>
  </si>
  <si>
    <r>
      <rPr>
        <rFont val="Myanmar Sangam MN"/>
        <color theme="1"/>
        <sz val="9.0"/>
      </rPr>
      <t>ေဒါက်တာတင်ေမာင်ထွန်း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</si>
  <si>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</si>
  <si>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၁၃၀၂၅၈</t>
    </r>
  </si>
  <si>
    <r>
      <rPr>
        <rFont val="Myanmar Sangam MN"/>
        <color theme="1"/>
        <sz val="10.0"/>
      </rPr>
      <t>၂၉၃၀၉</t>
    </r>
  </si>
  <si>
    <r>
      <rPr>
        <rFont val="Myanmar Sangam MN"/>
        <color theme="1"/>
        <sz val="10.0"/>
      </rPr>
      <t>၁၅၉၅၆၇</t>
    </r>
  </si>
  <si>
    <r>
      <rPr>
        <rFont val="Myanmar Sangam MN"/>
        <b/>
        <color theme="1"/>
        <sz val="9.0"/>
      </rPr>
      <t>၇၄.၂၇%</t>
    </r>
  </si>
  <si>
    <r>
      <rPr>
        <rFont val="Myanmar Sangam MN"/>
        <color theme="1"/>
        <sz val="10.0"/>
      </rPr>
      <t>ဦးဝင်းမိင်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</si>
  <si>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</si>
  <si>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၃၉၀၉၅</t>
    </r>
  </si>
  <si>
    <r>
      <rPr>
        <rFont val="Myanmar Sangam MN"/>
        <color theme="1"/>
        <sz val="10.0"/>
      </rPr>
      <t>၁၀၅၉၂</t>
    </r>
  </si>
  <si>
    <r>
      <rPr>
        <rFont val="Myanmar Sangam MN"/>
        <color theme="1"/>
        <sz val="10.0"/>
      </rPr>
      <t>၄၉၆၈၇</t>
    </r>
  </si>
  <si>
    <r>
      <rPr>
        <rFont val="Myanmar Sangam MN"/>
        <b/>
        <color theme="1"/>
        <sz val="9.0"/>
      </rPr>
      <t>၂၃.၁၃%</t>
    </r>
  </si>
  <si>
    <r>
      <rPr>
        <rFont val="Myanmar Sangam MN"/>
        <color theme="1"/>
        <sz val="10.0"/>
      </rPr>
      <t>ဦးေကျာ်ဝင်းလင်</t>
    </r>
  </si>
  <si>
    <r>
      <rPr>
        <rFont val="Myanmar Sangam MN"/>
        <color theme="1"/>
        <sz val="10.0"/>
      </rPr>
      <t>ြမန်မာိုင်ငံေတာင်သူလယ်သမားဖွံဖိး တိုးတက်ေရးပါတီ</t>
    </r>
  </si>
  <si>
    <r>
      <rPr>
        <rFont val="Myanmar Sangam MN"/>
        <color theme="1"/>
        <sz val="10.0"/>
      </rPr>
      <t>၁၉၈၈</t>
    </r>
  </si>
  <si>
    <r>
      <rPr>
        <rFont val="Myanmar Sangam MN"/>
        <color theme="1"/>
        <sz val="10.0"/>
      </rPr>
      <t>၇၈၂</t>
    </r>
  </si>
  <si>
    <r>
      <rPr>
        <rFont val="Myanmar Sangam MN"/>
        <color theme="1"/>
        <sz val="10.0"/>
      </rPr>
      <t>၂၇၇၀</t>
    </r>
  </si>
  <si>
    <r>
      <rPr>
        <rFont val="Myanmar Sangam MN"/>
        <b/>
        <color theme="1"/>
        <sz val="9.0"/>
      </rPr>
      <t>၁.၂၉%</t>
    </r>
  </si>
  <si>
    <r>
      <rPr>
        <rFont val="Myanmar Sangam MN"/>
        <color theme="1"/>
        <sz val="10.0"/>
      </rPr>
      <t>ဦးကည်စိုး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</si>
  <si>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</si>
  <si>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၁၄၉၆</t>
    </r>
  </si>
  <si>
    <r>
      <rPr>
        <rFont val="Myanmar Sangam MN"/>
        <color theme="1"/>
        <sz val="10.0"/>
      </rPr>
      <t>၅၆၉</t>
    </r>
  </si>
  <si>
    <r>
      <rPr>
        <rFont val="Myanmar Sangam MN"/>
        <color theme="1"/>
        <sz val="10.0"/>
      </rPr>
      <t>၂၀၆၅</t>
    </r>
  </si>
  <si>
    <r>
      <rPr>
        <rFont val="Myanmar Sangam MN"/>
        <b/>
        <color theme="1"/>
        <sz val="9.0"/>
      </rPr>
      <t>၀.၉၆%</t>
    </r>
  </si>
  <si>
    <r>
      <rPr>
        <rFont val="Myanmar Sangam MN"/>
        <color theme="1"/>
        <sz val="10.0"/>
      </rPr>
      <t>ဦးဟန်လင်းထွန်း</t>
    </r>
  </si>
  <si>
    <r>
      <rPr>
        <rFont val="Myanmar Sangam MN"/>
        <color theme="1"/>
        <sz val="10.0"/>
      </rPr>
      <t>ြပည်သူ ပါတီ</t>
    </r>
  </si>
  <si>
    <r>
      <rPr>
        <rFont val="Myanmar Sangam MN"/>
        <color theme="1"/>
        <sz val="10.0"/>
      </rPr>
      <t>၅၁၃</t>
    </r>
  </si>
  <si>
    <r>
      <rPr>
        <rFont val="Myanmar Sangam MN"/>
        <color theme="1"/>
        <sz val="10.0"/>
      </rPr>
      <t>၂၃၀</t>
    </r>
  </si>
  <si>
    <r>
      <rPr>
        <rFont val="Myanmar Sangam MN"/>
        <color theme="1"/>
        <sz val="10.0"/>
      </rPr>
      <t>၇၄၃</t>
    </r>
  </si>
  <si>
    <r>
      <rPr>
        <rFont val="Myanmar Sangam MN"/>
        <b/>
        <color theme="1"/>
        <sz val="9.0"/>
      </rPr>
      <t>၀.၃၅%</t>
    </r>
  </si>
  <si>
    <r>
      <rPr>
        <rFont val="Myanmar Sangam MN"/>
        <b/>
        <color theme="1"/>
        <sz val="10.0"/>
      </rPr>
      <t>၉၄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</si>
  <si>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</si>
  <si>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၂၇၉၉၂၈</t>
    </r>
  </si>
  <si>
    <r>
      <rPr>
        <rFont val="Myanmar Sangam MN"/>
        <b/>
        <color theme="1"/>
        <sz val="10.0"/>
      </rPr>
      <t>၁၈၀၅၆၀</t>
    </r>
  </si>
  <si>
    <r>
      <rPr>
        <rFont val="Myanmar Sangam MN"/>
        <b/>
        <color theme="1"/>
        <sz val="10.0"/>
      </rPr>
      <t>၄၃၇၈၆</t>
    </r>
  </si>
  <si>
    <r>
      <rPr>
        <rFont val="Myanmar Sangam MN"/>
        <b/>
        <color theme="1"/>
        <sz val="10.0"/>
      </rPr>
      <t>၂၂၄၃၄၆</t>
    </r>
  </si>
  <si>
    <r>
      <rPr>
        <rFont val="Myanmar Sangam MN"/>
        <b/>
        <color theme="1"/>
        <sz val="10.0"/>
      </rPr>
      <t>၈၀.၁၄</t>
    </r>
  </si>
  <si>
    <r>
      <rPr>
        <rFont val="Myanmar Sangam MN"/>
        <b/>
        <color theme="1"/>
        <sz val="10.0"/>
      </rPr>
      <t>၃၄၁၈</t>
    </r>
  </si>
  <si>
    <r>
      <rPr>
        <rFont val="Myanmar Sangam MN"/>
        <b/>
        <color theme="1"/>
        <sz val="10.0"/>
      </rPr>
      <t>၁၂၁</t>
    </r>
  </si>
  <si>
    <r>
      <rPr>
        <rFont val="Myanmar Sangam MN"/>
        <b/>
        <color theme="1"/>
        <sz val="10.0"/>
      </rPr>
      <t>၃၅၃၉</t>
    </r>
  </si>
  <si>
    <r>
      <rPr>
        <rFont val="Myanmar Sangam MN"/>
        <b/>
        <color theme="1"/>
        <sz val="10.0"/>
      </rPr>
      <t>၁၇၈၁၁၀</t>
    </r>
  </si>
  <si>
    <r>
      <rPr>
        <rFont val="Myanmar Sangam MN"/>
        <b/>
        <color theme="1"/>
        <sz val="10.0"/>
      </rPr>
      <t>၄၂၆၉၇</t>
    </r>
  </si>
  <si>
    <r>
      <rPr>
        <rFont val="Myanmar Sangam MN"/>
        <b/>
        <color theme="1"/>
        <sz val="10.0"/>
      </rPr>
      <t>၂၂၀၈၀၇</t>
    </r>
  </si>
  <si>
    <r>
      <rPr>
        <rFont val="Myanmar Sangam MN"/>
        <color theme="1"/>
        <sz val="10.0"/>
      </rPr>
      <t>ေဒလင်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</si>
  <si>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</si>
  <si>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၁၃၇၉၇၀</t>
    </r>
  </si>
  <si>
    <r>
      <rPr>
        <rFont val="Myanmar Sangam MN"/>
        <color theme="1"/>
        <sz val="10.0"/>
      </rPr>
      <t>၃၁၁၅၄</t>
    </r>
  </si>
  <si>
    <r>
      <rPr>
        <rFont val="Myanmar Sangam MN"/>
        <color theme="1"/>
        <sz val="10.0"/>
      </rPr>
      <t>၁၆၉၁၂၄</t>
    </r>
  </si>
  <si>
    <r>
      <rPr>
        <rFont val="Myanmar Sangam MN"/>
        <b/>
        <color theme="1"/>
        <sz val="9.0"/>
      </rPr>
      <t>၇၆.၅၉%</t>
    </r>
  </si>
  <si>
    <r>
      <rPr>
        <rFont val="Myanmar Sangam MN"/>
        <color theme="1"/>
        <sz val="10.0"/>
      </rPr>
      <t>ဦးေကျာ်သူဦး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</si>
  <si>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</si>
  <si>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၃၉၂၂၈</t>
    </r>
  </si>
  <si>
    <r>
      <rPr>
        <rFont val="Myanmar Sangam MN"/>
        <color theme="1"/>
        <sz val="10.0"/>
      </rPr>
      <t>၁၁၁၂၅</t>
    </r>
  </si>
  <si>
    <r>
      <rPr>
        <rFont val="Myanmar Sangam MN"/>
        <color theme="1"/>
        <sz val="10.0"/>
      </rPr>
      <t>၅၀၃၅၃</t>
    </r>
  </si>
  <si>
    <r>
      <rPr>
        <rFont val="Myanmar Sangam MN"/>
        <b/>
        <color theme="1"/>
        <sz val="9.0"/>
      </rPr>
      <t>၂၂.၈၁%</t>
    </r>
  </si>
  <si>
    <r>
      <rPr>
        <rFont val="Myanmar Sangam MN"/>
        <color theme="1"/>
        <sz val="10.0"/>
      </rPr>
      <t>ဦးဝဏမင်း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</si>
  <si>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</si>
  <si>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၉၁၂</t>
    </r>
  </si>
  <si>
    <r>
      <rPr>
        <rFont val="Myanmar Sangam MN"/>
        <color theme="1"/>
        <sz val="10.0"/>
      </rPr>
      <t>၄၁၈</t>
    </r>
  </si>
  <si>
    <r>
      <rPr>
        <rFont val="Myanmar Sangam MN"/>
        <color theme="1"/>
        <sz val="10.0"/>
      </rPr>
      <t>၁၃၃၀</t>
    </r>
  </si>
  <si>
    <r>
      <rPr>
        <rFont val="Myanmar Sangam MN"/>
        <b/>
        <color theme="1"/>
        <sz val="9.0"/>
      </rPr>
      <t>၀.၆၀%</t>
    </r>
  </si>
  <si>
    <r>
      <rPr>
        <rFont val="Myanmar Sangam MN"/>
        <b/>
        <color theme="1"/>
        <sz val="10.0"/>
      </rPr>
      <t>၉၅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</si>
  <si>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</si>
  <si>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၂၉၈၀၁၉</t>
    </r>
  </si>
  <si>
    <r>
      <rPr>
        <rFont val="Myanmar Sangam MN"/>
        <b/>
        <color theme="1"/>
        <sz val="10.0"/>
      </rPr>
      <t>၁၇၅၅၄၉</t>
    </r>
  </si>
  <si>
    <r>
      <rPr>
        <rFont val="Myanmar Sangam MN"/>
        <b/>
        <color theme="1"/>
        <sz val="10.0"/>
      </rPr>
      <t>၆၂၇၅၂</t>
    </r>
  </si>
  <si>
    <r>
      <rPr>
        <rFont val="Myanmar Sangam MN"/>
        <b/>
        <color theme="1"/>
        <sz val="10.0"/>
      </rPr>
      <t>၂၃၈၃၀၁</t>
    </r>
  </si>
  <si>
    <r>
      <rPr>
        <rFont val="Myanmar Sangam MN"/>
        <b/>
        <color theme="1"/>
        <sz val="10.0"/>
      </rPr>
      <t>၇၉.၉၆</t>
    </r>
  </si>
  <si>
    <r>
      <rPr>
        <rFont val="Myanmar Sangam MN"/>
        <b/>
        <color theme="1"/>
        <sz val="10.0"/>
      </rPr>
      <t>၅၂၇၂</t>
    </r>
  </si>
  <si>
    <r>
      <rPr>
        <rFont val="Myanmar Sangam MN"/>
        <b/>
        <color theme="1"/>
        <sz val="10.0"/>
      </rPr>
      <t>၂၀၂</t>
    </r>
  </si>
  <si>
    <r>
      <rPr>
        <rFont val="Myanmar Sangam MN"/>
        <b/>
        <color theme="1"/>
        <sz val="10.0"/>
      </rPr>
      <t>၅၄၇၄</t>
    </r>
  </si>
  <si>
    <r>
      <rPr>
        <rFont val="Myanmar Sangam MN"/>
        <b/>
        <color theme="1"/>
        <sz val="10.0"/>
      </rPr>
      <t>၁၇၁၅၆၁</t>
    </r>
  </si>
  <si>
    <r>
      <rPr>
        <rFont val="Myanmar Sangam MN"/>
        <b/>
        <color theme="1"/>
        <sz val="10.0"/>
      </rPr>
      <t>၆၁၂၆၆</t>
    </r>
  </si>
  <si>
    <r>
      <rPr>
        <rFont val="Myanmar Sangam MN"/>
        <b/>
        <color theme="1"/>
        <sz val="10.0"/>
      </rPr>
      <t>၂၃၂၈၂၇</t>
    </r>
  </si>
  <si>
    <r>
      <rPr>
        <rFont val="Myanmar Sangam MN"/>
        <color theme="1"/>
        <sz val="10.0"/>
      </rPr>
      <t>ေဒသန်းသန်းေအး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</si>
  <si>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</si>
  <si>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၁၁၈၆၁၉</t>
    </r>
  </si>
  <si>
    <r>
      <rPr>
        <rFont val="Myanmar Sangam MN"/>
        <color theme="1"/>
        <sz val="10.0"/>
      </rPr>
      <t>၃၉၇၁၆</t>
    </r>
  </si>
  <si>
    <r>
      <rPr>
        <rFont val="Myanmar Sangam MN"/>
        <color theme="1"/>
        <sz val="10.0"/>
      </rPr>
      <t>၁၅၈၃၃၅</t>
    </r>
  </si>
  <si>
    <r>
      <rPr>
        <rFont val="Myanmar Sangam MN"/>
        <b/>
        <color theme="1"/>
        <sz val="9.0"/>
      </rPr>
      <t>၆၈.၀၀%</t>
    </r>
  </si>
  <si>
    <r>
      <rPr>
        <rFont val="Myanmar Sangam MN"/>
        <color theme="1"/>
        <sz val="10.0"/>
      </rPr>
      <t>ဦးခင်ေမာင်သန်း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</si>
  <si>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</si>
  <si>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၅၀၄၁၉</t>
    </r>
  </si>
  <si>
    <r>
      <rPr>
        <rFont val="Myanmar Sangam MN"/>
        <color theme="1"/>
        <sz val="10.0"/>
      </rPr>
      <t>၁၉၈၆၃</t>
    </r>
  </si>
  <si>
    <r>
      <rPr>
        <rFont val="Myanmar Sangam MN"/>
        <color theme="1"/>
        <sz val="10.0"/>
      </rPr>
      <t>၇၀၂၈၂</t>
    </r>
  </si>
  <si>
    <r>
      <rPr>
        <rFont val="Myanmar Sangam MN"/>
        <b/>
        <color theme="1"/>
        <sz val="9.0"/>
      </rPr>
      <t>၃၀.၁၉%</t>
    </r>
  </si>
  <si>
    <r>
      <rPr>
        <rFont val="Myanmar Sangam MN"/>
        <color theme="1"/>
        <sz val="10.0"/>
      </rPr>
      <t>ဦးစိုးသန 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</si>
  <si>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</si>
  <si>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၂၅၂၃</t>
    </r>
  </si>
  <si>
    <r>
      <rPr>
        <rFont val="Myanmar Sangam MN"/>
        <color theme="1"/>
        <sz val="10.0"/>
      </rPr>
      <t>၁၆၈၇</t>
    </r>
  </si>
  <si>
    <r>
      <rPr>
        <rFont val="Myanmar Sangam MN"/>
        <color theme="1"/>
        <sz val="10.0"/>
      </rPr>
      <t>၄၂၁၀</t>
    </r>
  </si>
  <si>
    <r>
      <rPr>
        <rFont val="Myanmar Sangam MN"/>
        <b/>
        <color theme="1"/>
        <sz val="9.0"/>
      </rPr>
      <t>၁.၈၁%</t>
    </r>
  </si>
  <si>
    <r>
      <rPr>
        <rFont val="Myanmar Sangam MN"/>
        <b/>
        <color theme="1"/>
        <sz val="10.0"/>
      </rPr>
      <t>၉၆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</si>
  <si>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</si>
  <si>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၂၈၄၆၂၃</t>
    </r>
  </si>
  <si>
    <r>
      <rPr>
        <rFont val="Myanmar Sangam MN"/>
        <b/>
        <color theme="1"/>
        <sz val="10.0"/>
      </rPr>
      <t>၁၇၆၂၉၆</t>
    </r>
  </si>
  <si>
    <r>
      <rPr>
        <rFont val="Myanmar Sangam MN"/>
        <b/>
        <color theme="1"/>
        <sz val="10.0"/>
      </rPr>
      <t>၄၂၆၁၇</t>
    </r>
  </si>
  <si>
    <r>
      <rPr>
        <rFont val="Myanmar Sangam MN"/>
        <b/>
        <color theme="1"/>
        <sz val="10.0"/>
      </rPr>
      <t>၂၁၈၉၁၃</t>
    </r>
  </si>
  <si>
    <r>
      <rPr>
        <rFont val="Myanmar Sangam MN"/>
        <b/>
        <color theme="1"/>
        <sz val="10.0"/>
      </rPr>
      <t>၇၆.၉၁</t>
    </r>
  </si>
  <si>
    <r>
      <rPr>
        <rFont val="Myanmar Sangam MN"/>
        <b/>
        <color theme="1"/>
        <sz val="10.0"/>
      </rPr>
      <t>၇၄၄၁</t>
    </r>
  </si>
  <si>
    <r>
      <rPr>
        <rFont val="Myanmar Sangam MN"/>
        <b/>
        <color theme="1"/>
        <sz val="10.0"/>
      </rPr>
      <t>၉၁</t>
    </r>
  </si>
  <si>
    <r>
      <rPr>
        <rFont val="Myanmar Sangam MN"/>
        <b/>
        <color theme="1"/>
        <sz val="10.0"/>
      </rPr>
      <t>၇၅၃၂</t>
    </r>
  </si>
  <si>
    <r>
      <rPr>
        <rFont val="Myanmar Sangam MN"/>
        <b/>
        <color theme="1"/>
        <sz val="10.0"/>
      </rPr>
      <t>၁၆၉၄၂၃</t>
    </r>
  </si>
  <si>
    <r>
      <rPr>
        <rFont val="Myanmar Sangam MN"/>
        <b/>
        <color theme="1"/>
        <sz val="10.0"/>
      </rPr>
      <t>၄၁၉၅၈</t>
    </r>
  </si>
  <si>
    <r>
      <rPr>
        <rFont val="Myanmar Sangam MN"/>
        <b/>
        <color theme="1"/>
        <sz val="10.0"/>
      </rPr>
      <t>၂၁၁၃၈၁</t>
    </r>
  </si>
  <si>
    <r>
      <rPr>
        <rFont val="Myanmar Sangam MN"/>
        <color theme="1"/>
        <sz val="10.0"/>
      </rPr>
      <t>ဦးြမတ်ကိုကုိ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</si>
  <si>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</si>
  <si>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၁၃၁၅၁၇</t>
    </r>
  </si>
  <si>
    <r>
      <rPr>
        <rFont val="Myanmar Sangam MN"/>
        <color theme="1"/>
        <sz val="10.0"/>
      </rPr>
      <t>၃၁၁၀၆</t>
    </r>
  </si>
  <si>
    <r>
      <rPr>
        <rFont val="Myanmar Sangam MN"/>
        <color theme="1"/>
        <sz val="10.0"/>
      </rPr>
      <t>၁၆၂၆၂၃</t>
    </r>
  </si>
  <si>
    <r>
      <rPr>
        <rFont val="Myanmar Sangam MN"/>
        <b/>
        <color theme="1"/>
        <sz val="9.0"/>
      </rPr>
      <t>၇၆.၉၃%</t>
    </r>
  </si>
  <si>
    <r>
      <rPr>
        <rFont val="Myanmar Sangam MN"/>
        <color theme="1"/>
        <sz val="10.0"/>
      </rPr>
      <t>ဦးတင်ဝင်း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</si>
  <si>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</si>
  <si>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၃၅၉၅၈</t>
    </r>
  </si>
  <si>
    <r>
      <rPr>
        <rFont val="Myanmar Sangam MN"/>
        <color theme="1"/>
        <sz val="10.0"/>
      </rPr>
      <t>၁၀၂၀၁</t>
    </r>
  </si>
  <si>
    <r>
      <rPr>
        <rFont val="Myanmar Sangam MN"/>
        <color theme="1"/>
        <sz val="10.0"/>
      </rPr>
      <t>၄၆၁၅၉</t>
    </r>
  </si>
  <si>
    <r>
      <rPr>
        <rFont val="Myanmar Sangam MN"/>
        <b/>
        <color theme="1"/>
        <sz val="9.0"/>
      </rPr>
      <t>၂၁.၈၄%</t>
    </r>
  </si>
  <si>
    <r>
      <rPr>
        <rFont val="Myanmar Sangam MN"/>
        <color theme="1"/>
        <sz val="10.0"/>
      </rPr>
      <t>ဦးထွန်းထွန်းဝင်း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</si>
  <si>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</si>
  <si>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၁၉၄၈</t>
    </r>
  </si>
  <si>
    <r>
      <rPr>
        <rFont val="Myanmar Sangam MN"/>
        <color theme="1"/>
        <sz val="10.0"/>
      </rPr>
      <t>၆၅၁</t>
    </r>
  </si>
  <si>
    <r>
      <rPr>
        <rFont val="Myanmar Sangam MN"/>
        <color theme="1"/>
        <sz val="10.0"/>
      </rPr>
      <t>၂၅၉၉</t>
    </r>
  </si>
  <si>
    <r>
      <rPr>
        <rFont val="Myanmar Sangam MN"/>
        <b/>
        <color theme="1"/>
        <sz val="9.0"/>
      </rPr>
      <t>၁.၂၃%</t>
    </r>
  </si>
  <si>
    <r>
      <rPr>
        <rFont val="Myanmar Sangam MN"/>
        <b/>
        <color theme="1"/>
        <sz val="10.0"/>
      </rPr>
      <t>မေလးတိုင်းေဒသကီး</t>
    </r>
  </si>
  <si>
    <r>
      <rPr>
        <rFont val="Myanmar Sangam MN"/>
        <b/>
        <color theme="1"/>
        <sz val="10.0"/>
      </rPr>
      <t>၅၈၄၇၆၉၇</t>
    </r>
  </si>
  <si>
    <r>
      <rPr>
        <rFont val="Myanmar Sangam MN"/>
        <b/>
        <color theme="1"/>
        <sz val="10.0"/>
      </rPr>
      <t>၃၇၀၀၅၇၉</t>
    </r>
  </si>
  <si>
    <r>
      <rPr>
        <rFont val="Myanmar Sangam MN"/>
        <b/>
        <color theme="1"/>
        <sz val="10.0"/>
      </rPr>
      <t>၈၅၆၃၃၁</t>
    </r>
  </si>
  <si>
    <r>
      <rPr>
        <rFont val="Myanmar Sangam MN"/>
        <b/>
        <color theme="1"/>
        <sz val="10.0"/>
      </rPr>
      <t>၄၅၅၆၉၁၀</t>
    </r>
  </si>
  <si>
    <r>
      <rPr>
        <rFont val="Myanmar Sangam MN"/>
        <b/>
        <color theme="1"/>
        <sz val="10.0"/>
      </rPr>
      <t>၇၇.၉၃</t>
    </r>
  </si>
  <si>
    <r>
      <rPr>
        <rFont val="Myanmar Sangam MN"/>
        <b/>
        <color theme="1"/>
        <sz val="10.0"/>
      </rPr>
      <t>၈၉၂၅၅</t>
    </r>
  </si>
  <si>
    <r>
      <rPr>
        <rFont val="Myanmar Sangam MN"/>
        <b/>
        <color theme="1"/>
        <sz val="10.0"/>
      </rPr>
      <t>၃၇၁၆</t>
    </r>
  </si>
  <si>
    <r>
      <rPr>
        <rFont val="Myanmar Sangam MN"/>
        <b/>
        <color theme="1"/>
        <sz val="10.0"/>
      </rPr>
      <t>၉၂၉၇၁</t>
    </r>
  </si>
  <si>
    <r>
      <rPr>
        <rFont val="Myanmar Sangam MN"/>
        <color theme="1"/>
        <sz val="10.0"/>
      </rPr>
      <t>၃၆၁၆၈၁၉</t>
    </r>
  </si>
  <si>
    <r>
      <rPr>
        <rFont val="Myanmar Sangam MN"/>
        <color theme="1"/>
        <sz val="10.0"/>
      </rPr>
      <t>၈၄၇၁၂၀</t>
    </r>
  </si>
  <si>
    <r>
      <rPr>
        <rFont val="Myanmar Sangam MN"/>
        <b/>
        <color theme="1"/>
        <sz val="10.0"/>
      </rPr>
      <t>၄၄၆၃၉၃၉</t>
    </r>
  </si>
  <si>
    <r>
      <rPr>
        <rFont val="Myanmar Sangam MN"/>
        <b/>
        <color theme="1"/>
        <sz val="10.0"/>
      </rPr>
      <t>၉၇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</si>
  <si>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</si>
  <si>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၅၉၀၂၇၈</t>
    </r>
  </si>
  <si>
    <r>
      <rPr>
        <rFont val="Myanmar Sangam MN"/>
        <b/>
        <color theme="1"/>
        <sz val="10.0"/>
      </rPr>
      <t>၄၃၂၀၈၅</t>
    </r>
  </si>
  <si>
    <r>
      <rPr>
        <rFont val="Myanmar Sangam MN"/>
        <b/>
        <color theme="1"/>
        <sz val="10.0"/>
      </rPr>
      <t>၇၃၇၂၂</t>
    </r>
  </si>
  <si>
    <r>
      <rPr>
        <rFont val="Myanmar Sangam MN"/>
        <b/>
        <color theme="1"/>
        <sz val="10.0"/>
      </rPr>
      <t>၅၀၅၈၀၇</t>
    </r>
  </si>
  <si>
    <r>
      <rPr>
        <rFont val="Myanmar Sangam MN"/>
        <b/>
        <color theme="1"/>
        <sz val="10.0"/>
      </rPr>
      <t>၈၅.၆၉</t>
    </r>
  </si>
  <si>
    <r>
      <rPr>
        <rFont val="Myanmar Sangam MN"/>
        <b/>
        <color theme="1"/>
        <sz val="10.0"/>
      </rPr>
      <t>၆၇၆၁</t>
    </r>
  </si>
  <si>
    <r>
      <rPr>
        <rFont val="Myanmar Sangam MN"/>
        <b/>
        <color theme="1"/>
        <sz val="10.0"/>
      </rPr>
      <t>၁၂၉</t>
    </r>
  </si>
  <si>
    <r>
      <rPr>
        <rFont val="Myanmar Sangam MN"/>
        <b/>
        <color theme="1"/>
        <sz val="10.0"/>
      </rPr>
      <t>၆၈၉၀</t>
    </r>
  </si>
  <si>
    <r>
      <rPr>
        <rFont val="Myanmar Sangam MN"/>
        <b/>
        <color theme="1"/>
        <sz val="10.0"/>
      </rPr>
      <t>၄၂၅၂၃၂</t>
    </r>
  </si>
  <si>
    <r>
      <rPr>
        <rFont val="Myanmar Sangam MN"/>
        <b/>
        <color theme="1"/>
        <sz val="10.0"/>
      </rPr>
      <t>၇၃၆၈၅</t>
    </r>
  </si>
  <si>
    <r>
      <rPr>
        <rFont val="Myanmar Sangam MN"/>
        <b/>
        <color theme="1"/>
        <sz val="10.0"/>
      </rPr>
      <t>၄၉၈၉၁၇</t>
    </r>
  </si>
  <si>
    <r>
      <rPr>
        <rFont val="Myanmar Sangam MN"/>
        <color rgb="FF000000"/>
        <sz val="10.0"/>
      </rPr>
      <t xml:space="preserve">ေဒလှေဌး(ခ)
</t>
    </r>
    <r>
      <rPr>
        <rFont val="Myanmar Sangam MN"/>
        <color rgb="FF000000"/>
        <sz val="10.0"/>
      </rPr>
      <t>ေဒအုန်းကည်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</si>
  <si>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</si>
  <si>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၃၁၇၁၁၃</t>
    </r>
  </si>
  <si>
    <r>
      <rPr>
        <rFont val="Myanmar Sangam MN"/>
        <color theme="1"/>
        <sz val="10.0"/>
      </rPr>
      <t>၅၀၅၅၇</t>
    </r>
  </si>
  <si>
    <r>
      <rPr>
        <rFont val="Myanmar Sangam MN"/>
        <color theme="1"/>
        <sz val="10.0"/>
      </rPr>
      <t>၃၆၇၆၇၀</t>
    </r>
  </si>
  <si>
    <r>
      <rPr>
        <rFont val="Myanmar Sangam MN"/>
        <b/>
        <color theme="1"/>
        <sz val="9.0"/>
      </rPr>
      <t>၇၃.၆၉%</t>
    </r>
  </si>
  <si>
    <r>
      <rPr>
        <rFont val="Myanmar Sangam MN"/>
        <color theme="1"/>
        <sz val="10.0"/>
      </rPr>
      <t>ဦးတင်ထွန်း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</si>
  <si>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</si>
  <si>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၁၀၁၃၄၂</t>
    </r>
  </si>
  <si>
    <r>
      <rPr>
        <rFont val="Myanmar Sangam MN"/>
        <color theme="1"/>
        <sz val="10.0"/>
      </rPr>
      <t>၂၁၅၈၂</t>
    </r>
  </si>
  <si>
    <r>
      <rPr>
        <rFont val="Myanmar Sangam MN"/>
        <color theme="1"/>
        <sz val="10.0"/>
      </rPr>
      <t>၁၂၂၉၂၄</t>
    </r>
  </si>
  <si>
    <r>
      <rPr>
        <rFont val="Myanmar Sangam MN"/>
        <b/>
        <color theme="1"/>
        <sz val="9.0"/>
      </rPr>
      <t>၂၄.၆၄%</t>
    </r>
  </si>
  <si>
    <r>
      <rPr>
        <rFont val="Myanmar Sangam MN"/>
        <color theme="1"/>
        <sz val="10.0"/>
      </rPr>
      <t>ဦးအုန်းေမာင်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</si>
  <si>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</si>
  <si>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၄၇၇၃</t>
    </r>
  </si>
  <si>
    <r>
      <rPr>
        <rFont val="Myanmar Sangam MN"/>
        <color theme="1"/>
        <sz val="10.0"/>
      </rPr>
      <t>၉၇၄</t>
    </r>
  </si>
  <si>
    <r>
      <rPr>
        <rFont val="Myanmar Sangam MN"/>
        <color theme="1"/>
        <sz val="10.0"/>
      </rPr>
      <t>၅၇၄၇</t>
    </r>
  </si>
  <si>
    <r>
      <rPr>
        <rFont val="Myanmar Sangam MN"/>
        <b/>
        <color theme="1"/>
        <sz val="9.0"/>
      </rPr>
      <t>၁.၁၅%</t>
    </r>
  </si>
  <si>
    <r>
      <rPr>
        <rFont val="Myanmar Sangam MN"/>
        <color theme="1"/>
        <sz val="10.0"/>
      </rPr>
      <t>ေဒါက်တာေဇာ်မင်းဦး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</si>
  <si>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</si>
  <si>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၂၀၀၄</t>
    </r>
  </si>
  <si>
    <r>
      <rPr>
        <rFont val="Myanmar Sangam MN"/>
        <color theme="1"/>
        <sz val="10.0"/>
      </rPr>
      <t>၅၇၂</t>
    </r>
  </si>
  <si>
    <r>
      <rPr>
        <rFont val="Myanmar Sangam MN"/>
        <color theme="1"/>
        <sz val="10.0"/>
      </rPr>
      <t>၂၅၇၆</t>
    </r>
  </si>
  <si>
    <r>
      <rPr>
        <rFont val="Myanmar Sangam MN"/>
        <b/>
        <color theme="1"/>
        <sz val="9.0"/>
      </rPr>
      <t>၀.၅၂%</t>
    </r>
  </si>
  <si>
    <r>
      <rPr>
        <rFont val="Myanmar Sangam MN"/>
        <b/>
        <color theme="1"/>
        <sz val="10.0"/>
      </rPr>
      <t>၉၈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</si>
  <si>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</si>
  <si>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၄၄၃၃၅၁</t>
    </r>
  </si>
  <si>
    <r>
      <rPr>
        <rFont val="Myanmar Sangam MN"/>
        <b/>
        <color theme="1"/>
        <sz val="10.0"/>
      </rPr>
      <t>၂၇၁၀၀၀</t>
    </r>
  </si>
  <si>
    <r>
      <rPr>
        <rFont val="Myanmar Sangam MN"/>
        <b/>
        <color theme="1"/>
        <sz val="10.0"/>
      </rPr>
      <t>၆၇၈၇၇</t>
    </r>
  </si>
  <si>
    <r>
      <rPr>
        <rFont val="Myanmar Sangam MN"/>
        <b/>
        <color theme="1"/>
        <sz val="10.0"/>
      </rPr>
      <t>၃၃၈၈၇၇</t>
    </r>
  </si>
  <si>
    <r>
      <rPr>
        <rFont val="Myanmar Sangam MN"/>
        <b/>
        <color theme="1"/>
        <sz val="10.0"/>
      </rPr>
      <t>၇၆.၄၄</t>
    </r>
  </si>
  <si>
    <r>
      <rPr>
        <rFont val="Myanmar Sangam MN"/>
        <b/>
        <color theme="1"/>
        <sz val="10.0"/>
      </rPr>
      <t>၆၁၇၅</t>
    </r>
  </si>
  <si>
    <r>
      <rPr>
        <rFont val="Myanmar Sangam MN"/>
        <b/>
        <color theme="1"/>
        <sz val="10.0"/>
      </rPr>
      <t>၉၄</t>
    </r>
  </si>
  <si>
    <r>
      <rPr>
        <rFont val="Myanmar Sangam MN"/>
        <b/>
        <color theme="1"/>
        <sz val="10.0"/>
      </rPr>
      <t>၆၂၆၉</t>
    </r>
  </si>
  <si>
    <r>
      <rPr>
        <rFont val="Myanmar Sangam MN"/>
        <b/>
        <color theme="1"/>
        <sz val="10.0"/>
      </rPr>
      <t>၂၆၅၄၇၆</t>
    </r>
  </si>
  <si>
    <r>
      <rPr>
        <rFont val="Myanmar Sangam MN"/>
        <b/>
        <color theme="1"/>
        <sz val="10.0"/>
      </rPr>
      <t>၆၇၁၃၂</t>
    </r>
  </si>
  <si>
    <r>
      <rPr>
        <rFont val="Myanmar Sangam MN"/>
        <b/>
        <color theme="1"/>
        <sz val="10.0"/>
      </rPr>
      <t>၃၃၂၆၀၈</t>
    </r>
  </si>
  <si>
    <r>
      <rPr>
        <rFont val="Myanmar Sangam MN"/>
        <color theme="1"/>
        <sz val="10.0"/>
      </rPr>
      <t>ဦးေကျာ်တုတ်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</si>
  <si>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</si>
  <si>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၂၂၁၆၈၇</t>
    </r>
  </si>
  <si>
    <r>
      <rPr>
        <rFont val="Myanmar Sangam MN"/>
        <color theme="1"/>
        <sz val="10.0"/>
      </rPr>
      <t>၅၂၈၇၅</t>
    </r>
  </si>
  <si>
    <r>
      <rPr>
        <rFont val="Myanmar Sangam MN"/>
        <color theme="1"/>
        <sz val="10.0"/>
      </rPr>
      <t>၂၇၄၅၆၂</t>
    </r>
  </si>
  <si>
    <r>
      <rPr>
        <rFont val="Myanmar Sangam MN"/>
        <b/>
        <color theme="1"/>
        <sz val="9.0"/>
      </rPr>
      <t>၈၂.၅၅%</t>
    </r>
  </si>
  <si>
    <r>
      <rPr>
        <rFont val="Myanmar Sangam MN"/>
        <color theme="1"/>
        <sz val="10.0"/>
      </rPr>
      <t>ဦးတင်ဦးလွင်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</si>
  <si>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</si>
  <si>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၄၁၇၂၅</t>
    </r>
  </si>
  <si>
    <r>
      <rPr>
        <rFont val="Myanmar Sangam MN"/>
        <color theme="1"/>
        <sz val="10.0"/>
      </rPr>
      <t>၁၃၃၇၀</t>
    </r>
  </si>
  <si>
    <r>
      <rPr>
        <rFont val="Myanmar Sangam MN"/>
        <color theme="1"/>
        <sz val="10.0"/>
      </rPr>
      <t>၅၅၀၉၅</t>
    </r>
  </si>
  <si>
    <r>
      <rPr>
        <rFont val="Myanmar Sangam MN"/>
        <b/>
        <color theme="1"/>
        <sz val="9.0"/>
      </rPr>
      <t>၁၆.၅၆%</t>
    </r>
  </si>
  <si>
    <r>
      <rPr>
        <rFont val="Myanmar Sangam MN"/>
        <color theme="1"/>
        <sz val="10.0"/>
      </rPr>
      <t>ဦးေဌး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</si>
  <si>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</si>
  <si>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၂၀၆၄</t>
    </r>
  </si>
  <si>
    <r>
      <rPr>
        <rFont val="Myanmar Sangam MN"/>
        <color theme="1"/>
        <sz val="10.0"/>
      </rPr>
      <t>၈၈၇</t>
    </r>
  </si>
  <si>
    <r>
      <rPr>
        <rFont val="Myanmar Sangam MN"/>
        <color theme="1"/>
        <sz val="10.0"/>
      </rPr>
      <t>၂၉၅၁</t>
    </r>
  </si>
  <si>
    <r>
      <rPr>
        <rFont val="Myanmar Sangam MN"/>
        <b/>
        <color theme="1"/>
        <sz val="9.0"/>
      </rPr>
      <t>၀.၈၉%</t>
    </r>
  </si>
  <si>
    <r>
      <rPr>
        <rFont val="Myanmar Sangam MN"/>
        <b/>
        <color theme="1"/>
        <sz val="10.0"/>
      </rPr>
      <t>၉၉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</si>
  <si>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</si>
  <si>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၃၇၇၈၁၂</t>
    </r>
  </si>
  <si>
    <r>
      <rPr>
        <rFont val="Myanmar Sangam MN"/>
        <b/>
        <color theme="1"/>
        <sz val="10.0"/>
      </rPr>
      <t>၂၂၆၅၅၉</t>
    </r>
  </si>
  <si>
    <r>
      <rPr>
        <rFont val="Myanmar Sangam MN"/>
        <b/>
        <color theme="1"/>
        <sz val="10.0"/>
      </rPr>
      <t>၄၆၅၃၇</t>
    </r>
  </si>
  <si>
    <r>
      <rPr>
        <rFont val="Myanmar Sangam MN"/>
        <b/>
        <color theme="1"/>
        <sz val="10.0"/>
      </rPr>
      <t>၂၇၃၀၉၆</t>
    </r>
  </si>
  <si>
    <r>
      <rPr>
        <rFont val="Myanmar Sangam MN"/>
        <b/>
        <color theme="1"/>
        <sz val="10.0"/>
      </rPr>
      <t>၇၂.၂၈</t>
    </r>
  </si>
  <si>
    <r>
      <rPr>
        <rFont val="Myanmar Sangam MN"/>
        <b/>
        <color theme="1"/>
        <sz val="10.0"/>
      </rPr>
      <t>၆၇၉၄</t>
    </r>
  </si>
  <si>
    <r>
      <rPr>
        <rFont val="Myanmar Sangam MN"/>
        <b/>
        <color theme="1"/>
        <sz val="10.0"/>
      </rPr>
      <t>၁၁၄</t>
    </r>
  </si>
  <si>
    <r>
      <rPr>
        <rFont val="Myanmar Sangam MN"/>
        <b/>
        <color theme="1"/>
        <sz val="10.0"/>
      </rPr>
      <t>၆၉၀၈</t>
    </r>
  </si>
  <si>
    <r>
      <rPr>
        <rFont val="Myanmar Sangam MN"/>
        <b/>
        <color theme="1"/>
        <sz val="10.0"/>
      </rPr>
      <t>၂၂၀၄၅၆</t>
    </r>
  </si>
  <si>
    <r>
      <rPr>
        <rFont val="Myanmar Sangam MN"/>
        <b/>
        <color theme="1"/>
        <sz val="10.0"/>
      </rPr>
      <t>၄၅၇၃၂</t>
    </r>
  </si>
  <si>
    <r>
      <rPr>
        <rFont val="Myanmar Sangam MN"/>
        <b/>
        <color theme="1"/>
        <sz val="10.0"/>
      </rPr>
      <t>၂၆၆၁၈၈</t>
    </r>
  </si>
  <si>
    <r>
      <rPr>
        <rFont val="Myanmar Sangam MN"/>
        <color theme="1"/>
        <sz val="10.0"/>
      </rPr>
      <t>ဦးဆန်းဝင်း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</si>
  <si>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</si>
  <si>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၁၇၄၁၉၅</t>
    </r>
  </si>
  <si>
    <r>
      <rPr>
        <rFont val="Myanmar Sangam MN"/>
        <color theme="1"/>
        <sz val="10.0"/>
      </rPr>
      <t>၃၂၆၅၃</t>
    </r>
  </si>
  <si>
    <r>
      <rPr>
        <rFont val="Myanmar Sangam MN"/>
        <color theme="1"/>
        <sz val="10.0"/>
      </rPr>
      <t>၂၀၆၈၄၈</t>
    </r>
  </si>
  <si>
    <r>
      <rPr>
        <rFont val="Myanmar Sangam MN"/>
        <b/>
        <color theme="1"/>
        <sz val="9.0"/>
      </rPr>
      <t>၇၇.၇၁%</t>
    </r>
  </si>
  <si>
    <r>
      <rPr>
        <rFont val="Myanmar Sangam MN"/>
        <color theme="1"/>
        <sz val="10.0"/>
      </rPr>
      <t>ဦးလင်းေအာင်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</si>
  <si>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</si>
  <si>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၂၇၉၂၂</t>
    </r>
  </si>
  <si>
    <r>
      <rPr>
        <rFont val="Myanmar Sangam MN"/>
        <color theme="1"/>
        <sz val="10.0"/>
      </rPr>
      <t>၈၉၃၆</t>
    </r>
  </si>
  <si>
    <r>
      <rPr>
        <rFont val="Myanmar Sangam MN"/>
        <color theme="1"/>
        <sz val="10.0"/>
      </rPr>
      <t>၃၆၈၅၈</t>
    </r>
  </si>
  <si>
    <r>
      <rPr>
        <rFont val="Myanmar Sangam MN"/>
        <b/>
        <color theme="1"/>
        <sz val="9.0"/>
      </rPr>
      <t>၁၃.၈၅%</t>
    </r>
  </si>
  <si>
    <r>
      <rPr>
        <rFont val="Myanmar Sangam MN"/>
        <color theme="1"/>
        <sz val="10.0"/>
      </rPr>
      <t>ေဒါက်တာေဒခင်ေစာွဲ</t>
    </r>
  </si>
  <si>
    <r>
      <rPr>
        <rFont val="Myanmar Sangam MN"/>
        <color theme="1"/>
        <sz val="10.0"/>
      </rPr>
      <t>လီဆူအမျးိ သားဖွံဖိးတိုးတက်ေရးပါတီ</t>
    </r>
  </si>
  <si>
    <r>
      <rPr>
        <rFont val="Myanmar Sangam MN"/>
        <color theme="1"/>
        <sz val="10.0"/>
      </rPr>
      <t>၁၃၇၀၄</t>
    </r>
  </si>
  <si>
    <r>
      <rPr>
        <rFont val="Myanmar Sangam MN"/>
        <color theme="1"/>
        <sz val="10.0"/>
      </rPr>
      <t>၂၉၃၃</t>
    </r>
  </si>
  <si>
    <r>
      <rPr>
        <rFont val="Myanmar Sangam MN"/>
        <color theme="1"/>
        <sz val="10.0"/>
      </rPr>
      <t>၁၆၆၃၇</t>
    </r>
  </si>
  <si>
    <r>
      <rPr>
        <rFont val="Myanmar Sangam MN"/>
        <b/>
        <color theme="1"/>
        <sz val="9.0"/>
      </rPr>
      <t>၆.၂၅%</t>
    </r>
  </si>
  <si>
    <r>
      <rPr>
        <rFont val="Myanmar Sangam MN"/>
        <color theme="1"/>
        <sz val="10.0"/>
      </rPr>
      <t>ဦးသန ်ဇင်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</si>
  <si>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</si>
  <si>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၂၃၅၄</t>
    </r>
  </si>
  <si>
    <r>
      <rPr>
        <rFont val="Myanmar Sangam MN"/>
        <color theme="1"/>
        <sz val="10.0"/>
      </rPr>
      <t>၆၄၄</t>
    </r>
  </si>
  <si>
    <r>
      <rPr>
        <rFont val="Myanmar Sangam MN"/>
        <color theme="1"/>
        <sz val="10.0"/>
      </rPr>
      <t>၂၉၉၈</t>
    </r>
  </si>
  <si>
    <r>
      <rPr>
        <rFont val="Myanmar Sangam MN"/>
        <b/>
        <color theme="1"/>
        <sz val="9.0"/>
      </rPr>
      <t>၁.၁၂%</t>
    </r>
  </si>
  <si>
    <r>
      <rPr>
        <rFont val="Myanmar Sangam MN"/>
        <color theme="1"/>
        <sz val="10.0"/>
      </rPr>
      <t>ဦးစိုးလင်</t>
    </r>
  </si>
  <si>
    <r>
      <rPr>
        <rFont val="Myanmar Sangam MN"/>
        <color theme="1"/>
        <sz val="10.0"/>
      </rPr>
      <t>တအာင်း(ပေလာင်)အမျးိ သားပါတီ</t>
    </r>
  </si>
  <si>
    <r>
      <rPr>
        <rFont val="Myanmar Sangam MN"/>
        <color theme="1"/>
        <sz val="10.0"/>
      </rPr>
      <t>၂၂၈၁</t>
    </r>
  </si>
  <si>
    <r>
      <rPr>
        <rFont val="Myanmar Sangam MN"/>
        <color theme="1"/>
        <sz val="10.0"/>
      </rPr>
      <t>၅၆၆</t>
    </r>
  </si>
  <si>
    <r>
      <rPr>
        <rFont val="Myanmar Sangam MN"/>
        <color theme="1"/>
        <sz val="10.0"/>
      </rPr>
      <t>၂၈၄၇</t>
    </r>
  </si>
  <si>
    <r>
      <rPr>
        <rFont val="Myanmar Sangam MN"/>
        <b/>
        <color theme="1"/>
        <sz val="9.0"/>
      </rPr>
      <t>၁.၀၇%</t>
    </r>
  </si>
  <si>
    <r>
      <rPr>
        <rFont val="Myanmar Sangam MN"/>
        <b/>
        <color theme="1"/>
        <sz val="10.0"/>
      </rPr>
      <t>၁၀၀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</si>
  <si>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</si>
  <si>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၄၀၀၇၄၄</t>
    </r>
  </si>
  <si>
    <r>
      <rPr>
        <rFont val="Myanmar Sangam MN"/>
        <b/>
        <color theme="1"/>
        <sz val="10.0"/>
      </rPr>
      <t>၂၅၃၇၅၂</t>
    </r>
  </si>
  <si>
    <r>
      <rPr>
        <rFont val="Myanmar Sangam MN"/>
        <b/>
        <color theme="1"/>
        <sz val="10.0"/>
      </rPr>
      <t>၅၂၈၁၀</t>
    </r>
  </si>
  <si>
    <r>
      <rPr>
        <rFont val="Myanmar Sangam MN"/>
        <b/>
        <color theme="1"/>
        <sz val="10.0"/>
      </rPr>
      <t>၃၀၆၅၆၂</t>
    </r>
  </si>
  <si>
    <r>
      <rPr>
        <rFont val="Myanmar Sangam MN"/>
        <b/>
        <color theme="1"/>
        <sz val="10.0"/>
      </rPr>
      <t>၇၆.၅၀</t>
    </r>
  </si>
  <si>
    <r>
      <rPr>
        <rFont val="Myanmar Sangam MN"/>
        <b/>
        <color theme="1"/>
        <sz val="10.0"/>
      </rPr>
      <t>၇၈၃၂</t>
    </r>
  </si>
  <si>
    <r>
      <rPr>
        <rFont val="Myanmar Sangam MN"/>
        <b/>
        <color theme="1"/>
        <sz val="10.0"/>
      </rPr>
      <t>၁၈၉</t>
    </r>
  </si>
  <si>
    <r>
      <rPr>
        <rFont val="Myanmar Sangam MN"/>
        <b/>
        <color theme="1"/>
        <sz val="10.0"/>
      </rPr>
      <t>၈၀၂၁</t>
    </r>
  </si>
  <si>
    <r>
      <rPr>
        <rFont val="Myanmar Sangam MN"/>
        <color theme="1"/>
        <sz val="10.0"/>
      </rPr>
      <t>၂၄၆၉၆၃</t>
    </r>
  </si>
  <si>
    <r>
      <rPr>
        <rFont val="Myanmar Sangam MN"/>
        <color theme="1"/>
        <sz val="10.0"/>
      </rPr>
      <t>၅၁၅၇၈</t>
    </r>
  </si>
  <si>
    <r>
      <rPr>
        <rFont val="Myanmar Sangam MN"/>
        <b/>
        <color theme="1"/>
        <sz val="10.0"/>
      </rPr>
      <t>၂၉၈၅၄၁</t>
    </r>
  </si>
  <si>
    <r>
      <rPr>
        <rFont val="Myanmar Sangam MN"/>
        <color theme="1"/>
        <sz val="10.0"/>
      </rPr>
      <t>ဦးဝင်းကိုဦး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</si>
  <si>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</si>
  <si>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၁၈၆၀၆၉</t>
    </r>
  </si>
  <si>
    <r>
      <rPr>
        <rFont val="Myanmar Sangam MN"/>
        <color theme="1"/>
        <sz val="10.0"/>
      </rPr>
      <t>၃၃၅၀၁</t>
    </r>
  </si>
  <si>
    <r>
      <rPr>
        <rFont val="Myanmar Sangam MN"/>
        <color theme="1"/>
        <sz val="10.0"/>
      </rPr>
      <t>၂၁၉၅၇၀</t>
    </r>
  </si>
  <si>
    <r>
      <rPr>
        <rFont val="Myanmar Sangam MN"/>
        <b/>
        <color theme="1"/>
        <sz val="9.0"/>
      </rPr>
      <t>၇၃.၅၅%</t>
    </r>
  </si>
  <si>
    <r>
      <rPr>
        <rFont val="Myanmar Sangam MN"/>
        <color theme="1"/>
        <sz val="10.0"/>
      </rPr>
      <t>ေဒါက်တာသန ်ဇင်အုံး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</si>
  <si>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</si>
  <si>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၅၃၈၉၇</t>
    </r>
  </si>
  <si>
    <r>
      <rPr>
        <rFont val="Myanmar Sangam MN"/>
        <color theme="1"/>
        <sz val="10.0"/>
      </rPr>
      <t>၁၅၉၄၄</t>
    </r>
  </si>
  <si>
    <r>
      <rPr>
        <rFont val="Myanmar Sangam MN"/>
        <color theme="1"/>
        <sz val="10.0"/>
      </rPr>
      <t>၆၉၈၄၁</t>
    </r>
  </si>
  <si>
    <r>
      <rPr>
        <rFont val="Myanmar Sangam MN"/>
        <b/>
        <color theme="1"/>
        <sz val="9.0"/>
      </rPr>
      <t>၂၃.၃၉%</t>
    </r>
  </si>
  <si>
    <r>
      <rPr>
        <rFont val="Myanmar Sangam MN"/>
        <color theme="1"/>
        <sz val="10.0"/>
      </rPr>
      <t>ေဒသာစိုး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</si>
  <si>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</si>
  <si>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၄၆၁၀</t>
    </r>
  </si>
  <si>
    <r>
      <rPr>
        <rFont val="Myanmar Sangam MN"/>
        <color theme="1"/>
        <sz val="10.0"/>
      </rPr>
      <t>၁၃၂၈</t>
    </r>
  </si>
  <si>
    <r>
      <rPr>
        <rFont val="Myanmar Sangam MN"/>
        <color theme="1"/>
        <sz val="10.0"/>
      </rPr>
      <t>၅၉၃၈</t>
    </r>
  </si>
  <si>
    <r>
      <rPr>
        <rFont val="Myanmar Sangam MN"/>
        <b/>
        <color theme="1"/>
        <sz val="9.0"/>
      </rPr>
      <t>၁.၉၉%</t>
    </r>
  </si>
  <si>
    <r>
      <rPr>
        <rFont val="Myanmar Sangam MN"/>
        <color theme="1"/>
        <sz val="10.0"/>
      </rPr>
      <t>ဦးေသာင်းေထွး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</si>
  <si>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</si>
  <si>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၂၃၈၇</t>
    </r>
  </si>
  <si>
    <r>
      <rPr>
        <rFont val="Myanmar Sangam MN"/>
        <color theme="1"/>
        <sz val="10.0"/>
      </rPr>
      <t>၈၀၅</t>
    </r>
  </si>
  <si>
    <r>
      <rPr>
        <rFont val="Myanmar Sangam MN"/>
        <color theme="1"/>
        <sz val="10.0"/>
      </rPr>
      <t>၃၁၉၂</t>
    </r>
  </si>
  <si>
    <r>
      <rPr>
        <rFont val="Myanmar Sangam MN"/>
        <b/>
        <color theme="1"/>
        <sz val="9.0"/>
      </rPr>
      <t>၁.၀၇%</t>
    </r>
  </si>
  <si>
    <r>
      <rPr>
        <rFont val="Myanmar Sangam MN"/>
        <b/>
        <color theme="1"/>
        <sz val="10.0"/>
      </rPr>
      <t>၁၀၁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</si>
  <si>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</si>
  <si>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၅၉၅၂၇၅</t>
    </r>
  </si>
  <si>
    <r>
      <rPr>
        <rFont val="Myanmar Sangam MN"/>
        <b/>
        <color theme="1"/>
        <sz val="10.0"/>
      </rPr>
      <t>၃၆၅၈၈၆</t>
    </r>
  </si>
  <si>
    <r>
      <rPr>
        <rFont val="Myanmar Sangam MN"/>
        <b/>
        <color theme="1"/>
        <sz val="10.0"/>
      </rPr>
      <t>၇၃၃၇၂</t>
    </r>
  </si>
  <si>
    <r>
      <rPr>
        <rFont val="Myanmar Sangam MN"/>
        <b/>
        <color theme="1"/>
        <sz val="10.0"/>
      </rPr>
      <t>၄၃၉၂၅၈</t>
    </r>
  </si>
  <si>
    <r>
      <rPr>
        <rFont val="Myanmar Sangam MN"/>
        <b/>
        <color theme="1"/>
        <sz val="10.0"/>
      </rPr>
      <t>၇၃.၇၉</t>
    </r>
  </si>
  <si>
    <r>
      <rPr>
        <rFont val="Myanmar Sangam MN"/>
        <b/>
        <color theme="1"/>
        <sz val="10.0"/>
      </rPr>
      <t>၆၁၄၉</t>
    </r>
  </si>
  <si>
    <r>
      <rPr>
        <rFont val="Myanmar Sangam MN"/>
        <b/>
        <color theme="1"/>
        <sz val="10.0"/>
      </rPr>
      <t>၅၂၆</t>
    </r>
  </si>
  <si>
    <r>
      <rPr>
        <rFont val="Myanmar Sangam MN"/>
        <b/>
        <color theme="1"/>
        <sz val="10.0"/>
      </rPr>
      <t>၆၆၇၅</t>
    </r>
  </si>
  <si>
    <r>
      <rPr>
        <rFont val="Myanmar Sangam MN"/>
        <b/>
        <color theme="1"/>
        <sz val="10.0"/>
      </rPr>
      <t>၃၆၀၀၈၉</t>
    </r>
  </si>
  <si>
    <r>
      <rPr>
        <rFont val="Myanmar Sangam MN"/>
        <b/>
        <color theme="1"/>
        <sz val="10.0"/>
      </rPr>
      <t>၇၂၄၉၄</t>
    </r>
  </si>
  <si>
    <r>
      <rPr>
        <rFont val="Myanmar Sangam MN"/>
        <b/>
        <color theme="1"/>
        <sz val="10.0"/>
      </rPr>
      <t>၄၃၂၅၈၃</t>
    </r>
  </si>
  <si>
    <r>
      <rPr>
        <rFont val="Myanmar Sangam MN"/>
        <color theme="1"/>
        <sz val="10.0"/>
      </rPr>
      <t>ဦးထွန်းထွန်းဦး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</si>
  <si>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</si>
  <si>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၃၁၉၆၉၈</t>
    </r>
  </si>
  <si>
    <r>
      <rPr>
        <rFont val="Myanmar Sangam MN"/>
        <color theme="1"/>
        <sz val="10.0"/>
      </rPr>
      <t>၅၉၁၁၄</t>
    </r>
  </si>
  <si>
    <r>
      <rPr>
        <rFont val="Myanmar Sangam MN"/>
        <color theme="1"/>
        <sz val="10.0"/>
      </rPr>
      <t>၃၇၈၈၁၂</t>
    </r>
  </si>
  <si>
    <r>
      <rPr>
        <rFont val="Myanmar Sangam MN"/>
        <b/>
        <color theme="1"/>
        <sz val="9.0"/>
      </rPr>
      <t>၈၇.၅၇%</t>
    </r>
  </si>
  <si>
    <r>
      <rPr>
        <rFont val="Myanmar Sangam MN"/>
        <color theme="1"/>
        <sz val="10.0"/>
      </rPr>
      <t>ေဒဝါဝါလင်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</si>
  <si>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</si>
  <si>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၃၆၁၈၂</t>
    </r>
  </si>
  <si>
    <r>
      <rPr>
        <rFont val="Myanmar Sangam MN"/>
        <color theme="1"/>
        <sz val="10.0"/>
      </rPr>
      <t>၁၁၉၇၂</t>
    </r>
  </si>
  <si>
    <r>
      <rPr>
        <rFont val="Myanmar Sangam MN"/>
        <color theme="1"/>
        <sz val="10.0"/>
      </rPr>
      <t>၄၈၁၅၄</t>
    </r>
  </si>
  <si>
    <r>
      <rPr>
        <rFont val="Myanmar Sangam MN"/>
        <b/>
        <color theme="1"/>
        <sz val="9.0"/>
      </rPr>
      <t>၁၁.၁၃%</t>
    </r>
  </si>
  <si>
    <r>
      <rPr>
        <rFont val="Myanmar Sangam MN"/>
        <color theme="1"/>
        <sz val="10.0"/>
      </rPr>
      <t>ဦးတင့်လွင်စိုး(ခ) ဦးေဇာ်သစ်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</si>
  <si>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</si>
  <si>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၂၂၄၄</t>
    </r>
  </si>
  <si>
    <r>
      <rPr>
        <rFont val="Myanmar Sangam MN"/>
        <color theme="1"/>
        <sz val="10.0"/>
      </rPr>
      <t>၅၇၈</t>
    </r>
  </si>
  <si>
    <r>
      <rPr>
        <rFont val="Myanmar Sangam MN"/>
        <color theme="1"/>
        <sz val="10.0"/>
      </rPr>
      <t>၂၈၂၂</t>
    </r>
  </si>
  <si>
    <r>
      <rPr>
        <rFont val="Myanmar Sangam MN"/>
        <b/>
        <color theme="1"/>
        <sz val="9.0"/>
      </rPr>
      <t>၀.၆၅%</t>
    </r>
  </si>
  <si>
    <r>
      <rPr>
        <rFont val="Myanmar Sangam MN"/>
        <color theme="1"/>
        <sz val="10.0"/>
      </rPr>
      <t>ဦးမျးိ ေဝ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</si>
  <si>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</si>
  <si>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၁၁၇၀</t>
    </r>
  </si>
  <si>
    <r>
      <rPr>
        <rFont val="Myanmar Sangam MN"/>
        <color theme="1"/>
        <sz val="10.0"/>
      </rPr>
      <t>၆၀၅</t>
    </r>
  </si>
  <si>
    <r>
      <rPr>
        <rFont val="Myanmar Sangam MN"/>
        <color theme="1"/>
        <sz val="10.0"/>
      </rPr>
      <t>၁၇၇၅</t>
    </r>
  </si>
  <si>
    <r>
      <rPr>
        <rFont val="Myanmar Sangam MN"/>
        <b/>
        <color theme="1"/>
        <sz val="9.0"/>
      </rPr>
      <t>၀.၄၁%</t>
    </r>
  </si>
  <si>
    <r>
      <rPr>
        <rFont val="Myanmar Sangam MN"/>
        <color theme="1"/>
        <sz val="10.0"/>
      </rPr>
      <t>ဦးဝင်းထိန်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</si>
  <si>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</si>
  <si>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၇၉၅</t>
    </r>
  </si>
  <si>
    <r>
      <rPr>
        <rFont val="Myanmar Sangam MN"/>
        <color theme="1"/>
        <sz val="10.0"/>
      </rPr>
      <t>၂၂၅</t>
    </r>
  </si>
  <si>
    <r>
      <rPr>
        <rFont val="Myanmar Sangam MN"/>
        <color theme="1"/>
        <sz val="10.0"/>
      </rPr>
      <t>၁၀၂၀</t>
    </r>
  </si>
  <si>
    <r>
      <rPr>
        <rFont val="Myanmar Sangam MN"/>
        <b/>
        <color theme="1"/>
        <sz val="9.0"/>
      </rPr>
      <t>၀.၂၄%</t>
    </r>
  </si>
  <si>
    <r>
      <rPr>
        <rFont val="Myanmar Sangam MN"/>
        <b/>
        <color theme="1"/>
        <sz val="10.0"/>
      </rPr>
      <t>၁၀၂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</si>
  <si>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</si>
  <si>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၆၈၀၀၉၅</t>
    </r>
  </si>
  <si>
    <r>
      <rPr>
        <rFont val="Myanmar Sangam MN"/>
        <b/>
        <color theme="1"/>
        <sz val="10.0"/>
      </rPr>
      <t>၄၂၅၄၇၅</t>
    </r>
  </si>
  <si>
    <r>
      <rPr>
        <rFont val="Myanmar Sangam MN"/>
        <b/>
        <color theme="1"/>
        <sz val="10.0"/>
      </rPr>
      <t>၉၆၁၄၄</t>
    </r>
  </si>
  <si>
    <r>
      <rPr>
        <rFont val="Myanmar Sangam MN"/>
        <b/>
        <color theme="1"/>
        <sz val="10.0"/>
      </rPr>
      <t>၅၂၁၆၁၉</t>
    </r>
  </si>
  <si>
    <r>
      <rPr>
        <rFont val="Myanmar Sangam MN"/>
        <b/>
        <color theme="1"/>
        <sz val="10.0"/>
      </rPr>
      <t>၇၆.၇၀</t>
    </r>
  </si>
  <si>
    <r>
      <rPr>
        <rFont val="Myanmar Sangam MN"/>
        <b/>
        <color theme="1"/>
        <sz val="10.0"/>
      </rPr>
      <t>၄၂၃၆</t>
    </r>
  </si>
  <si>
    <r>
      <rPr>
        <rFont val="Myanmar Sangam MN"/>
        <b/>
        <color theme="1"/>
        <sz val="10.0"/>
      </rPr>
      <t>၂၉၂</t>
    </r>
  </si>
  <si>
    <r>
      <rPr>
        <rFont val="Myanmar Sangam MN"/>
        <b/>
        <color theme="1"/>
        <sz val="10.0"/>
      </rPr>
      <t>၄၅၂၈</t>
    </r>
  </si>
  <si>
    <r>
      <rPr>
        <rFont val="Myanmar Sangam MN"/>
        <b/>
        <color theme="1"/>
        <sz val="10.0"/>
      </rPr>
      <t>၄၂၁၃၀၄</t>
    </r>
  </si>
  <si>
    <r>
      <rPr>
        <rFont val="Myanmar Sangam MN"/>
        <b/>
        <color theme="1"/>
        <sz val="10.0"/>
      </rPr>
      <t>၉၅၇၈၇</t>
    </r>
  </si>
  <si>
    <r>
      <rPr>
        <rFont val="Myanmar Sangam MN"/>
        <b/>
        <color theme="1"/>
        <sz val="10.0"/>
      </rPr>
      <t>၅၁၇၀၉၁</t>
    </r>
  </si>
  <si>
    <r>
      <rPr>
        <rFont val="Myanmar Sangam MN"/>
        <color theme="1"/>
        <sz val="8.0"/>
      </rPr>
      <t>ပါေမာကေဒါက်တာသန်းဝင်း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</si>
  <si>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</si>
  <si>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၃၇၁၃၂၆</t>
    </r>
  </si>
  <si>
    <r>
      <rPr>
        <rFont val="Myanmar Sangam MN"/>
        <color theme="1"/>
        <sz val="10.0"/>
      </rPr>
      <t>၇၉၃၆၃</t>
    </r>
  </si>
  <si>
    <r>
      <rPr>
        <rFont val="Myanmar Sangam MN"/>
        <color theme="1"/>
        <sz val="10.0"/>
      </rPr>
      <t>၄၅၀၆၈၉</t>
    </r>
  </si>
  <si>
    <r>
      <rPr>
        <rFont val="Myanmar Sangam MN"/>
        <b/>
        <color theme="1"/>
        <sz val="9.0"/>
      </rPr>
      <t>၈၇.၁၆%</t>
    </r>
  </si>
  <si>
    <r>
      <rPr>
        <rFont val="Myanmar Sangam MN"/>
        <color theme="1"/>
        <sz val="10.0"/>
      </rPr>
      <t>ဦးေသာင်းွန 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</si>
  <si>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</si>
  <si>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၄၅၅၅၈</t>
    </r>
  </si>
  <si>
    <r>
      <rPr>
        <rFont val="Myanmar Sangam MN"/>
        <color theme="1"/>
        <sz val="10.0"/>
      </rPr>
      <t>၁၄၇၇၈</t>
    </r>
  </si>
  <si>
    <r>
      <rPr>
        <rFont val="Myanmar Sangam MN"/>
        <color theme="1"/>
        <sz val="10.0"/>
      </rPr>
      <t>၆၀၃၃၆</t>
    </r>
  </si>
  <si>
    <r>
      <rPr>
        <rFont val="Myanmar Sangam MN"/>
        <b/>
        <color theme="1"/>
        <sz val="9.0"/>
      </rPr>
      <t>၁၁.၆၇%</t>
    </r>
  </si>
  <si>
    <r>
      <rPr>
        <rFont val="Myanmar Sangam MN"/>
        <color theme="1"/>
        <sz val="10.0"/>
      </rPr>
      <t>ဦးေကျာ်ြမင့်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</si>
  <si>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</si>
  <si>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၂၂၄၄</t>
    </r>
  </si>
  <si>
    <r>
      <rPr>
        <rFont val="Myanmar Sangam MN"/>
        <color theme="1"/>
        <sz val="10.0"/>
      </rPr>
      <t>၆၆၅</t>
    </r>
  </si>
  <si>
    <r>
      <rPr>
        <rFont val="Myanmar Sangam MN"/>
        <color theme="1"/>
        <sz val="10.0"/>
      </rPr>
      <t>၂၉၀၉</t>
    </r>
  </si>
  <si>
    <r>
      <rPr>
        <rFont val="Myanmar Sangam MN"/>
        <b/>
        <color theme="1"/>
        <sz val="9.0"/>
      </rPr>
      <t>၀.၅၆%</t>
    </r>
  </si>
  <si>
    <r>
      <rPr>
        <rFont val="Myanmar Sangam MN"/>
        <color theme="1"/>
        <sz val="10.0"/>
      </rPr>
      <t>ေဒြမတ်မွန်ခိုင်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</si>
  <si>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</si>
  <si>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၁၇၃၀</t>
    </r>
  </si>
  <si>
    <r>
      <rPr>
        <rFont val="Myanmar Sangam MN"/>
        <color theme="1"/>
        <sz val="10.0"/>
      </rPr>
      <t>၇၈၁</t>
    </r>
  </si>
  <si>
    <r>
      <rPr>
        <rFont val="Myanmar Sangam MN"/>
        <color theme="1"/>
        <sz val="10.0"/>
      </rPr>
      <t>၂၅၁၁</t>
    </r>
  </si>
  <si>
    <r>
      <rPr>
        <rFont val="Myanmar Sangam MN"/>
        <b/>
        <color theme="1"/>
        <sz val="9.0"/>
      </rPr>
      <t>၀.၄၉%</t>
    </r>
  </si>
  <si>
    <r>
      <rPr>
        <rFont val="Myanmar Sangam MN"/>
        <color theme="1"/>
        <sz val="10.0"/>
      </rPr>
      <t>ဦးေစာဝင်းိုင်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</si>
  <si>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</si>
  <si>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၄၄၆</t>
    </r>
  </si>
  <si>
    <r>
      <rPr>
        <rFont val="Myanmar Sangam MN"/>
        <color theme="1"/>
        <sz val="10.0"/>
      </rPr>
      <t>၂၀၀</t>
    </r>
  </si>
  <si>
    <r>
      <rPr>
        <rFont val="Myanmar Sangam MN"/>
        <color theme="1"/>
        <sz val="10.0"/>
      </rPr>
      <t>၆၄၆</t>
    </r>
  </si>
  <si>
    <r>
      <rPr>
        <rFont val="Myanmar Sangam MN"/>
        <b/>
        <color theme="1"/>
        <sz val="9.0"/>
      </rPr>
      <t>၀.၁၂%</t>
    </r>
  </si>
  <si>
    <r>
      <rPr>
        <rFont val="Myanmar Sangam MN"/>
        <b/>
        <color theme="1"/>
        <sz val="10.0"/>
      </rPr>
      <t>၁၀၃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</si>
  <si>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</si>
  <si>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၃၈၁၂၂၁</t>
    </r>
  </si>
  <si>
    <r>
      <rPr>
        <rFont val="Myanmar Sangam MN"/>
        <b/>
        <color theme="1"/>
        <sz val="10.0"/>
      </rPr>
      <t>၂၄၄၆၃၆</t>
    </r>
  </si>
  <si>
    <r>
      <rPr>
        <rFont val="Myanmar Sangam MN"/>
        <b/>
        <color theme="1"/>
        <sz val="10.0"/>
      </rPr>
      <t>၅၅၅၆၄</t>
    </r>
  </si>
  <si>
    <r>
      <rPr>
        <rFont val="Myanmar Sangam MN"/>
        <b/>
        <color theme="1"/>
        <sz val="10.0"/>
      </rPr>
      <t>၃၀၀၂၀၀</t>
    </r>
  </si>
  <si>
    <r>
      <rPr>
        <rFont val="Myanmar Sangam MN"/>
        <b/>
        <color theme="1"/>
        <sz val="10.0"/>
      </rPr>
      <t>၇၈.၇၅</t>
    </r>
  </si>
  <si>
    <r>
      <rPr>
        <rFont val="Myanmar Sangam MN"/>
        <b/>
        <color theme="1"/>
        <sz val="10.0"/>
      </rPr>
      <t>၆၁၈၅</t>
    </r>
  </si>
  <si>
    <r>
      <rPr>
        <rFont val="Myanmar Sangam MN"/>
        <b/>
        <color theme="1"/>
        <sz val="10.0"/>
      </rPr>
      <t>၄၀၅</t>
    </r>
  </si>
  <si>
    <r>
      <rPr>
        <rFont val="Myanmar Sangam MN"/>
        <b/>
        <color theme="1"/>
        <sz val="10.0"/>
      </rPr>
      <t>၆၅၉၀</t>
    </r>
  </si>
  <si>
    <r>
      <rPr>
        <rFont val="Myanmar Sangam MN"/>
        <color theme="1"/>
        <sz val="10.0"/>
      </rPr>
      <t>၂၃၈၄၇၇</t>
    </r>
  </si>
  <si>
    <r>
      <rPr>
        <rFont val="Myanmar Sangam MN"/>
        <color theme="1"/>
        <sz val="10.0"/>
      </rPr>
      <t>၅၅၁၃၃</t>
    </r>
  </si>
  <si>
    <r>
      <rPr>
        <rFont val="Myanmar Sangam MN"/>
        <color theme="1"/>
        <sz val="10.0"/>
      </rPr>
      <t>၂၉၃၆၁၀</t>
    </r>
  </si>
  <si>
    <r>
      <rPr>
        <rFont val="Myanmar Sangam MN"/>
        <color theme="1"/>
        <sz val="10.0"/>
      </rPr>
      <t>ဦးဘုန်းေကျာ်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</si>
  <si>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</si>
  <si>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၁၄၀၅၀၁</t>
    </r>
  </si>
  <si>
    <r>
      <rPr>
        <rFont val="Myanmar Sangam MN"/>
        <color theme="1"/>
        <sz val="10.0"/>
      </rPr>
      <t>၂၉၁၃၄</t>
    </r>
  </si>
  <si>
    <r>
      <rPr>
        <rFont val="Myanmar Sangam MN"/>
        <color theme="1"/>
        <sz val="10.0"/>
      </rPr>
      <t>၁၆၉၆၃၅</t>
    </r>
  </si>
  <si>
    <r>
      <rPr>
        <rFont val="Myanmar Sangam MN"/>
        <b/>
        <color theme="1"/>
        <sz val="9.0"/>
      </rPr>
      <t>၅၇.၇၈%</t>
    </r>
  </si>
  <si>
    <r>
      <rPr>
        <rFont val="Myanmar Sangam MN"/>
        <color theme="1"/>
        <sz val="10.0"/>
      </rPr>
      <t>ဦးရဲထွန်းိုင်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</si>
  <si>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</si>
  <si>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၉၅၆၂၃</t>
    </r>
  </si>
  <si>
    <r>
      <rPr>
        <rFont val="Myanmar Sangam MN"/>
        <color theme="1"/>
        <sz val="10.0"/>
      </rPr>
      <t>၂၅၁၇၈</t>
    </r>
  </si>
  <si>
    <r>
      <rPr>
        <rFont val="Myanmar Sangam MN"/>
        <color theme="1"/>
        <sz val="10.0"/>
      </rPr>
      <t>၁၂၀၈၀၁</t>
    </r>
  </si>
  <si>
    <r>
      <rPr>
        <rFont val="Myanmar Sangam MN"/>
        <b/>
        <color theme="1"/>
        <sz val="9.0"/>
      </rPr>
      <t>၄၁.၁၄%</t>
    </r>
  </si>
  <si>
    <r>
      <rPr>
        <rFont val="Myanmar Sangam MN"/>
        <color theme="1"/>
        <sz val="10.0"/>
      </rPr>
      <t>ဦးြမင့်ေအာင်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</si>
  <si>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</si>
  <si>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၁၈၃၃</t>
    </r>
  </si>
  <si>
    <r>
      <rPr>
        <rFont val="Myanmar Sangam MN"/>
        <color theme="1"/>
        <sz val="10.0"/>
      </rPr>
      <t>၅၉၉</t>
    </r>
  </si>
  <si>
    <r>
      <rPr>
        <rFont val="Myanmar Sangam MN"/>
        <color theme="1"/>
        <sz val="10.0"/>
      </rPr>
      <t>၂၄၃၂</t>
    </r>
  </si>
  <si>
    <r>
      <rPr>
        <rFont val="Myanmar Sangam MN"/>
        <b/>
        <color theme="1"/>
        <sz val="9.0"/>
      </rPr>
      <t>၀.၈၃%</t>
    </r>
  </si>
  <si>
    <r>
      <rPr>
        <rFont val="Myanmar Sangam MN"/>
        <color theme="1"/>
        <sz val="10.0"/>
      </rPr>
      <t>ေဒစာသန်း</t>
    </r>
  </si>
  <si>
    <r>
      <rPr>
        <rFont val="Myanmar Sangam MN"/>
        <color theme="1"/>
        <sz val="10.0"/>
      </rPr>
      <t>အေြခခံလူတန်းစားဘဝြမင့်မားေရးပါတီ</t>
    </r>
  </si>
  <si>
    <r>
      <rPr>
        <rFont val="Myanmar Sangam MN"/>
        <color theme="1"/>
        <sz val="10.0"/>
      </rPr>
      <t>၅၂၀</t>
    </r>
  </si>
  <si>
    <r>
      <rPr>
        <rFont val="Myanmar Sangam MN"/>
        <color theme="1"/>
        <sz val="10.0"/>
      </rPr>
      <t>၂၂၂</t>
    </r>
  </si>
  <si>
    <r>
      <rPr>
        <rFont val="Myanmar Sangam MN"/>
        <color theme="1"/>
        <sz val="10.0"/>
      </rPr>
      <t>၇၄၂</t>
    </r>
  </si>
  <si>
    <r>
      <rPr>
        <rFont val="Myanmar Sangam MN"/>
        <b/>
        <color theme="1"/>
        <sz val="9.0"/>
      </rPr>
      <t>၀.၂၅%</t>
    </r>
  </si>
  <si>
    <r>
      <rPr>
        <rFont val="Myanmar Sangam MN"/>
        <b/>
        <color theme="1"/>
        <sz val="10.0"/>
      </rPr>
      <t>၁၀၄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</si>
  <si>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</si>
  <si>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၃၅၂၂၁၉</t>
    </r>
  </si>
  <si>
    <r>
      <rPr>
        <rFont val="Myanmar Sangam MN"/>
        <b/>
        <color theme="1"/>
        <sz val="10.0"/>
      </rPr>
      <t>၂၄၆၇၅၁</t>
    </r>
  </si>
  <si>
    <r>
      <rPr>
        <rFont val="Myanmar Sangam MN"/>
        <b/>
        <color theme="1"/>
        <sz val="10.0"/>
      </rPr>
      <t>၅၄၄၈၆</t>
    </r>
  </si>
  <si>
    <r>
      <rPr>
        <rFont val="Myanmar Sangam MN"/>
        <b/>
        <color theme="1"/>
        <sz val="10.0"/>
      </rPr>
      <t>၃၀၁၂၃၇</t>
    </r>
  </si>
  <si>
    <r>
      <rPr>
        <rFont val="Myanmar Sangam MN"/>
        <b/>
        <color theme="1"/>
        <sz val="10.0"/>
      </rPr>
      <t>၈၅.၅၃</t>
    </r>
  </si>
  <si>
    <r>
      <rPr>
        <rFont val="Myanmar Sangam MN"/>
        <b/>
        <color theme="1"/>
        <sz val="10.0"/>
      </rPr>
      <t>၁၃၆၆၈</t>
    </r>
  </si>
  <si>
    <r>
      <rPr>
        <rFont val="Myanmar Sangam MN"/>
        <b/>
        <color theme="1"/>
        <sz val="10.0"/>
      </rPr>
      <t>၄၂၆</t>
    </r>
  </si>
  <si>
    <r>
      <rPr>
        <rFont val="Myanmar Sangam MN"/>
        <b/>
        <color theme="1"/>
        <sz val="10.0"/>
      </rPr>
      <t>၁၄၀၉၄</t>
    </r>
  </si>
  <si>
    <r>
      <rPr>
        <rFont val="Myanmar Sangam MN"/>
        <b/>
        <color theme="1"/>
        <sz val="10.0"/>
      </rPr>
      <t>၂၃၂၉၀၈</t>
    </r>
  </si>
  <si>
    <r>
      <rPr>
        <rFont val="Myanmar Sangam MN"/>
        <b/>
        <color theme="1"/>
        <sz val="10.0"/>
      </rPr>
      <t>၅၄၂၃၅</t>
    </r>
  </si>
  <si>
    <r>
      <rPr>
        <rFont val="Myanmar Sangam MN"/>
        <b/>
        <color theme="1"/>
        <sz val="10.0"/>
      </rPr>
      <t>၂၈၇၁၄၃</t>
    </r>
  </si>
  <si>
    <r>
      <rPr>
        <rFont val="Myanmar Sangam MN"/>
        <color theme="1"/>
        <sz val="10.0"/>
      </rPr>
      <t>ဦးေအာင်သူ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</si>
  <si>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</si>
  <si>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၁၅၀၅၃၃</t>
    </r>
  </si>
  <si>
    <r>
      <rPr>
        <rFont val="Myanmar Sangam MN"/>
        <color theme="1"/>
        <sz val="10.0"/>
      </rPr>
      <t>၃၄၅၄၆</t>
    </r>
  </si>
  <si>
    <r>
      <rPr>
        <rFont val="Myanmar Sangam MN"/>
        <color theme="1"/>
        <sz val="10.0"/>
      </rPr>
      <t>၁၈၅၀၇၉</t>
    </r>
  </si>
  <si>
    <r>
      <rPr>
        <rFont val="Myanmar Sangam MN"/>
        <b/>
        <color theme="1"/>
        <sz val="9.0"/>
      </rPr>
      <t>၆၄.၄၅%</t>
    </r>
  </si>
  <si>
    <r>
      <rPr>
        <rFont val="Myanmar Sangam MN"/>
        <color theme="1"/>
        <sz val="10.0"/>
      </rPr>
      <t>ဦးထွန်းထွန်းဦး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</si>
  <si>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</si>
  <si>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၇၇၃၁၄</t>
    </r>
  </si>
  <si>
    <r>
      <rPr>
        <rFont val="Myanmar Sangam MN"/>
        <color theme="1"/>
        <sz val="10.0"/>
      </rPr>
      <t>၁၈၁၅၇</t>
    </r>
  </si>
  <si>
    <r>
      <rPr>
        <rFont val="Myanmar Sangam MN"/>
        <color theme="1"/>
        <sz val="10.0"/>
      </rPr>
      <t>၉၅၄၇၁</t>
    </r>
  </si>
  <si>
    <r>
      <rPr>
        <rFont val="Myanmar Sangam MN"/>
        <b/>
        <color theme="1"/>
        <sz val="9.0"/>
      </rPr>
      <t>၃၃.၂၅%</t>
    </r>
  </si>
  <si>
    <r>
      <rPr>
        <rFont val="Myanmar Sangam MN"/>
        <color theme="1"/>
        <sz val="10.0"/>
      </rPr>
      <t>ဦးေကျာ်တင့်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</si>
  <si>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</si>
  <si>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၂၉၄၅</t>
    </r>
  </si>
  <si>
    <r>
      <rPr>
        <rFont val="Myanmar Sangam MN"/>
        <color theme="1"/>
        <sz val="10.0"/>
      </rPr>
      <t>၉၈၆</t>
    </r>
  </si>
  <si>
    <r>
      <rPr>
        <rFont val="Myanmar Sangam MN"/>
        <color theme="1"/>
        <sz val="10.0"/>
      </rPr>
      <t>၃၉၃၁</t>
    </r>
  </si>
  <si>
    <r>
      <rPr>
        <rFont val="Myanmar Sangam MN"/>
        <b/>
        <color theme="1"/>
        <sz val="9.0"/>
      </rPr>
      <t>၁.၃၇%</t>
    </r>
  </si>
  <si>
    <r>
      <rPr>
        <rFont val="Myanmar Sangam MN"/>
        <color theme="1"/>
        <sz val="10.0"/>
      </rPr>
      <t>ေဒြမဇာနည်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</si>
  <si>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</si>
  <si>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၂၁၁၆</t>
    </r>
  </si>
  <si>
    <r>
      <rPr>
        <rFont val="Myanmar Sangam MN"/>
        <color theme="1"/>
        <sz val="10.0"/>
      </rPr>
      <t>၅၄၆</t>
    </r>
  </si>
  <si>
    <r>
      <rPr>
        <rFont val="Myanmar Sangam MN"/>
        <color theme="1"/>
        <sz val="10.0"/>
      </rPr>
      <t>၂၆၆၂</t>
    </r>
  </si>
  <si>
    <r>
      <rPr>
        <rFont val="Myanmar Sangam MN"/>
        <b/>
        <color theme="1"/>
        <sz val="9.0"/>
      </rPr>
      <t>၀.၉၃%</t>
    </r>
  </si>
  <si>
    <r>
      <rPr>
        <rFont val="Myanmar Sangam MN"/>
        <b/>
        <color theme="1"/>
        <sz val="10.0"/>
      </rPr>
      <t>၁၀၅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</si>
  <si>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</si>
  <si>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၇၀၅၃၄၇</t>
    </r>
  </si>
  <si>
    <r>
      <rPr>
        <rFont val="Myanmar Sangam MN"/>
        <b/>
        <color theme="1"/>
        <sz val="10.0"/>
      </rPr>
      <t>၄၃၁၁၂၆</t>
    </r>
  </si>
  <si>
    <r>
      <rPr>
        <rFont val="Myanmar Sangam MN"/>
        <b/>
        <color theme="1"/>
        <sz val="10.0"/>
      </rPr>
      <t>၁၁၁၂၉၁</t>
    </r>
  </si>
  <si>
    <r>
      <rPr>
        <rFont val="Myanmar Sangam MN"/>
        <b/>
        <color theme="1"/>
        <sz val="10.0"/>
      </rPr>
      <t>၅၄၂၄၁၇</t>
    </r>
  </si>
  <si>
    <r>
      <rPr>
        <rFont val="Myanmar Sangam MN"/>
        <b/>
        <color theme="1"/>
        <sz val="10.0"/>
      </rPr>
      <t>၇၆.၉၀</t>
    </r>
  </si>
  <si>
    <r>
      <rPr>
        <rFont val="Myanmar Sangam MN"/>
        <b/>
        <color theme="1"/>
        <sz val="10.0"/>
      </rPr>
      <t>၁၀၃၇၉</t>
    </r>
  </si>
  <si>
    <r>
      <rPr>
        <rFont val="Myanmar Sangam MN"/>
        <b/>
        <color theme="1"/>
        <sz val="10.0"/>
      </rPr>
      <t>၁၂၆၆</t>
    </r>
  </si>
  <si>
    <r>
      <rPr>
        <rFont val="Myanmar Sangam MN"/>
        <b/>
        <color theme="1"/>
        <sz val="10.0"/>
      </rPr>
      <t>၁၁၆၄၅</t>
    </r>
  </si>
  <si>
    <r>
      <rPr>
        <rFont val="Myanmar Sangam MN"/>
        <b/>
        <color theme="1"/>
        <sz val="10.0"/>
      </rPr>
      <t>၄၂၂၀၂၀</t>
    </r>
  </si>
  <si>
    <r>
      <rPr>
        <rFont val="Myanmar Sangam MN"/>
        <b/>
        <color theme="1"/>
        <sz val="10.0"/>
      </rPr>
      <t>၁၀၈၇၅၂</t>
    </r>
  </si>
  <si>
    <r>
      <rPr>
        <rFont val="Myanmar Sangam MN"/>
        <b/>
        <color theme="1"/>
        <sz val="10.0"/>
      </rPr>
      <t>၅၃၀၇၇၂</t>
    </r>
  </si>
  <si>
    <r>
      <rPr>
        <rFont val="Myanmar Sangam MN"/>
        <color theme="1"/>
        <sz val="10.0"/>
      </rPr>
      <t>ဦးေအာင်မျးိ လတ်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</si>
  <si>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</si>
  <si>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၃၃၅၅၅၉</t>
    </r>
  </si>
  <si>
    <r>
      <rPr>
        <rFont val="Myanmar Sangam MN"/>
        <color theme="1"/>
        <sz val="10.0"/>
      </rPr>
      <t>၈၀၈၅၁</t>
    </r>
  </si>
  <si>
    <r>
      <rPr>
        <rFont val="Myanmar Sangam MN"/>
        <color theme="1"/>
        <sz val="10.0"/>
      </rPr>
      <t>၄၁၆၄၁၀</t>
    </r>
  </si>
  <si>
    <r>
      <rPr>
        <rFont val="Myanmar Sangam MN"/>
        <b/>
        <color theme="1"/>
        <sz val="9.0"/>
      </rPr>
      <t>၇၈.၄၅%</t>
    </r>
  </si>
  <si>
    <r>
      <rPr>
        <rFont val="Myanmar Sangam MN"/>
        <color theme="1"/>
        <sz val="10.0"/>
      </rPr>
      <t>ဦးေကျာ်တင်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</si>
  <si>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</si>
  <si>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၈၀၂၁၄</t>
    </r>
  </si>
  <si>
    <r>
      <rPr>
        <rFont val="Myanmar Sangam MN"/>
        <color theme="1"/>
        <sz val="10.0"/>
      </rPr>
      <t>၂၅၅၉၆</t>
    </r>
  </si>
  <si>
    <r>
      <rPr>
        <rFont val="Myanmar Sangam MN"/>
        <color theme="1"/>
        <sz val="10.0"/>
      </rPr>
      <t>၁၀၅၈၁၀</t>
    </r>
  </si>
  <si>
    <r>
      <rPr>
        <rFont val="Myanmar Sangam MN"/>
        <b/>
        <color theme="1"/>
        <sz val="9.0"/>
      </rPr>
      <t>၁၉.၉၄%</t>
    </r>
  </si>
  <si>
    <r>
      <rPr>
        <rFont val="Myanmar Sangam MN"/>
        <color theme="1"/>
        <sz val="10.0"/>
      </rPr>
      <t>ဦးရန်ိုင်ြမင့်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</si>
  <si>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</si>
  <si>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၃၇၁၀</t>
    </r>
  </si>
  <si>
    <r>
      <rPr>
        <rFont val="Myanmar Sangam MN"/>
        <color theme="1"/>
        <sz val="10.0"/>
      </rPr>
      <t>၁၂၃၂</t>
    </r>
  </si>
  <si>
    <r>
      <rPr>
        <rFont val="Myanmar Sangam MN"/>
        <color theme="1"/>
        <sz val="10.0"/>
      </rPr>
      <t>၄၉၄၂</t>
    </r>
  </si>
  <si>
    <r>
      <rPr>
        <rFont val="Myanmar Sangam MN"/>
        <b/>
        <color theme="1"/>
        <sz val="9.0"/>
      </rPr>
      <t>၀.၉၃%</t>
    </r>
  </si>
  <si>
    <r>
      <rPr>
        <rFont val="Myanmar Sangam MN"/>
        <color theme="1"/>
        <sz val="10.0"/>
      </rPr>
      <t>ဦးေအာင်သန်း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</si>
  <si>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</si>
  <si>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၂၅၃၇</t>
    </r>
  </si>
  <si>
    <r>
      <rPr>
        <rFont val="Myanmar Sangam MN"/>
        <color theme="1"/>
        <sz val="10.0"/>
      </rPr>
      <t>၁၀၇၃</t>
    </r>
  </si>
  <si>
    <r>
      <rPr>
        <rFont val="Myanmar Sangam MN"/>
        <color theme="1"/>
        <sz val="10.0"/>
      </rPr>
      <t>၃၆၁၀</t>
    </r>
  </si>
  <si>
    <r>
      <rPr>
        <rFont val="Myanmar Sangam MN"/>
        <b/>
        <color theme="1"/>
        <sz val="9.0"/>
      </rPr>
      <t>၀.၆၈%</t>
    </r>
  </si>
  <si>
    <r>
      <rPr>
        <rFont val="Myanmar Sangam MN"/>
        <b/>
        <color theme="1"/>
        <sz val="10.0"/>
      </rPr>
      <t>၁၀၆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</si>
  <si>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</si>
  <si>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၄၁၅၁၂၉</t>
    </r>
  </si>
  <si>
    <r>
      <rPr>
        <rFont val="Myanmar Sangam MN"/>
        <b/>
        <color theme="1"/>
        <sz val="10.0"/>
      </rPr>
      <t>၂၇၃၄၉၆</t>
    </r>
  </si>
  <si>
    <r>
      <rPr>
        <rFont val="Myanmar Sangam MN"/>
        <b/>
        <color theme="1"/>
        <sz val="10.0"/>
      </rPr>
      <t>၆၄၀၄၄</t>
    </r>
  </si>
  <si>
    <r>
      <rPr>
        <rFont val="Myanmar Sangam MN"/>
        <b/>
        <color theme="1"/>
        <sz val="10.0"/>
      </rPr>
      <t>၃၃၇၅၄၀</t>
    </r>
  </si>
  <si>
    <r>
      <rPr>
        <rFont val="Myanmar Sangam MN"/>
        <b/>
        <color theme="1"/>
        <sz val="10.0"/>
      </rPr>
      <t>၈၁.၃၁</t>
    </r>
  </si>
  <si>
    <r>
      <rPr>
        <rFont val="Myanmar Sangam MN"/>
        <b/>
        <color theme="1"/>
        <sz val="10.0"/>
      </rPr>
      <t>၇၅၇၁</t>
    </r>
  </si>
  <si>
    <r>
      <rPr>
        <rFont val="Myanmar Sangam MN"/>
        <b/>
        <color theme="1"/>
        <sz val="10.0"/>
      </rPr>
      <t>၁၃၀</t>
    </r>
  </si>
  <si>
    <r>
      <rPr>
        <rFont val="Myanmar Sangam MN"/>
        <b/>
        <color theme="1"/>
        <sz val="10.0"/>
      </rPr>
      <t>၇၇၀၁</t>
    </r>
  </si>
  <si>
    <r>
      <rPr>
        <rFont val="Myanmar Sangam MN"/>
        <b/>
        <color theme="1"/>
        <sz val="10.0"/>
      </rPr>
      <t>၂၆၅၈၁၀</t>
    </r>
  </si>
  <si>
    <r>
      <rPr>
        <rFont val="Myanmar Sangam MN"/>
        <b/>
        <color theme="1"/>
        <sz val="10.0"/>
      </rPr>
      <t>၆၄၀၂၉</t>
    </r>
  </si>
  <si>
    <r>
      <rPr>
        <rFont val="Myanmar Sangam MN"/>
        <b/>
        <color theme="1"/>
        <sz val="10.0"/>
      </rPr>
      <t>၃၂၉၈၃၉</t>
    </r>
  </si>
  <si>
    <r>
      <rPr>
        <rFont val="Myanmar Sangam MN"/>
        <color theme="1"/>
        <sz val="10.0"/>
      </rPr>
      <t>ဦးညီညီလွင်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</si>
  <si>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</si>
  <si>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၁၄၄၇၃၃</t>
    </r>
  </si>
  <si>
    <r>
      <rPr>
        <rFont val="Myanmar Sangam MN"/>
        <color theme="1"/>
        <sz val="10.0"/>
      </rPr>
      <t>၃၃၉၇၅</t>
    </r>
  </si>
  <si>
    <r>
      <rPr>
        <rFont val="Myanmar Sangam MN"/>
        <color theme="1"/>
        <sz val="10.0"/>
      </rPr>
      <t>၁၇၈၇၀၈</t>
    </r>
  </si>
  <si>
    <r>
      <rPr>
        <rFont val="Myanmar Sangam MN"/>
        <b/>
        <color theme="1"/>
        <sz val="9.0"/>
      </rPr>
      <t>၅၄.၁၈%</t>
    </r>
  </si>
  <si>
    <r>
      <rPr>
        <rFont val="Myanmar Sangam MN"/>
        <color theme="1"/>
        <sz val="10.0"/>
      </rPr>
      <t>ဦးေမာင်ေမာင်ြမင့်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</si>
  <si>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</si>
  <si>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၁၁၈၉၃၄</t>
    </r>
  </si>
  <si>
    <r>
      <rPr>
        <rFont val="Myanmar Sangam MN"/>
        <color theme="1"/>
        <sz val="10.0"/>
      </rPr>
      <t>၂၉၄၃၆</t>
    </r>
  </si>
  <si>
    <r>
      <rPr>
        <rFont val="Myanmar Sangam MN"/>
        <color theme="1"/>
        <sz val="10.0"/>
      </rPr>
      <t>၁၄၈၃၇၀</t>
    </r>
  </si>
  <si>
    <r>
      <rPr>
        <rFont val="Myanmar Sangam MN"/>
        <b/>
        <color theme="1"/>
        <sz val="9.0"/>
      </rPr>
      <t>၄၄.၉၈%</t>
    </r>
  </si>
  <si>
    <r>
      <rPr>
        <rFont val="Myanmar Sangam MN"/>
        <color theme="1"/>
        <sz val="10.0"/>
      </rPr>
      <t>ဦးေမာင်ေမာင်ရင်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</si>
  <si>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</si>
  <si>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၂၁၄၃</t>
    </r>
  </si>
  <si>
    <r>
      <rPr>
        <rFont val="Myanmar Sangam MN"/>
        <color theme="1"/>
        <sz val="10.0"/>
      </rPr>
      <t>၆၁၈</t>
    </r>
  </si>
  <si>
    <r>
      <rPr>
        <rFont val="Myanmar Sangam MN"/>
        <color theme="1"/>
        <sz val="10.0"/>
      </rPr>
      <t>၂၇၆၁</t>
    </r>
  </si>
  <si>
    <r>
      <rPr>
        <rFont val="Myanmar Sangam MN"/>
        <b/>
        <color theme="1"/>
        <sz val="9.0"/>
      </rPr>
      <t>၀.၈၄%</t>
    </r>
  </si>
  <si>
    <r>
      <rPr>
        <rFont val="Myanmar Sangam MN"/>
        <b/>
        <color theme="1"/>
        <sz val="10.0"/>
      </rPr>
      <t>၁၀၇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</si>
  <si>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</si>
  <si>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၄၈၆၄၄၈</t>
    </r>
  </si>
  <si>
    <r>
      <rPr>
        <rFont val="Myanmar Sangam MN"/>
        <b/>
        <color theme="1"/>
        <sz val="10.0"/>
      </rPr>
      <t>၂၇၇၃၈၉</t>
    </r>
  </si>
  <si>
    <r>
      <rPr>
        <rFont val="Myanmar Sangam MN"/>
        <b/>
        <color theme="1"/>
        <sz val="10.0"/>
      </rPr>
      <t>၈၃၁၇၀</t>
    </r>
  </si>
  <si>
    <r>
      <rPr>
        <rFont val="Myanmar Sangam MN"/>
        <b/>
        <color theme="1"/>
        <sz val="10.0"/>
      </rPr>
      <t>၃၆၀၅၅၉</t>
    </r>
  </si>
  <si>
    <r>
      <rPr>
        <rFont val="Myanmar Sangam MN"/>
        <b/>
        <color theme="1"/>
        <sz val="10.0"/>
      </rPr>
      <t>၇၄.၁၂</t>
    </r>
  </si>
  <si>
    <r>
      <rPr>
        <rFont val="Myanmar Sangam MN"/>
        <b/>
        <color theme="1"/>
        <sz val="10.0"/>
      </rPr>
      <t>၇၁၉၀</t>
    </r>
  </si>
  <si>
    <r>
      <rPr>
        <rFont val="Myanmar Sangam MN"/>
        <b/>
        <color theme="1"/>
        <sz val="10.0"/>
      </rPr>
      <t>၇၄</t>
    </r>
  </si>
  <si>
    <r>
      <rPr>
        <rFont val="Myanmar Sangam MN"/>
        <b/>
        <color theme="1"/>
        <sz val="10.0"/>
      </rPr>
      <t>၇၂၆၄</t>
    </r>
  </si>
  <si>
    <r>
      <rPr>
        <rFont val="Myanmar Sangam MN"/>
        <b/>
        <color theme="1"/>
        <sz val="10.0"/>
      </rPr>
      <t>၂၇၁၂၈၅</t>
    </r>
  </si>
  <si>
    <r>
      <rPr>
        <rFont val="Myanmar Sangam MN"/>
        <b/>
        <color theme="1"/>
        <sz val="10.0"/>
      </rPr>
      <t>၈၂၀၁၀</t>
    </r>
  </si>
  <si>
    <r>
      <rPr>
        <rFont val="Myanmar Sangam MN"/>
        <b/>
        <color theme="1"/>
        <sz val="10.0"/>
      </rPr>
      <t>၃၅၃၂၉၅</t>
    </r>
  </si>
  <si>
    <r>
      <rPr>
        <rFont val="Myanmar Sangam MN"/>
        <color theme="1"/>
        <sz val="10.0"/>
      </rPr>
      <t>ဦးေကျာ်ြမင့်ဦး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</si>
  <si>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</si>
  <si>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၁၉၄၂၁၂</t>
    </r>
  </si>
  <si>
    <r>
      <rPr>
        <rFont val="Myanmar Sangam MN"/>
        <color theme="1"/>
        <sz val="10.0"/>
      </rPr>
      <t>၅၂၅၉၃</t>
    </r>
  </si>
  <si>
    <r>
      <rPr>
        <rFont val="Myanmar Sangam MN"/>
        <color theme="1"/>
        <sz val="10.0"/>
      </rPr>
      <t>၂၄၆၈၀၅</t>
    </r>
  </si>
  <si>
    <r>
      <rPr>
        <rFont val="Myanmar Sangam MN"/>
        <b/>
        <color theme="1"/>
        <sz val="9.0"/>
      </rPr>
      <t>၆၉.၈၆%</t>
    </r>
  </si>
  <si>
    <r>
      <rPr>
        <rFont val="Myanmar Sangam MN"/>
        <color theme="1"/>
        <sz val="10.0"/>
      </rPr>
      <t>ေဒဝင်းဝင်းသီ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</si>
  <si>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</si>
  <si>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၇၀၂၂၆</t>
    </r>
  </si>
  <si>
    <r>
      <rPr>
        <rFont val="Myanmar Sangam MN"/>
        <color theme="1"/>
        <sz val="10.0"/>
      </rPr>
      <t>၂၆၀၉၉</t>
    </r>
  </si>
  <si>
    <r>
      <rPr>
        <rFont val="Myanmar Sangam MN"/>
        <color theme="1"/>
        <sz val="10.0"/>
      </rPr>
      <t>၉၆၃၂၅</t>
    </r>
  </si>
  <si>
    <r>
      <rPr>
        <rFont val="Myanmar Sangam MN"/>
        <b/>
        <color theme="1"/>
        <sz val="9.0"/>
      </rPr>
      <t>၂၇.၂၆%</t>
    </r>
  </si>
  <si>
    <r>
      <rPr>
        <rFont val="Myanmar Sangam MN"/>
        <color theme="1"/>
        <sz val="10.0"/>
      </rPr>
      <t>ဦးေဇာ်ေအာင်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</si>
  <si>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</si>
  <si>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၃၀၇၃</t>
    </r>
  </si>
  <si>
    <r>
      <rPr>
        <rFont val="Myanmar Sangam MN"/>
        <color theme="1"/>
        <sz val="10.0"/>
      </rPr>
      <t>၁၅၀၄</t>
    </r>
  </si>
  <si>
    <r>
      <rPr>
        <rFont val="Myanmar Sangam MN"/>
        <color theme="1"/>
        <sz val="10.0"/>
      </rPr>
      <t>၄၅၇၇</t>
    </r>
  </si>
  <si>
    <r>
      <rPr>
        <rFont val="Myanmar Sangam MN"/>
        <b/>
        <color theme="1"/>
        <sz val="9.0"/>
      </rPr>
      <t>၁.၃၀%</t>
    </r>
  </si>
  <si>
    <r>
      <rPr>
        <rFont val="Myanmar Sangam MN"/>
        <color theme="1"/>
        <sz val="10.0"/>
      </rPr>
      <t>ဦးေကျာ်စိုးမိုး</t>
    </r>
  </si>
  <si>
    <r>
      <rPr>
        <rFont val="Myanmar Sangam MN"/>
        <color theme="1"/>
        <sz val="9.0"/>
      </rPr>
      <t>အမျးသားညီွတ်ေသာဒီမိုကရက်တစ်ပါတီ</t>
    </r>
  </si>
  <si>
    <r>
      <rPr>
        <rFont val="Myanmar Sangam MN"/>
        <color theme="1"/>
        <sz val="9.0"/>
      </rPr>
      <t>၂၀၂၂</t>
    </r>
  </si>
  <si>
    <r>
      <rPr>
        <rFont val="Myanmar Sangam MN"/>
        <color theme="1"/>
        <sz val="9.0"/>
      </rPr>
      <t>၇၇၅</t>
    </r>
  </si>
  <si>
    <r>
      <rPr>
        <rFont val="Myanmar Sangam MN"/>
        <color theme="1"/>
        <sz val="10.0"/>
      </rPr>
      <t>၂၇၉၇</t>
    </r>
  </si>
  <si>
    <r>
      <rPr>
        <rFont val="Myanmar Sangam MN"/>
        <b/>
        <color theme="1"/>
        <sz val="9.0"/>
      </rPr>
      <t>၀.၇၉%</t>
    </r>
  </si>
  <si>
    <r>
      <rPr>
        <rFont val="Myanmar Sangam MN"/>
        <color theme="1"/>
        <sz val="10.0"/>
      </rPr>
      <t>ဦးေဇာ်မင်း</t>
    </r>
  </si>
  <si>
    <r>
      <rPr>
        <rFont val="Myanmar Sangam MN"/>
        <color theme="1"/>
        <sz val="10.0"/>
      </rPr>
      <t>ြပည်သူ ပါတီ</t>
    </r>
  </si>
  <si>
    <r>
      <rPr>
        <rFont val="Myanmar Sangam MN"/>
        <color theme="1"/>
        <sz val="10.0"/>
      </rPr>
      <t>၁၀၂၁</t>
    </r>
  </si>
  <si>
    <r>
      <rPr>
        <rFont val="Myanmar Sangam MN"/>
        <color theme="1"/>
        <sz val="10.0"/>
      </rPr>
      <t>၅၂၀</t>
    </r>
  </si>
  <si>
    <r>
      <rPr>
        <rFont val="Myanmar Sangam MN"/>
        <color theme="1"/>
        <sz val="10.0"/>
      </rPr>
      <t>၁၅၄၁</t>
    </r>
  </si>
  <si>
    <r>
      <rPr>
        <rFont val="Myanmar Sangam MN"/>
        <b/>
        <color theme="1"/>
        <sz val="9.0"/>
      </rPr>
      <t>၀.၄၄%</t>
    </r>
  </si>
  <si>
    <r>
      <rPr>
        <rFont val="Myanmar Sangam MN"/>
        <color theme="1"/>
        <sz val="10.0"/>
      </rPr>
      <t>ဦးေကျာ်ဝင်းခိုင်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</si>
  <si>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</si>
  <si>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၇၃၁</t>
    </r>
  </si>
  <si>
    <r>
      <rPr>
        <rFont val="Myanmar Sangam MN"/>
        <color theme="1"/>
        <sz val="10.0"/>
      </rPr>
      <t>၅၁၉</t>
    </r>
  </si>
  <si>
    <r>
      <rPr>
        <rFont val="Myanmar Sangam MN"/>
        <color theme="1"/>
        <sz val="10.0"/>
      </rPr>
      <t>၁၂၅၀</t>
    </r>
  </si>
  <si>
    <r>
      <rPr>
        <rFont val="Myanmar Sangam MN"/>
        <b/>
        <color theme="1"/>
        <sz val="9.0"/>
      </rPr>
      <t>၀.၃၅%</t>
    </r>
  </si>
  <si>
    <r>
      <rPr>
        <rFont val="Myanmar Sangam MN"/>
        <b/>
        <color theme="1"/>
        <sz val="10.0"/>
      </rPr>
      <t>၁၀၈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</si>
  <si>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</si>
  <si>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၄၁၉၇၇၈</t>
    </r>
  </si>
  <si>
    <r>
      <rPr>
        <rFont val="Myanmar Sangam MN"/>
        <b/>
        <color theme="1"/>
        <sz val="10.0"/>
      </rPr>
      <t>၂၅၂၄၂၄</t>
    </r>
  </si>
  <si>
    <r>
      <rPr>
        <rFont val="Myanmar Sangam MN"/>
        <b/>
        <color theme="1"/>
        <sz val="10.0"/>
      </rPr>
      <t>၇၇၃၁၄</t>
    </r>
  </si>
  <si>
    <r>
      <rPr>
        <rFont val="Myanmar Sangam MN"/>
        <b/>
        <color theme="1"/>
        <sz val="10.0"/>
      </rPr>
      <t>၃၂၉၇၃၈</t>
    </r>
  </si>
  <si>
    <r>
      <rPr>
        <rFont val="Myanmar Sangam MN"/>
        <b/>
        <color theme="1"/>
        <sz val="10.0"/>
      </rPr>
      <t>၇၈.၅၅</t>
    </r>
  </si>
  <si>
    <r>
      <rPr>
        <rFont val="Myanmar Sangam MN"/>
        <b/>
        <color theme="1"/>
        <sz val="10.0"/>
      </rPr>
      <t>၆၃၁၅</t>
    </r>
  </si>
  <si>
    <r>
      <rPr>
        <rFont val="Myanmar Sangam MN"/>
        <b/>
        <color theme="1"/>
        <sz val="10.0"/>
      </rPr>
      <t>၇၁</t>
    </r>
  </si>
  <si>
    <r>
      <rPr>
        <rFont val="Myanmar Sangam MN"/>
        <b/>
        <color theme="1"/>
        <sz val="10.0"/>
      </rPr>
      <t>၆၃၈၆</t>
    </r>
  </si>
  <si>
    <r>
      <rPr>
        <rFont val="Myanmar Sangam MN"/>
        <color theme="1"/>
        <sz val="10.0"/>
      </rPr>
      <t>၂၄၆၇၉၉</t>
    </r>
  </si>
  <si>
    <r>
      <rPr>
        <rFont val="Myanmar Sangam MN"/>
        <color theme="1"/>
        <sz val="10.0"/>
      </rPr>
      <t>၇၆၅၅၃</t>
    </r>
  </si>
  <si>
    <r>
      <rPr>
        <rFont val="Myanmar Sangam MN"/>
        <b/>
        <color theme="1"/>
        <sz val="10.0"/>
      </rPr>
      <t>၃၂၃၃၅၂</t>
    </r>
  </si>
  <si>
    <r>
      <rPr>
        <rFont val="Myanmar Sangam MN"/>
        <color theme="1"/>
        <sz val="10.0"/>
      </rPr>
      <t>ဦးေမာင်ေမာင်ေဆွ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</si>
  <si>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</si>
  <si>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၁၄၈၁၈၅</t>
    </r>
  </si>
  <si>
    <r>
      <rPr>
        <rFont val="Myanmar Sangam MN"/>
        <color theme="1"/>
        <sz val="10.0"/>
      </rPr>
      <t>၃၅၆၉၄</t>
    </r>
  </si>
  <si>
    <r>
      <rPr>
        <rFont val="Myanmar Sangam MN"/>
        <color theme="1"/>
        <sz val="10.0"/>
      </rPr>
      <t>၁၈၃၈၇၉</t>
    </r>
  </si>
  <si>
    <r>
      <rPr>
        <rFont val="Myanmar Sangam MN"/>
        <b/>
        <color theme="1"/>
        <sz val="9.0"/>
      </rPr>
      <t>၅၆.၈၇%</t>
    </r>
  </si>
  <si>
    <r>
      <rPr>
        <rFont val="Myanmar Sangam MN"/>
        <color theme="1"/>
        <sz val="10.0"/>
      </rPr>
      <t>ဦးခင်ေမာင်ေဌး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</si>
  <si>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</si>
  <si>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၉၁၉၄၅</t>
    </r>
  </si>
  <si>
    <r>
      <rPr>
        <rFont val="Myanmar Sangam MN"/>
        <color theme="1"/>
        <sz val="10.0"/>
      </rPr>
      <t>၃၇၅၀၉</t>
    </r>
  </si>
  <si>
    <r>
      <rPr>
        <rFont val="Myanmar Sangam MN"/>
        <color theme="1"/>
        <sz val="10.0"/>
      </rPr>
      <t>၁၂၉၄၅၄</t>
    </r>
  </si>
  <si>
    <r>
      <rPr>
        <rFont val="Myanmar Sangam MN"/>
        <b/>
        <color theme="1"/>
        <sz val="9.0"/>
      </rPr>
      <t>၄၀.၀၄%</t>
    </r>
  </si>
  <si>
    <r>
      <rPr>
        <rFont val="Myanmar Sangam MN"/>
        <color theme="1"/>
        <sz val="10.0"/>
      </rPr>
      <t>ေဒါက်တာမင်းသန်းွန 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</si>
  <si>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</si>
  <si>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၄၃၁၁</t>
    </r>
  </si>
  <si>
    <r>
      <rPr>
        <rFont val="Myanmar Sangam MN"/>
        <color theme="1"/>
        <sz val="10.0"/>
      </rPr>
      <t>၂၂၆၂</t>
    </r>
  </si>
  <si>
    <r>
      <rPr>
        <rFont val="Myanmar Sangam MN"/>
        <color theme="1"/>
        <sz val="10.0"/>
      </rPr>
      <t>၆၅၇၃</t>
    </r>
  </si>
  <si>
    <r>
      <rPr>
        <rFont val="Myanmar Sangam MN"/>
        <b/>
        <color theme="1"/>
        <sz val="9.0"/>
      </rPr>
      <t>၂.၀၃%</t>
    </r>
  </si>
  <si>
    <r>
      <rPr>
        <rFont val="Myanmar Sangam MN"/>
        <color theme="1"/>
        <sz val="10.0"/>
      </rPr>
      <t>ဦးသန်းြမတ်စိုး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</si>
  <si>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</si>
  <si>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၁၆၆၆</t>
    </r>
  </si>
  <si>
    <r>
      <rPr>
        <rFont val="Myanmar Sangam MN"/>
        <color theme="1"/>
        <sz val="10.0"/>
      </rPr>
      <t>၇၉၆</t>
    </r>
  </si>
  <si>
    <r>
      <rPr>
        <rFont val="Myanmar Sangam MN"/>
        <color theme="1"/>
        <sz val="10.0"/>
      </rPr>
      <t>၂၄၆၂</t>
    </r>
  </si>
  <si>
    <r>
      <rPr>
        <rFont val="Myanmar Sangam MN"/>
        <b/>
        <color theme="1"/>
        <sz val="9.0"/>
      </rPr>
      <t>၀.၇၆%</t>
    </r>
  </si>
  <si>
    <r>
      <rPr>
        <rFont val="Myanmar Sangam MN"/>
        <color theme="1"/>
        <sz val="10.0"/>
      </rPr>
      <t>ဦးကိုကီး</t>
    </r>
  </si>
  <si>
    <r>
      <rPr>
        <rFont val="Myanmar Sangam MN"/>
        <color theme="1"/>
        <sz val="10.0"/>
      </rPr>
      <t>အေြခခံလူတန်းစားဘဝြမင့်မားေရးပါတီ</t>
    </r>
  </si>
  <si>
    <r>
      <rPr>
        <rFont val="Myanmar Sangam MN"/>
        <color theme="1"/>
        <sz val="10.0"/>
      </rPr>
      <t>၆၉၂</t>
    </r>
  </si>
  <si>
    <r>
      <rPr>
        <rFont val="Myanmar Sangam MN"/>
        <color theme="1"/>
        <sz val="10.0"/>
      </rPr>
      <t>၂၉၂</t>
    </r>
  </si>
  <si>
    <r>
      <rPr>
        <rFont val="Myanmar Sangam MN"/>
        <color theme="1"/>
        <sz val="10.0"/>
      </rPr>
      <t>၉၈၄</t>
    </r>
  </si>
  <si>
    <r>
      <rPr>
        <rFont val="Myanmar Sangam MN"/>
        <b/>
        <color theme="1"/>
        <sz val="9.0"/>
      </rPr>
      <t>၀.၃၀%</t>
    </r>
  </si>
  <si>
    <r>
      <rPr>
        <rFont val="Myanmar Sangam MN"/>
        <b/>
        <color theme="1"/>
        <sz val="10.0"/>
      </rPr>
      <t>မွန်ြပည်နယ်</t>
    </r>
  </si>
  <si>
    <r>
      <rPr>
        <rFont val="Myanmar Sangam MN"/>
        <b/>
        <color theme="1"/>
        <sz val="10.0"/>
      </rPr>
      <t>၁၈၄၇၇၈၀</t>
    </r>
  </si>
  <si>
    <r>
      <rPr>
        <rFont val="Myanmar Sangam MN"/>
        <b/>
        <color theme="1"/>
        <sz val="10.0"/>
      </rPr>
      <t>၇၈၅၁၄၀</t>
    </r>
  </si>
  <si>
    <r>
      <rPr>
        <rFont val="Myanmar Sangam MN"/>
        <b/>
        <color theme="1"/>
        <sz val="10.0"/>
      </rPr>
      <t>၂၈၂၇၁၅</t>
    </r>
  </si>
  <si>
    <r>
      <rPr>
        <rFont val="Myanmar Sangam MN"/>
        <b/>
        <color theme="1"/>
        <sz val="10.0"/>
      </rPr>
      <t>၁၀၆၇၈၅၅</t>
    </r>
  </si>
  <si>
    <r>
      <rPr>
        <rFont val="Myanmar Sangam MN"/>
        <b/>
        <color theme="1"/>
        <sz val="10.0"/>
      </rPr>
      <t>၅၇.၇၉</t>
    </r>
  </si>
  <si>
    <r>
      <rPr>
        <rFont val="Myanmar Sangam MN"/>
        <b/>
        <color theme="1"/>
        <sz val="10.0"/>
      </rPr>
      <t>၃၂၆၂၅</t>
    </r>
  </si>
  <si>
    <r>
      <rPr>
        <rFont val="Myanmar Sangam MN"/>
        <b/>
        <color theme="1"/>
        <sz val="10.0"/>
      </rPr>
      <t>၃၈၃၁</t>
    </r>
  </si>
  <si>
    <r>
      <rPr>
        <rFont val="Myanmar Sangam MN"/>
        <b/>
        <color theme="1"/>
        <sz val="10.0"/>
      </rPr>
      <t>၃၆၄၅၆</t>
    </r>
  </si>
  <si>
    <r>
      <rPr>
        <rFont val="Myanmar Sangam MN"/>
        <color theme="1"/>
        <sz val="10.0"/>
      </rPr>
      <t>၇၅၃၇၇၇</t>
    </r>
  </si>
  <si>
    <r>
      <rPr>
        <rFont val="Myanmar Sangam MN"/>
        <color theme="1"/>
        <sz val="10.0"/>
      </rPr>
      <t>၂၇၇၆၂၂</t>
    </r>
  </si>
  <si>
    <r>
      <rPr>
        <rFont val="Myanmar Sangam MN"/>
        <b/>
        <color theme="1"/>
        <sz val="10.0"/>
      </rPr>
      <t>၁၀၃၁၃၉၉</t>
    </r>
  </si>
  <si>
    <r>
      <rPr>
        <rFont val="Myanmar Sangam MN"/>
        <b/>
        <color theme="1"/>
        <sz val="10.0"/>
      </rPr>
      <t>၁၀၉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</si>
  <si>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</si>
  <si>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၁၈၃၆၈၅</t>
    </r>
  </si>
  <si>
    <r>
      <rPr>
        <rFont val="Myanmar Sangam MN"/>
        <b/>
        <color theme="1"/>
        <sz val="10.0"/>
      </rPr>
      <t>၆၆၁၇၇</t>
    </r>
  </si>
  <si>
    <r>
      <rPr>
        <rFont val="Myanmar Sangam MN"/>
        <b/>
        <color theme="1"/>
        <sz val="10.0"/>
      </rPr>
      <t>၂၆၈၄၈</t>
    </r>
  </si>
  <si>
    <r>
      <rPr>
        <rFont val="Myanmar Sangam MN"/>
        <b/>
        <color theme="1"/>
        <sz val="10.0"/>
      </rPr>
      <t>၉၃၀၂၅</t>
    </r>
  </si>
  <si>
    <r>
      <rPr>
        <rFont val="Myanmar Sangam MN"/>
        <b/>
        <color theme="1"/>
        <sz val="10.0"/>
      </rPr>
      <t>၅၀.၆၄</t>
    </r>
  </si>
  <si>
    <r>
      <rPr>
        <rFont val="Myanmar Sangam MN"/>
        <b/>
        <color theme="1"/>
        <sz val="10.0"/>
      </rPr>
      <t>၅၄၆၁</t>
    </r>
  </si>
  <si>
    <r>
      <rPr>
        <rFont val="Myanmar Sangam MN"/>
        <b/>
        <color theme="1"/>
        <sz val="10.0"/>
      </rPr>
      <t>၁၄၉၃</t>
    </r>
  </si>
  <si>
    <r>
      <rPr>
        <rFont val="Myanmar Sangam MN"/>
        <b/>
        <color theme="1"/>
        <sz val="10.0"/>
      </rPr>
      <t>၆၉၅၄</t>
    </r>
  </si>
  <si>
    <r>
      <rPr>
        <rFont val="Myanmar Sangam MN"/>
        <b/>
        <color theme="1"/>
        <sz val="10.0"/>
      </rPr>
      <t>၆၀၃၁၇</t>
    </r>
  </si>
  <si>
    <r>
      <rPr>
        <rFont val="Myanmar Sangam MN"/>
        <b/>
        <color theme="1"/>
        <sz val="10.0"/>
      </rPr>
      <t>၂၅၇၅၄</t>
    </r>
  </si>
  <si>
    <r>
      <rPr>
        <rFont val="Myanmar Sangam MN"/>
        <b/>
        <color theme="1"/>
        <sz val="10.0"/>
      </rPr>
      <t>၈၆၀၇၁</t>
    </r>
  </si>
  <si>
    <r>
      <rPr>
        <rFont val="Myanmar Sangam MN"/>
        <color theme="1"/>
        <sz val="10.0"/>
      </rPr>
      <t>ဦးခင်ေဇာ်ဦး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</si>
  <si>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</si>
  <si>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၃၀၀၆၉</t>
    </r>
  </si>
  <si>
    <r>
      <rPr>
        <rFont val="Myanmar Sangam MN"/>
        <color theme="1"/>
        <sz val="10.0"/>
      </rPr>
      <t>၁၀၂၆၂</t>
    </r>
  </si>
  <si>
    <r>
      <rPr>
        <rFont val="Myanmar Sangam MN"/>
        <color theme="1"/>
        <sz val="10.0"/>
      </rPr>
      <t>၄၀၃၃၁</t>
    </r>
  </si>
  <si>
    <r>
      <rPr>
        <rFont val="Myanmar Sangam MN"/>
        <b/>
        <color theme="1"/>
        <sz val="9.0"/>
      </rPr>
      <t>၄၆.၈၆%</t>
    </r>
  </si>
  <si>
    <r>
      <rPr>
        <rFont val="Myanmar Sangam MN"/>
        <color theme="1"/>
        <sz val="10.0"/>
      </rPr>
      <t>ဦးစိန်ထွန်း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</si>
  <si>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</si>
  <si>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၁၈၄၇၀</t>
    </r>
  </si>
  <si>
    <r>
      <rPr>
        <rFont val="Myanmar Sangam MN"/>
        <color theme="1"/>
        <sz val="10.0"/>
      </rPr>
      <t>၈၄၅၄</t>
    </r>
  </si>
  <si>
    <r>
      <rPr>
        <rFont val="Myanmar Sangam MN"/>
        <color theme="1"/>
        <sz val="10.0"/>
      </rPr>
      <t>၂၆၉၂၄</t>
    </r>
  </si>
  <si>
    <r>
      <rPr>
        <rFont val="Myanmar Sangam MN"/>
        <b/>
        <color theme="1"/>
        <sz val="9.0"/>
      </rPr>
      <t>၃၁.၂၈%</t>
    </r>
  </si>
  <si>
    <r>
      <rPr>
        <rFont val="Myanmar Sangam MN"/>
        <color theme="1"/>
        <sz val="10.0"/>
      </rPr>
      <t>ဦးမင်းေအာင်မွန်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</si>
  <si>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</si>
  <si>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၁၀၉၈၀</t>
    </r>
  </si>
  <si>
    <r>
      <rPr>
        <rFont val="Myanmar Sangam MN"/>
        <color theme="1"/>
        <sz val="10.0"/>
      </rPr>
      <t>၆၄၇၉</t>
    </r>
  </si>
  <si>
    <r>
      <rPr>
        <rFont val="Myanmar Sangam MN"/>
        <color theme="1"/>
        <sz val="10.0"/>
      </rPr>
      <t>၁၇၄၅၉</t>
    </r>
  </si>
  <si>
    <r>
      <rPr>
        <rFont val="Myanmar Sangam MN"/>
        <b/>
        <color theme="1"/>
        <sz val="9.0"/>
      </rPr>
      <t>၂၀.၂၈%</t>
    </r>
  </si>
  <si>
    <r>
      <rPr>
        <rFont val="Myanmar Sangam MN"/>
        <color theme="1"/>
        <sz val="10.0"/>
      </rPr>
      <t>ေဒရဲြမသက်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</si>
  <si>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</si>
  <si>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၇၉၈</t>
    </r>
  </si>
  <si>
    <r>
      <rPr>
        <rFont val="Myanmar Sangam MN"/>
        <color theme="1"/>
        <sz val="10.0"/>
      </rPr>
      <t>၅၅၉</t>
    </r>
  </si>
  <si>
    <r>
      <rPr>
        <rFont val="Myanmar Sangam MN"/>
        <color theme="1"/>
        <sz val="10.0"/>
      </rPr>
      <t>၁၃၅၇</t>
    </r>
  </si>
  <si>
    <r>
      <rPr>
        <rFont val="Myanmar Sangam MN"/>
        <b/>
        <color theme="1"/>
        <sz val="9.0"/>
      </rPr>
      <t>၁.၅၈%</t>
    </r>
  </si>
  <si>
    <r>
      <rPr>
        <rFont val="Myanmar Sangam MN"/>
        <b/>
        <color theme="1"/>
        <sz val="10.0"/>
      </rPr>
      <t>၁၁၀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</si>
  <si>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</si>
  <si>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၁၃၂၅၅၂</t>
    </r>
  </si>
  <si>
    <r>
      <rPr>
        <rFont val="Myanmar Sangam MN"/>
        <b/>
        <color theme="1"/>
        <sz val="10.0"/>
      </rPr>
      <t>၅၁၂၉၉</t>
    </r>
  </si>
  <si>
    <r>
      <rPr>
        <rFont val="Myanmar Sangam MN"/>
        <b/>
        <color theme="1"/>
        <sz val="10.0"/>
      </rPr>
      <t>၂၂၆၉၀</t>
    </r>
  </si>
  <si>
    <r>
      <rPr>
        <rFont val="Myanmar Sangam MN"/>
        <b/>
        <color theme="1"/>
        <sz val="10.0"/>
      </rPr>
      <t>၇၃၉၈၉</t>
    </r>
  </si>
  <si>
    <r>
      <rPr>
        <rFont val="Myanmar Sangam MN"/>
        <b/>
        <color theme="1"/>
        <sz val="10.0"/>
      </rPr>
      <t>၅၅.၈၂</t>
    </r>
  </si>
  <si>
    <r>
      <rPr>
        <rFont val="Myanmar Sangam MN"/>
        <b/>
        <color theme="1"/>
        <sz val="10.0"/>
      </rPr>
      <t>၁၀၀၉</t>
    </r>
  </si>
  <si>
    <r>
      <rPr>
        <rFont val="Myanmar Sangam MN"/>
        <b/>
        <color theme="1"/>
        <sz val="10.0"/>
      </rPr>
      <t>-</t>
    </r>
  </si>
  <si>
    <r>
      <rPr>
        <rFont val="Myanmar Sangam MN"/>
        <b/>
        <color theme="1"/>
        <sz val="10.0"/>
      </rPr>
      <t>၁၀၀၉</t>
    </r>
  </si>
  <si>
    <r>
      <rPr>
        <rFont val="Myanmar Sangam MN"/>
        <b/>
        <color theme="1"/>
        <sz val="10.0"/>
      </rPr>
      <t>၅၀၃၅၇</t>
    </r>
  </si>
  <si>
    <r>
      <rPr>
        <rFont val="Myanmar Sangam MN"/>
        <b/>
        <color theme="1"/>
        <sz val="10.0"/>
      </rPr>
      <t>၂၂၆၂၃</t>
    </r>
  </si>
  <si>
    <r>
      <rPr>
        <rFont val="Myanmar Sangam MN"/>
        <b/>
        <color theme="1"/>
        <sz val="10.0"/>
      </rPr>
      <t>၇၂၉၈၀</t>
    </r>
  </si>
  <si>
    <r>
      <rPr>
        <rFont val="Myanmar Sangam MN"/>
        <color theme="1"/>
        <sz val="10.0"/>
      </rPr>
      <t>ဦးလင်းတင်ေဌး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</si>
  <si>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</si>
  <si>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၂၆၇၃၀</t>
    </r>
  </si>
  <si>
    <r>
      <rPr>
        <rFont val="Myanmar Sangam MN"/>
        <color theme="1"/>
        <sz val="10.0"/>
      </rPr>
      <t>၁၁၄၅၃</t>
    </r>
  </si>
  <si>
    <r>
      <rPr>
        <rFont val="Myanmar Sangam MN"/>
        <color theme="1"/>
        <sz val="10.0"/>
      </rPr>
      <t>၃၈၁၈၃</t>
    </r>
  </si>
  <si>
    <r>
      <rPr>
        <rFont val="Myanmar Sangam MN"/>
        <b/>
        <color theme="1"/>
        <sz val="9.0"/>
      </rPr>
      <t>၅၂.၃၂%</t>
    </r>
  </si>
  <si>
    <r>
      <rPr>
        <rFont val="Myanmar Sangam MN"/>
        <color theme="1"/>
        <sz val="10.0"/>
      </rPr>
      <t>ဦးသန်းိုင်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</si>
  <si>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</si>
  <si>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၁၃၂၇၁</t>
    </r>
  </si>
  <si>
    <r>
      <rPr>
        <rFont val="Myanmar Sangam MN"/>
        <color theme="1"/>
        <sz val="10.0"/>
      </rPr>
      <t>၅၀၆၂</t>
    </r>
  </si>
  <si>
    <r>
      <rPr>
        <rFont val="Myanmar Sangam MN"/>
        <color theme="1"/>
        <sz val="10.0"/>
      </rPr>
      <t>၁၈၃၃၃</t>
    </r>
  </si>
  <si>
    <r>
      <rPr>
        <rFont val="Myanmar Sangam MN"/>
        <b/>
        <color theme="1"/>
        <sz val="9.0"/>
      </rPr>
      <t>၂၅.၁၂%</t>
    </r>
  </si>
  <si>
    <r>
      <rPr>
        <rFont val="Myanmar Sangam MN"/>
        <color theme="1"/>
        <sz val="10.0"/>
      </rPr>
      <t>ေဒေဝေဝ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</si>
  <si>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</si>
  <si>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၉၇၆၁</t>
    </r>
  </si>
  <si>
    <r>
      <rPr>
        <rFont val="Myanmar Sangam MN"/>
        <color theme="1"/>
        <sz val="10.0"/>
      </rPr>
      <t>၅၆၁၃</t>
    </r>
  </si>
  <si>
    <r>
      <rPr>
        <rFont val="Myanmar Sangam MN"/>
        <color theme="1"/>
        <sz val="10.0"/>
      </rPr>
      <t>၁၅၃၇၄</t>
    </r>
  </si>
  <si>
    <r>
      <rPr>
        <rFont val="Myanmar Sangam MN"/>
        <b/>
        <color theme="1"/>
        <sz val="9.0"/>
      </rPr>
      <t>၂၁.၀၇%</t>
    </r>
  </si>
  <si>
    <r>
      <rPr>
        <rFont val="Myanmar Sangam MN"/>
        <color theme="1"/>
        <sz val="10.0"/>
      </rPr>
      <t>ဦးသန်းေဌး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</si>
  <si>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</si>
  <si>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၄၄၄</t>
    </r>
  </si>
  <si>
    <r>
      <rPr>
        <rFont val="Myanmar Sangam MN"/>
        <color theme="1"/>
        <sz val="10.0"/>
      </rPr>
      <t>၃၇၂</t>
    </r>
  </si>
  <si>
    <r>
      <rPr>
        <rFont val="Myanmar Sangam MN"/>
        <color theme="1"/>
        <sz val="10.0"/>
      </rPr>
      <t>၈၁၆</t>
    </r>
  </si>
  <si>
    <r>
      <rPr>
        <rFont val="Myanmar Sangam MN"/>
        <b/>
        <color theme="1"/>
        <sz val="9.0"/>
      </rPr>
      <t>၁.၁၁%</t>
    </r>
  </si>
  <si>
    <r>
      <rPr>
        <rFont val="Myanmar Sangam MN"/>
        <color theme="1"/>
        <sz val="10.0"/>
      </rPr>
      <t>ဦးြမဝင်း(ခ)ဦးဝင်းထွဋ်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</si>
  <si>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</si>
  <si>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၁၅၁</t>
    </r>
  </si>
  <si>
    <r>
      <rPr>
        <rFont val="Myanmar Sangam MN"/>
        <color theme="1"/>
        <sz val="10.0"/>
      </rPr>
      <t>၁၂၃</t>
    </r>
  </si>
  <si>
    <r>
      <rPr>
        <rFont val="Myanmar Sangam MN"/>
        <color theme="1"/>
        <sz val="10.0"/>
      </rPr>
      <t>၂၇၄</t>
    </r>
  </si>
  <si>
    <r>
      <rPr>
        <rFont val="Myanmar Sangam MN"/>
        <b/>
        <color theme="1"/>
        <sz val="9.0"/>
      </rPr>
      <t>၀.၃၈%</t>
    </r>
  </si>
  <si>
    <r>
      <rPr>
        <rFont val="Myanmar Sangam MN"/>
        <b/>
        <color theme="1"/>
        <sz val="10.0"/>
      </rPr>
      <t>၁၁၁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</si>
  <si>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</si>
  <si>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၁၈၂၃၀၂</t>
    </r>
  </si>
  <si>
    <r>
      <rPr>
        <rFont val="Myanmar Sangam MN"/>
        <b/>
        <color theme="1"/>
        <sz val="10.0"/>
      </rPr>
      <t>၇၂၃၄၈</t>
    </r>
  </si>
  <si>
    <r>
      <rPr>
        <rFont val="Myanmar Sangam MN"/>
        <b/>
        <color theme="1"/>
        <sz val="10.0"/>
      </rPr>
      <t>၃၁၃၃၂</t>
    </r>
  </si>
  <si>
    <r>
      <rPr>
        <rFont val="Myanmar Sangam MN"/>
        <b/>
        <color theme="1"/>
        <sz val="10.0"/>
      </rPr>
      <t>၁၀၃၆၈၀</t>
    </r>
  </si>
  <si>
    <r>
      <rPr>
        <rFont val="Myanmar Sangam MN"/>
        <b/>
        <color theme="1"/>
        <sz val="10.0"/>
      </rPr>
      <t>၅၆.၈၇</t>
    </r>
  </si>
  <si>
    <r>
      <rPr>
        <rFont val="Myanmar Sangam MN"/>
        <b/>
        <color theme="1"/>
        <sz val="10.0"/>
      </rPr>
      <t>၂၀၆၄</t>
    </r>
  </si>
  <si>
    <r>
      <rPr>
        <rFont val="Myanmar Sangam MN"/>
        <b/>
        <color theme="1"/>
        <sz val="10.0"/>
      </rPr>
      <t>၂၄</t>
    </r>
  </si>
  <si>
    <r>
      <rPr>
        <rFont val="Myanmar Sangam MN"/>
        <b/>
        <color theme="1"/>
        <sz val="10.0"/>
      </rPr>
      <t>၂၀၈၈</t>
    </r>
  </si>
  <si>
    <r>
      <rPr>
        <rFont val="Myanmar Sangam MN"/>
        <b/>
        <color theme="1"/>
        <sz val="10.0"/>
      </rPr>
      <t>၇၀၈၆၁</t>
    </r>
  </si>
  <si>
    <r>
      <rPr>
        <rFont val="Myanmar Sangam MN"/>
        <b/>
        <color theme="1"/>
        <sz val="10.0"/>
      </rPr>
      <t>၃၀၇၃၁</t>
    </r>
  </si>
  <si>
    <r>
      <rPr>
        <rFont val="Myanmar Sangam MN"/>
        <b/>
        <color theme="1"/>
        <sz val="10.0"/>
      </rPr>
      <t>၁၀၁၅၉၂</t>
    </r>
  </si>
  <si>
    <r>
      <rPr>
        <rFont val="Myanmar Sangam MN"/>
        <color theme="1"/>
        <sz val="10.0"/>
      </rPr>
      <t>ဦးေဌးိုင်(ခ)နာဲအမ်သဝ်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</si>
  <si>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</si>
  <si>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၃၁၃၇၇</t>
    </r>
  </si>
  <si>
    <r>
      <rPr>
        <rFont val="Myanmar Sangam MN"/>
        <color theme="1"/>
        <sz val="10.0"/>
      </rPr>
      <t>၁၃၅၄၁</t>
    </r>
  </si>
  <si>
    <r>
      <rPr>
        <rFont val="Myanmar Sangam MN"/>
        <color theme="1"/>
        <sz val="10.0"/>
      </rPr>
      <t>၄၄၉၁၈</t>
    </r>
  </si>
  <si>
    <r>
      <rPr>
        <rFont val="Myanmar Sangam MN"/>
        <b/>
        <color theme="1"/>
        <sz val="9.0"/>
      </rPr>
      <t>၄၄.၂၁%</t>
    </r>
  </si>
  <si>
    <r>
      <rPr>
        <rFont val="Myanmar Sangam MN"/>
        <color theme="1"/>
        <sz val="10.0"/>
      </rPr>
      <t>ေဒတင်မွန်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</si>
  <si>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</si>
  <si>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၃၁၁၅၈</t>
    </r>
  </si>
  <si>
    <r>
      <rPr>
        <rFont val="Myanmar Sangam MN"/>
        <color theme="1"/>
        <sz val="10.0"/>
      </rPr>
      <t>၁၁၈၆၁</t>
    </r>
  </si>
  <si>
    <r>
      <rPr>
        <rFont val="Myanmar Sangam MN"/>
        <color theme="1"/>
        <sz val="10.0"/>
      </rPr>
      <t>၄၃၀၁၉</t>
    </r>
  </si>
  <si>
    <r>
      <rPr>
        <rFont val="Myanmar Sangam MN"/>
        <b/>
        <color theme="1"/>
        <sz val="9.0"/>
      </rPr>
      <t>၄၂.၃၅%</t>
    </r>
  </si>
  <si>
    <r>
      <rPr>
        <rFont val="Myanmar Sangam MN"/>
        <color theme="1"/>
        <sz val="10.0"/>
      </rPr>
      <t>ဦးေဇာ်ြမင့်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</si>
  <si>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</si>
  <si>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၇၈၆၆</t>
    </r>
  </si>
  <si>
    <r>
      <rPr>
        <rFont val="Myanmar Sangam MN"/>
        <color theme="1"/>
        <sz val="10.0"/>
      </rPr>
      <t>၄၉၂၆</t>
    </r>
  </si>
  <si>
    <r>
      <rPr>
        <rFont val="Myanmar Sangam MN"/>
        <color theme="1"/>
        <sz val="10.0"/>
      </rPr>
      <t>၁၂၇၉၂</t>
    </r>
  </si>
  <si>
    <r>
      <rPr>
        <rFont val="Myanmar Sangam MN"/>
        <b/>
        <color theme="1"/>
        <sz val="9.0"/>
      </rPr>
      <t>၁၂.၅၉%</t>
    </r>
  </si>
  <si>
    <r>
      <rPr>
        <rFont val="Myanmar Sangam MN"/>
        <color theme="1"/>
        <sz val="10.0"/>
      </rPr>
      <t>ဦးာဏ်ထွန်း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</si>
  <si>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</si>
  <si>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၂၉၉</t>
    </r>
  </si>
  <si>
    <r>
      <rPr>
        <rFont val="Myanmar Sangam MN"/>
        <color theme="1"/>
        <sz val="10.0"/>
      </rPr>
      <t>၂၆၁</t>
    </r>
  </si>
  <si>
    <r>
      <rPr>
        <rFont val="Myanmar Sangam MN"/>
        <color theme="1"/>
        <sz val="10.0"/>
      </rPr>
      <t>၅၆၀</t>
    </r>
  </si>
  <si>
    <r>
      <rPr>
        <rFont val="Myanmar Sangam MN"/>
        <b/>
        <color theme="1"/>
        <sz val="9.0"/>
      </rPr>
      <t>၀.၅၅%</t>
    </r>
  </si>
  <si>
    <r>
      <rPr>
        <rFont val="Myanmar Sangam MN"/>
        <color theme="1"/>
        <sz val="10.0"/>
      </rPr>
      <t>ဦးေအာင်ဘန်း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</si>
  <si>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</si>
  <si>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၁၆၁</t>
    </r>
  </si>
  <si>
    <r>
      <rPr>
        <rFont val="Myanmar Sangam MN"/>
        <color theme="1"/>
        <sz val="10.0"/>
      </rPr>
      <t>၁၄၂</t>
    </r>
  </si>
  <si>
    <r>
      <rPr>
        <rFont val="Myanmar Sangam MN"/>
        <color theme="1"/>
        <sz val="10.0"/>
      </rPr>
      <t>၃၀၃</t>
    </r>
  </si>
  <si>
    <r>
      <rPr>
        <rFont val="Myanmar Sangam MN"/>
        <b/>
        <color theme="1"/>
        <sz val="9.0"/>
      </rPr>
      <t>၀.၃၀%</t>
    </r>
  </si>
  <si>
    <r>
      <rPr>
        <rFont val="Myanmar Sangam MN"/>
        <b/>
        <color theme="1"/>
        <sz val="10.0"/>
      </rPr>
      <t>၁၁၂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</si>
  <si>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</si>
  <si>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၁၂၅၀၁၃</t>
    </r>
  </si>
  <si>
    <r>
      <rPr>
        <rFont val="Myanmar Sangam MN"/>
        <b/>
        <color theme="1"/>
        <sz val="10.0"/>
      </rPr>
      <t>၅၇၂၅၆</t>
    </r>
  </si>
  <si>
    <r>
      <rPr>
        <rFont val="Myanmar Sangam MN"/>
        <b/>
        <color theme="1"/>
        <sz val="10.0"/>
      </rPr>
      <t>၂၀၇၃၉</t>
    </r>
  </si>
  <si>
    <r>
      <rPr>
        <rFont val="Myanmar Sangam MN"/>
        <b/>
        <color theme="1"/>
        <sz val="10.0"/>
      </rPr>
      <t>၇၇၉၉၅</t>
    </r>
  </si>
  <si>
    <r>
      <rPr>
        <rFont val="Myanmar Sangam MN"/>
        <b/>
        <color theme="1"/>
        <sz val="10.0"/>
      </rPr>
      <t>၆၂.၃၉</t>
    </r>
  </si>
  <si>
    <r>
      <rPr>
        <rFont val="Myanmar Sangam MN"/>
        <b/>
        <color theme="1"/>
        <sz val="10.0"/>
      </rPr>
      <t>၈၄၇</t>
    </r>
  </si>
  <si>
    <r>
      <rPr>
        <rFont val="Myanmar Sangam MN"/>
        <b/>
        <color theme="1"/>
        <sz val="10.0"/>
      </rPr>
      <t>၃၃</t>
    </r>
  </si>
  <si>
    <r>
      <rPr>
        <rFont val="Myanmar Sangam MN"/>
        <b/>
        <color theme="1"/>
        <sz val="10.0"/>
      </rPr>
      <t>၈၈၀</t>
    </r>
  </si>
  <si>
    <r>
      <rPr>
        <rFont val="Myanmar Sangam MN"/>
        <b/>
        <color theme="1"/>
        <sz val="10.0"/>
      </rPr>
      <t>၅၆၃၉၀</t>
    </r>
  </si>
  <si>
    <r>
      <rPr>
        <rFont val="Myanmar Sangam MN"/>
        <b/>
        <color theme="1"/>
        <sz val="10.0"/>
      </rPr>
      <t>၂၀၇၂၅</t>
    </r>
  </si>
  <si>
    <r>
      <rPr>
        <rFont val="Myanmar Sangam MN"/>
        <b/>
        <color theme="1"/>
        <sz val="10.0"/>
      </rPr>
      <t>၇၇၁၁၅</t>
    </r>
  </si>
  <si>
    <r>
      <rPr>
        <rFont val="Myanmar Sangam MN"/>
        <color theme="1"/>
        <sz val="10.0"/>
      </rPr>
      <t>ဦးေအးမင်းဟန်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</si>
  <si>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</si>
  <si>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၄၄၃၀၂</t>
    </r>
  </si>
  <si>
    <r>
      <rPr>
        <rFont val="Myanmar Sangam MN"/>
        <color theme="1"/>
        <sz val="10.0"/>
      </rPr>
      <t>၁၅၂၁၃</t>
    </r>
  </si>
  <si>
    <r>
      <rPr>
        <rFont val="Myanmar Sangam MN"/>
        <color theme="1"/>
        <sz val="10.0"/>
      </rPr>
      <t>၅၉၅၁၅</t>
    </r>
  </si>
  <si>
    <r>
      <rPr>
        <rFont val="Myanmar Sangam MN"/>
        <b/>
        <color theme="1"/>
        <sz val="9.0"/>
      </rPr>
      <t>၇၇.၁၈%</t>
    </r>
  </si>
  <si>
    <r>
      <rPr>
        <rFont val="Myanmar Sangam MN"/>
        <color theme="1"/>
        <sz val="10.0"/>
      </rPr>
      <t>ေဒခင်ြမင့်ေထွး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</si>
  <si>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</si>
  <si>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၆၄၈၅</t>
    </r>
  </si>
  <si>
    <r>
      <rPr>
        <rFont val="Myanmar Sangam MN"/>
        <color theme="1"/>
        <sz val="10.0"/>
      </rPr>
      <t>၃၂၄၅</t>
    </r>
  </si>
  <si>
    <r>
      <rPr>
        <rFont val="Myanmar Sangam MN"/>
        <color theme="1"/>
        <sz val="10.0"/>
      </rPr>
      <t>၉၇၃၀</t>
    </r>
  </si>
  <si>
    <r>
      <rPr>
        <rFont val="Myanmar Sangam MN"/>
        <b/>
        <color theme="1"/>
        <sz val="9.0"/>
      </rPr>
      <t>၁၂.၆၂%</t>
    </r>
  </si>
  <si>
    <r>
      <rPr>
        <rFont val="Myanmar Sangam MN"/>
        <color theme="1"/>
        <sz val="10.0"/>
      </rPr>
      <t>ေဒေဆွေဆွထက်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</si>
  <si>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</si>
  <si>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၅၂၉၃</t>
    </r>
  </si>
  <si>
    <r>
      <rPr>
        <rFont val="Myanmar Sangam MN"/>
        <color theme="1"/>
        <sz val="10.0"/>
      </rPr>
      <t>၂၁၂၁</t>
    </r>
  </si>
  <si>
    <r>
      <rPr>
        <rFont val="Myanmar Sangam MN"/>
        <color theme="1"/>
        <sz val="10.0"/>
      </rPr>
      <t>၇၄၁၄</t>
    </r>
  </si>
  <si>
    <r>
      <rPr>
        <rFont val="Myanmar Sangam MN"/>
        <b/>
        <color theme="1"/>
        <sz val="9.0"/>
      </rPr>
      <t>၉.၆၁%</t>
    </r>
  </si>
  <si>
    <r>
      <rPr>
        <rFont val="Myanmar Sangam MN"/>
        <color theme="1"/>
        <sz val="10.0"/>
      </rPr>
      <t>ဦးမျးိ မင်းေအာင်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</si>
  <si>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</si>
  <si>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၃၁၀</t>
    </r>
  </si>
  <si>
    <r>
      <rPr>
        <rFont val="Myanmar Sangam MN"/>
        <color theme="1"/>
        <sz val="10.0"/>
      </rPr>
      <t>၁၄၆</t>
    </r>
  </si>
  <si>
    <r>
      <rPr>
        <rFont val="Myanmar Sangam MN"/>
        <color theme="1"/>
        <sz val="10.0"/>
      </rPr>
      <t>၄၅၆</t>
    </r>
  </si>
  <si>
    <r>
      <rPr>
        <rFont val="Myanmar Sangam MN"/>
        <b/>
        <color theme="1"/>
        <sz val="9.0"/>
      </rPr>
      <t>၀.၅၉%</t>
    </r>
  </si>
  <si>
    <r>
      <rPr>
        <rFont val="Myanmar Sangam MN"/>
        <b/>
        <color theme="1"/>
        <sz val="10.0"/>
      </rPr>
      <t>၁၁၃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</si>
  <si>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</si>
  <si>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၁၂၃၁၃၂</t>
    </r>
  </si>
  <si>
    <r>
      <rPr>
        <rFont val="Myanmar Sangam MN"/>
        <b/>
        <color theme="1"/>
        <sz val="10.0"/>
      </rPr>
      <t>၅၇၇၅၆</t>
    </r>
  </si>
  <si>
    <r>
      <rPr>
        <rFont val="Myanmar Sangam MN"/>
        <b/>
        <color theme="1"/>
        <sz val="10.0"/>
      </rPr>
      <t>၂၀၁၂၀</t>
    </r>
  </si>
  <si>
    <r>
      <rPr>
        <rFont val="Myanmar Sangam MN"/>
        <b/>
        <color theme="1"/>
        <sz val="10.0"/>
      </rPr>
      <t>၇၇၈၇၆</t>
    </r>
  </si>
  <si>
    <r>
      <rPr>
        <rFont val="Myanmar Sangam MN"/>
        <b/>
        <color theme="1"/>
        <sz val="10.0"/>
      </rPr>
      <t>၆၃.၂၅</t>
    </r>
  </si>
  <si>
    <r>
      <rPr>
        <rFont val="Myanmar Sangam MN"/>
        <b/>
        <color theme="1"/>
        <sz val="10.0"/>
      </rPr>
      <t>၁၁၄၁</t>
    </r>
  </si>
  <si>
    <r>
      <rPr>
        <rFont val="Myanmar Sangam MN"/>
        <b/>
        <color theme="1"/>
        <sz val="10.0"/>
      </rPr>
      <t>၇၃</t>
    </r>
  </si>
  <si>
    <r>
      <rPr>
        <rFont val="Myanmar Sangam MN"/>
        <b/>
        <color theme="1"/>
        <sz val="10.0"/>
      </rPr>
      <t>၁၂၁၄</t>
    </r>
  </si>
  <si>
    <r>
      <rPr>
        <rFont val="Myanmar Sangam MN"/>
        <b/>
        <color theme="1"/>
        <sz val="10.0"/>
      </rPr>
      <t>၅၆၅၅၀</t>
    </r>
  </si>
  <si>
    <r>
      <rPr>
        <rFont val="Myanmar Sangam MN"/>
        <b/>
        <color theme="1"/>
        <sz val="10.0"/>
      </rPr>
      <t>၂၀၁၁၂</t>
    </r>
  </si>
  <si>
    <r>
      <rPr>
        <rFont val="Myanmar Sangam MN"/>
        <b/>
        <color theme="1"/>
        <sz val="10.0"/>
      </rPr>
      <t>၇၆၆၆၂</t>
    </r>
  </si>
  <si>
    <r>
      <rPr>
        <rFont val="Myanmar Sangam MN"/>
        <color theme="1"/>
        <sz val="10.0"/>
      </rPr>
      <t>ဦးကိုကိုဦး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</si>
  <si>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</si>
  <si>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၃၉၀၈၆</t>
    </r>
  </si>
  <si>
    <r>
      <rPr>
        <rFont val="Myanmar Sangam MN"/>
        <color theme="1"/>
        <sz val="10.0"/>
      </rPr>
      <t>၁၁၈၁၁</t>
    </r>
  </si>
  <si>
    <r>
      <rPr>
        <rFont val="Myanmar Sangam MN"/>
        <color theme="1"/>
        <sz val="10.0"/>
      </rPr>
      <t>၅၀၈၉၇</t>
    </r>
  </si>
  <si>
    <r>
      <rPr>
        <rFont val="Myanmar Sangam MN"/>
        <b/>
        <color theme="1"/>
        <sz val="9.0"/>
      </rPr>
      <t>၆၆.၃၉%</t>
    </r>
  </si>
  <si>
    <r>
      <rPr>
        <rFont val="Myanmar Sangam MN"/>
        <color theme="1"/>
        <sz val="10.0"/>
      </rPr>
      <t>ဦးစိုးထွန်း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</si>
  <si>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</si>
  <si>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၁၁၂၆၁</t>
    </r>
  </si>
  <si>
    <r>
      <rPr>
        <rFont val="Myanmar Sangam MN"/>
        <color theme="1"/>
        <sz val="10.0"/>
      </rPr>
      <t>၅၇၂၅</t>
    </r>
  </si>
  <si>
    <r>
      <rPr>
        <rFont val="Myanmar Sangam MN"/>
        <color theme="1"/>
        <sz val="10.0"/>
      </rPr>
      <t>၁၆၉၈၆</t>
    </r>
  </si>
  <si>
    <r>
      <rPr>
        <rFont val="Myanmar Sangam MN"/>
        <b/>
        <color theme="1"/>
        <sz val="9.0"/>
      </rPr>
      <t>၂၂.၁၆%</t>
    </r>
  </si>
  <si>
    <r>
      <rPr>
        <rFont val="Myanmar Sangam MN"/>
        <color theme="1"/>
        <sz val="10.0"/>
      </rPr>
      <t>ေဒါက်တာကင်စွမ်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</si>
  <si>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</si>
  <si>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၅၅၈၈</t>
    </r>
  </si>
  <si>
    <r>
      <rPr>
        <rFont val="Myanmar Sangam MN"/>
        <color theme="1"/>
        <sz val="10.0"/>
      </rPr>
      <t>၂၂၇၆</t>
    </r>
  </si>
  <si>
    <r>
      <rPr>
        <rFont val="Myanmar Sangam MN"/>
        <color theme="1"/>
        <sz val="10.0"/>
      </rPr>
      <t>၇၈၆၄</t>
    </r>
  </si>
  <si>
    <r>
      <rPr>
        <rFont val="Myanmar Sangam MN"/>
        <b/>
        <color theme="1"/>
        <sz val="9.0"/>
      </rPr>
      <t>၁၀.၂၆%</t>
    </r>
  </si>
  <si>
    <r>
      <rPr>
        <rFont val="Myanmar Sangam MN"/>
        <color theme="1"/>
        <sz val="10.0"/>
      </rPr>
      <t>ဦးေအာင်ကိုကို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</si>
  <si>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</si>
  <si>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၅၀၉</t>
    </r>
  </si>
  <si>
    <r>
      <rPr>
        <rFont val="Myanmar Sangam MN"/>
        <color theme="1"/>
        <sz val="10.0"/>
      </rPr>
      <t>၂၁၉</t>
    </r>
  </si>
  <si>
    <r>
      <rPr>
        <rFont val="Myanmar Sangam MN"/>
        <color theme="1"/>
        <sz val="10.0"/>
      </rPr>
      <t>၇၂၈</t>
    </r>
  </si>
  <si>
    <r>
      <rPr>
        <rFont val="Myanmar Sangam MN"/>
        <b/>
        <color theme="1"/>
        <sz val="9.0"/>
      </rPr>
      <t>၀.၉၅%</t>
    </r>
  </si>
  <si>
    <r>
      <rPr>
        <rFont val="Myanmar Sangam MN"/>
        <color theme="1"/>
        <sz val="10.0"/>
      </rPr>
      <t>ဦးလှဦး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</si>
  <si>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</si>
  <si>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၁၀၆</t>
    </r>
  </si>
  <si>
    <r>
      <rPr>
        <rFont val="Myanmar Sangam MN"/>
        <color theme="1"/>
        <sz val="10.0"/>
      </rPr>
      <t>၈၁</t>
    </r>
  </si>
  <si>
    <r>
      <rPr>
        <rFont val="Myanmar Sangam MN"/>
        <color theme="1"/>
        <sz val="10.0"/>
      </rPr>
      <t>၁၈၇</t>
    </r>
  </si>
  <si>
    <r>
      <rPr>
        <rFont val="Myanmar Sangam MN"/>
        <b/>
        <color theme="1"/>
        <sz val="9.0"/>
      </rPr>
      <t>၀.၂၄%</t>
    </r>
  </si>
  <si>
    <r>
      <rPr>
        <rFont val="Myanmar Sangam MN"/>
        <b/>
        <color theme="1"/>
        <sz val="10.0"/>
      </rPr>
      <t>၁၁၄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</si>
  <si>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</si>
  <si>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၁၁၆၉၅၃</t>
    </r>
  </si>
  <si>
    <r>
      <rPr>
        <rFont val="Myanmar Sangam MN"/>
        <b/>
        <color theme="1"/>
        <sz val="10.0"/>
      </rPr>
      <t>၄၃၈၁၂</t>
    </r>
  </si>
  <si>
    <r>
      <rPr>
        <rFont val="Myanmar Sangam MN"/>
        <b/>
        <color theme="1"/>
        <sz val="10.0"/>
      </rPr>
      <t>၁၂၈၁၈</t>
    </r>
  </si>
  <si>
    <r>
      <rPr>
        <rFont val="Myanmar Sangam MN"/>
        <b/>
        <color theme="1"/>
        <sz val="10.0"/>
      </rPr>
      <t>၅၆၆၃၀</t>
    </r>
  </si>
  <si>
    <r>
      <rPr>
        <rFont val="Myanmar Sangam MN"/>
        <b/>
        <color theme="1"/>
        <sz val="10.0"/>
      </rPr>
      <t>၄၈.၄၂</t>
    </r>
  </si>
  <si>
    <r>
      <rPr>
        <rFont val="Myanmar Sangam MN"/>
        <b/>
        <color theme="1"/>
        <sz val="10.0"/>
      </rPr>
      <t>၂၉၄၂</t>
    </r>
  </si>
  <si>
    <r>
      <rPr>
        <rFont val="Myanmar Sangam MN"/>
        <b/>
        <color theme="1"/>
        <sz val="10.0"/>
      </rPr>
      <t>၄၇</t>
    </r>
  </si>
  <si>
    <r>
      <rPr>
        <rFont val="Myanmar Sangam MN"/>
        <b/>
        <color theme="1"/>
        <sz val="10.0"/>
      </rPr>
      <t>၂၉၈၉</t>
    </r>
  </si>
  <si>
    <r>
      <rPr>
        <rFont val="Myanmar Sangam MN"/>
        <b/>
        <color theme="1"/>
        <sz val="10.0"/>
      </rPr>
      <t>၄၁၂၂၇</t>
    </r>
  </si>
  <si>
    <r>
      <rPr>
        <rFont val="Myanmar Sangam MN"/>
        <b/>
        <color theme="1"/>
        <sz val="10.0"/>
      </rPr>
      <t>၁၂၄၁၄</t>
    </r>
  </si>
  <si>
    <r>
      <rPr>
        <rFont val="Myanmar Sangam MN"/>
        <b/>
        <color theme="1"/>
        <sz val="10.0"/>
      </rPr>
      <t>၅၃၆၄၁</t>
    </r>
  </si>
  <si>
    <r>
      <rPr>
        <rFont val="Myanmar Sangam MN"/>
        <color theme="1"/>
        <sz val="10.0"/>
      </rPr>
      <t>ိုင်သီဟ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</si>
  <si>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</si>
  <si>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၁၉၈၃၇</t>
    </r>
  </si>
  <si>
    <r>
      <rPr>
        <rFont val="Myanmar Sangam MN"/>
        <color theme="1"/>
        <sz val="10.0"/>
      </rPr>
      <t>၆၀၄၄</t>
    </r>
  </si>
  <si>
    <r>
      <rPr>
        <rFont val="Myanmar Sangam MN"/>
        <color theme="1"/>
        <sz val="10.0"/>
      </rPr>
      <t>၂၅၈၈၁</t>
    </r>
  </si>
  <si>
    <r>
      <rPr>
        <rFont val="Myanmar Sangam MN"/>
        <b/>
        <color theme="1"/>
        <sz val="9.0"/>
      </rPr>
      <t>၄၈.၂၅%</t>
    </r>
  </si>
  <si>
    <r>
      <rPr>
        <rFont val="Myanmar Sangam MN"/>
        <color theme="1"/>
        <sz val="10.0"/>
      </rPr>
      <t>ဦးြမေသာင်း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</si>
  <si>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</si>
  <si>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၁၂၄၉၄</t>
    </r>
  </si>
  <si>
    <r>
      <rPr>
        <rFont val="Myanmar Sangam MN"/>
        <color theme="1"/>
        <sz val="10.0"/>
      </rPr>
      <t>၃၅၅၄</t>
    </r>
  </si>
  <si>
    <r>
      <rPr>
        <rFont val="Myanmar Sangam MN"/>
        <color theme="1"/>
        <sz val="10.0"/>
      </rPr>
      <t>၁၆၀၄၈</t>
    </r>
  </si>
  <si>
    <r>
      <rPr>
        <rFont val="Myanmar Sangam MN"/>
        <b/>
        <color theme="1"/>
        <sz val="9.0"/>
      </rPr>
      <t>၂၉.၉၂%</t>
    </r>
  </si>
  <si>
    <r>
      <rPr>
        <rFont val="Myanmar Sangam MN"/>
        <color rgb="FF000000"/>
        <sz val="10.0"/>
      </rPr>
      <t xml:space="preserve">ဦးမျးိ ေအာင်(ခ)
</t>
    </r>
    <r>
      <rPr>
        <rFont val="Myanmar Sangam MN"/>
        <color rgb="FF000000"/>
        <sz val="10.0"/>
      </rPr>
      <t>ိုင်မျးိ ေအာင်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</si>
  <si>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</si>
  <si>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၃၈၄၄</t>
    </r>
  </si>
  <si>
    <r>
      <rPr>
        <rFont val="Myanmar Sangam MN"/>
        <color theme="1"/>
        <sz val="10.0"/>
      </rPr>
      <t>၈၉၄</t>
    </r>
  </si>
  <si>
    <r>
      <rPr>
        <rFont val="Myanmar Sangam MN"/>
        <color theme="1"/>
        <sz val="10.0"/>
      </rPr>
      <t>၄၇၃၈</t>
    </r>
  </si>
  <si>
    <r>
      <rPr>
        <rFont val="Myanmar Sangam MN"/>
        <b/>
        <color theme="1"/>
        <sz val="9.0"/>
      </rPr>
      <t>၈.၈၃%</t>
    </r>
  </si>
  <si>
    <r>
      <rPr>
        <rFont val="Myanmar Sangam MN"/>
        <color theme="1"/>
        <sz val="10.0"/>
      </rPr>
      <t>ေစာဖိုးချစ်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</si>
  <si>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</si>
  <si>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၂၉၂၂</t>
    </r>
  </si>
  <si>
    <r>
      <rPr>
        <rFont val="Myanmar Sangam MN"/>
        <color theme="1"/>
        <sz val="10.0"/>
      </rPr>
      <t>၁၁၀၉</t>
    </r>
  </si>
  <si>
    <r>
      <rPr>
        <rFont val="Myanmar Sangam MN"/>
        <color theme="1"/>
        <sz val="10.0"/>
      </rPr>
      <t>၄၀၃၁</t>
    </r>
  </si>
  <si>
    <r>
      <rPr>
        <rFont val="Myanmar Sangam MN"/>
        <b/>
        <color theme="1"/>
        <sz val="9.0"/>
      </rPr>
      <t>၇.၅၂%</t>
    </r>
  </si>
  <si>
    <r>
      <rPr>
        <rFont val="Myanmar Sangam MN"/>
        <color theme="1"/>
        <sz val="10.0"/>
      </rPr>
      <t>ဦးဗညားေအာင်ခိုင်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</si>
  <si>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</si>
  <si>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၁၀၂၈</t>
    </r>
  </si>
  <si>
    <r>
      <rPr>
        <rFont val="Myanmar Sangam MN"/>
        <color theme="1"/>
        <sz val="10.0"/>
      </rPr>
      <t>၄၀၉</t>
    </r>
  </si>
  <si>
    <r>
      <rPr>
        <rFont val="Myanmar Sangam MN"/>
        <color theme="1"/>
        <sz val="10.0"/>
      </rPr>
      <t>၁၄၃၇</t>
    </r>
  </si>
  <si>
    <r>
      <rPr>
        <rFont val="Myanmar Sangam MN"/>
        <b/>
        <color theme="1"/>
        <sz val="9.0"/>
      </rPr>
      <t>၂.၆၈%</t>
    </r>
  </si>
  <si>
    <r>
      <rPr>
        <rFont val="Myanmar Sangam MN"/>
        <color theme="1"/>
        <sz val="10.0"/>
      </rPr>
      <t>ဦးေအာင်ိုင်ဝင်း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</si>
  <si>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</si>
  <si>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၈၆၃</t>
    </r>
  </si>
  <si>
    <r>
      <rPr>
        <rFont val="Myanmar Sangam MN"/>
        <color theme="1"/>
        <sz val="10.0"/>
      </rPr>
      <t>၂၉၂</t>
    </r>
  </si>
  <si>
    <r>
      <rPr>
        <rFont val="Myanmar Sangam MN"/>
        <color theme="1"/>
        <sz val="10.0"/>
      </rPr>
      <t>၁၁၅၅</t>
    </r>
  </si>
  <si>
    <r>
      <rPr>
        <rFont val="Myanmar Sangam MN"/>
        <b/>
        <color theme="1"/>
        <sz val="9.0"/>
      </rPr>
      <t>၂.၁၅%</t>
    </r>
  </si>
  <si>
    <r>
      <rPr>
        <rFont val="Myanmar Sangam MN"/>
        <color theme="1"/>
        <sz val="10.0"/>
      </rPr>
      <t>ဦးဟန်စိန်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</si>
  <si>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</si>
  <si>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၂၃၉</t>
    </r>
  </si>
  <si>
    <r>
      <rPr>
        <rFont val="Myanmar Sangam MN"/>
        <color theme="1"/>
        <sz val="10.0"/>
      </rPr>
      <t>၁၁၂</t>
    </r>
  </si>
  <si>
    <r>
      <rPr>
        <rFont val="Myanmar Sangam MN"/>
        <color theme="1"/>
        <sz val="10.0"/>
      </rPr>
      <t>၃၅၁</t>
    </r>
  </si>
  <si>
    <r>
      <rPr>
        <rFont val="Myanmar Sangam MN"/>
        <b/>
        <color theme="1"/>
        <sz val="9.0"/>
      </rPr>
      <t>၀.၆၅%</t>
    </r>
  </si>
  <si>
    <r>
      <rPr>
        <rFont val="Myanmar Sangam MN"/>
        <b/>
        <color theme="1"/>
        <sz val="10.0"/>
      </rPr>
      <t>၁၁၅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</si>
  <si>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</si>
  <si>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၁၁၈၆၃၉</t>
    </r>
  </si>
  <si>
    <r>
      <rPr>
        <rFont val="Myanmar Sangam MN"/>
        <b/>
        <color theme="1"/>
        <sz val="10.0"/>
      </rPr>
      <t>၅၃၈၆၈</t>
    </r>
  </si>
  <si>
    <r>
      <rPr>
        <rFont val="Myanmar Sangam MN"/>
        <b/>
        <color theme="1"/>
        <sz val="10.0"/>
      </rPr>
      <t>၁၆၅၃၅</t>
    </r>
  </si>
  <si>
    <r>
      <rPr>
        <rFont val="Myanmar Sangam MN"/>
        <b/>
        <color theme="1"/>
        <sz val="10.0"/>
      </rPr>
      <t>၇၀၄၀၃</t>
    </r>
  </si>
  <si>
    <r>
      <rPr>
        <rFont val="Myanmar Sangam MN"/>
        <b/>
        <color theme="1"/>
        <sz val="10.0"/>
      </rPr>
      <t>၅၉.၃၄</t>
    </r>
  </si>
  <si>
    <r>
      <rPr>
        <rFont val="Myanmar Sangam MN"/>
        <b/>
        <color theme="1"/>
        <sz val="10.0"/>
      </rPr>
      <t>၁၅၉၅</t>
    </r>
  </si>
  <si>
    <r>
      <rPr>
        <rFont val="Myanmar Sangam MN"/>
        <b/>
        <color theme="1"/>
        <sz val="10.0"/>
      </rPr>
      <t>၅၄</t>
    </r>
  </si>
  <si>
    <r>
      <rPr>
        <rFont val="Myanmar Sangam MN"/>
        <b/>
        <color theme="1"/>
        <sz val="10.0"/>
      </rPr>
      <t>၁၆၄၉</t>
    </r>
  </si>
  <si>
    <r>
      <rPr>
        <rFont val="Myanmar Sangam MN"/>
        <b/>
        <color theme="1"/>
        <sz val="10.0"/>
      </rPr>
      <t>၅၂၄၉၄</t>
    </r>
  </si>
  <si>
    <r>
      <rPr>
        <rFont val="Myanmar Sangam MN"/>
        <b/>
        <color theme="1"/>
        <sz val="10.0"/>
      </rPr>
      <t>၁၆၂၆၀</t>
    </r>
  </si>
  <si>
    <r>
      <rPr>
        <rFont val="Myanmar Sangam MN"/>
        <b/>
        <color theme="1"/>
        <sz val="10.0"/>
      </rPr>
      <t>၆၈၇၅၄</t>
    </r>
  </si>
  <si>
    <r>
      <rPr>
        <rFont val="Myanmar Sangam MN"/>
        <color theme="1"/>
        <sz val="10.0"/>
      </rPr>
      <t>မိလဝီဟန်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</si>
  <si>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</si>
  <si>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၂၄၆၂၁</t>
    </r>
  </si>
  <si>
    <r>
      <rPr>
        <rFont val="Myanmar Sangam MN"/>
        <color theme="1"/>
        <sz val="10.0"/>
      </rPr>
      <t>၇၉၆၇</t>
    </r>
  </si>
  <si>
    <r>
      <rPr>
        <rFont val="Myanmar Sangam MN"/>
        <color theme="1"/>
        <sz val="10.0"/>
      </rPr>
      <t>၃၂၅၈၈</t>
    </r>
  </si>
  <si>
    <r>
      <rPr>
        <rFont val="Myanmar Sangam MN"/>
        <b/>
        <color theme="1"/>
        <sz val="9.0"/>
      </rPr>
      <t>၄၇.၄၀%</t>
    </r>
  </si>
  <si>
    <r>
      <rPr>
        <rFont val="Myanmar Sangam MN"/>
        <color theme="1"/>
        <sz val="10.0"/>
      </rPr>
      <t>ေဒအိအိ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</si>
  <si>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</si>
  <si>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၂၃၅၇၁</t>
    </r>
  </si>
  <si>
    <r>
      <rPr>
        <rFont val="Myanmar Sangam MN"/>
        <color theme="1"/>
        <sz val="10.0"/>
      </rPr>
      <t>၆၆၁၃</t>
    </r>
  </si>
  <si>
    <r>
      <rPr>
        <rFont val="Myanmar Sangam MN"/>
        <color theme="1"/>
        <sz val="10.0"/>
      </rPr>
      <t>၃၀၁၈၄</t>
    </r>
  </si>
  <si>
    <r>
      <rPr>
        <rFont val="Myanmar Sangam MN"/>
        <b/>
        <color theme="1"/>
        <sz val="9.0"/>
      </rPr>
      <t>၄၃.၉၀%</t>
    </r>
  </si>
  <si>
    <r>
      <rPr>
        <rFont val="Myanmar Sangam MN"/>
        <color theme="1"/>
        <sz val="10.0"/>
      </rPr>
      <t>ဦးေအာင်ကိုဝင်း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</si>
  <si>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</si>
  <si>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၃၉၀၃</t>
    </r>
  </si>
  <si>
    <r>
      <rPr>
        <rFont val="Myanmar Sangam MN"/>
        <color theme="1"/>
        <sz val="10.0"/>
      </rPr>
      <t>၁၄၆၈</t>
    </r>
  </si>
  <si>
    <r>
      <rPr>
        <rFont val="Myanmar Sangam MN"/>
        <color theme="1"/>
        <sz val="10.0"/>
      </rPr>
      <t>၅၃၇၁</t>
    </r>
  </si>
  <si>
    <r>
      <rPr>
        <rFont val="Myanmar Sangam MN"/>
        <b/>
        <color theme="1"/>
        <sz val="9.0"/>
      </rPr>
      <t>၇.၈၁%</t>
    </r>
  </si>
  <si>
    <r>
      <rPr>
        <rFont val="Myanmar Sangam MN"/>
        <color theme="1"/>
        <sz val="10.0"/>
      </rPr>
      <t>ဦးစိုးထိုက်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</si>
  <si>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</si>
  <si>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၁၇၇</t>
    </r>
  </si>
  <si>
    <r>
      <rPr>
        <rFont val="Myanmar Sangam MN"/>
        <color theme="1"/>
        <sz val="10.0"/>
      </rPr>
      <t>၉၁</t>
    </r>
  </si>
  <si>
    <r>
      <rPr>
        <rFont val="Myanmar Sangam MN"/>
        <color theme="1"/>
        <sz val="10.0"/>
      </rPr>
      <t>၂၆၈</t>
    </r>
  </si>
  <si>
    <r>
      <rPr>
        <rFont val="Myanmar Sangam MN"/>
        <b/>
        <color theme="1"/>
        <sz val="9.0"/>
      </rPr>
      <t>၀.၃၉%</t>
    </r>
  </si>
  <si>
    <r>
      <rPr>
        <rFont val="Myanmar Sangam MN"/>
        <color theme="1"/>
        <sz val="10.0"/>
      </rPr>
      <t>ဦးဝင်းေမာင်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</si>
  <si>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</si>
  <si>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၁၄၄</t>
    </r>
  </si>
  <si>
    <r>
      <rPr>
        <rFont val="Myanmar Sangam MN"/>
        <color theme="1"/>
        <sz val="10.0"/>
      </rPr>
      <t>၉၁</t>
    </r>
  </si>
  <si>
    <r>
      <rPr>
        <rFont val="Myanmar Sangam MN"/>
        <color theme="1"/>
        <sz val="10.0"/>
      </rPr>
      <t>၂၃၅</t>
    </r>
  </si>
  <si>
    <r>
      <rPr>
        <rFont val="Myanmar Sangam MN"/>
        <b/>
        <color theme="1"/>
        <sz val="9.0"/>
      </rPr>
      <t>၀.၃၄%</t>
    </r>
  </si>
  <si>
    <r>
      <rPr>
        <rFont val="Myanmar Sangam MN"/>
        <color theme="1"/>
        <sz val="10.0"/>
      </rPr>
      <t>ဦးေအာင်ဆန်းဦး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</si>
  <si>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</si>
  <si>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၇၈</t>
    </r>
  </si>
  <si>
    <r>
      <rPr>
        <rFont val="Myanmar Sangam MN"/>
        <color theme="1"/>
        <sz val="10.0"/>
      </rPr>
      <t>၃၀</t>
    </r>
  </si>
  <si>
    <r>
      <rPr>
        <rFont val="Myanmar Sangam MN"/>
        <color theme="1"/>
        <sz val="10.0"/>
      </rPr>
      <t>၁၀၈</t>
    </r>
  </si>
  <si>
    <r>
      <rPr>
        <rFont val="Myanmar Sangam MN"/>
        <b/>
        <color theme="1"/>
        <sz val="9.0"/>
      </rPr>
      <t>၀.၁၆%</t>
    </r>
  </si>
  <si>
    <r>
      <rPr>
        <rFont val="Myanmar Sangam MN"/>
        <b/>
        <color theme="1"/>
        <sz val="10.0"/>
      </rPr>
      <t>၁၁၆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</si>
  <si>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</si>
  <si>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၁၅၁၃၈၁</t>
    </r>
  </si>
  <si>
    <r>
      <rPr>
        <rFont val="Myanmar Sangam MN"/>
        <b/>
        <color theme="1"/>
        <sz val="10.0"/>
      </rPr>
      <t>၅၉၂၃၆</t>
    </r>
  </si>
  <si>
    <r>
      <rPr>
        <rFont val="Myanmar Sangam MN"/>
        <b/>
        <color theme="1"/>
        <sz val="10.0"/>
      </rPr>
      <t>၂၁၇၆၂</t>
    </r>
  </si>
  <si>
    <r>
      <rPr>
        <rFont val="Myanmar Sangam MN"/>
        <b/>
        <color theme="1"/>
        <sz val="10.0"/>
      </rPr>
      <t>၈၀၉၉၈</t>
    </r>
  </si>
  <si>
    <r>
      <rPr>
        <rFont val="Myanmar Sangam MN"/>
        <b/>
        <color theme="1"/>
        <sz val="10.0"/>
      </rPr>
      <t>၅၃.၅၁</t>
    </r>
  </si>
  <si>
    <r>
      <rPr>
        <rFont val="Myanmar Sangam MN"/>
        <b/>
        <color theme="1"/>
        <sz val="10.0"/>
      </rPr>
      <t>၂၆၅၃</t>
    </r>
  </si>
  <si>
    <r>
      <rPr>
        <rFont val="Myanmar Sangam MN"/>
        <b/>
        <color theme="1"/>
        <sz val="10.0"/>
      </rPr>
      <t>၂၁</t>
    </r>
  </si>
  <si>
    <r>
      <rPr>
        <rFont val="Myanmar Sangam MN"/>
        <b/>
        <color theme="1"/>
        <sz val="10.0"/>
      </rPr>
      <t>၂၆၇၄</t>
    </r>
  </si>
  <si>
    <r>
      <rPr>
        <rFont val="Myanmar Sangam MN"/>
        <b/>
        <color theme="1"/>
        <sz val="10.0"/>
      </rPr>
      <t>၅၆၅၉၃</t>
    </r>
  </si>
  <si>
    <r>
      <rPr>
        <rFont val="Myanmar Sangam MN"/>
        <b/>
        <color theme="1"/>
        <sz val="10.0"/>
      </rPr>
      <t>၂၁၇၃၁</t>
    </r>
  </si>
  <si>
    <r>
      <rPr>
        <rFont val="Myanmar Sangam MN"/>
        <b/>
        <color theme="1"/>
        <sz val="10.0"/>
      </rPr>
      <t>၇၈၃၂၄</t>
    </r>
  </si>
  <si>
    <r>
      <rPr>
        <rFont val="Myanmar Sangam MN"/>
        <color theme="1"/>
        <sz val="10.0"/>
      </rPr>
      <t>ေဒြမတ်သီတာထွန်း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</si>
  <si>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</si>
  <si>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၂၆၄၇၅</t>
    </r>
  </si>
  <si>
    <r>
      <rPr>
        <rFont val="Myanmar Sangam MN"/>
        <color theme="1"/>
        <sz val="10.0"/>
      </rPr>
      <t>၈၅၅၃</t>
    </r>
  </si>
  <si>
    <r>
      <rPr>
        <rFont val="Myanmar Sangam MN"/>
        <color theme="1"/>
        <sz val="10.0"/>
      </rPr>
      <t>၃၅၀၂၈</t>
    </r>
  </si>
  <si>
    <r>
      <rPr>
        <rFont val="Myanmar Sangam MN"/>
        <b/>
        <color theme="1"/>
        <sz val="9.0"/>
      </rPr>
      <t>၄၄.၇၂%</t>
    </r>
  </si>
  <si>
    <r>
      <rPr>
        <rFont val="Myanmar Sangam MN"/>
        <color theme="1"/>
        <sz val="10.0"/>
      </rPr>
      <t>ဦးိုင်ဦး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</si>
  <si>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</si>
  <si>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၂၃၁၁၄</t>
    </r>
  </si>
  <si>
    <r>
      <rPr>
        <rFont val="Myanmar Sangam MN"/>
        <color theme="1"/>
        <sz val="10.0"/>
      </rPr>
      <t>၉၅၃၁</t>
    </r>
  </si>
  <si>
    <r>
      <rPr>
        <rFont val="Myanmar Sangam MN"/>
        <color theme="1"/>
        <sz val="10.0"/>
      </rPr>
      <t>၃၂၆၄၅</t>
    </r>
  </si>
  <si>
    <r>
      <rPr>
        <rFont val="Myanmar Sangam MN"/>
        <b/>
        <color theme="1"/>
        <sz val="9.0"/>
      </rPr>
      <t>၄၁.၆၉%</t>
    </r>
  </si>
  <si>
    <r>
      <rPr>
        <rFont val="Myanmar Sangam MN"/>
        <color theme="1"/>
        <sz val="10.0"/>
      </rPr>
      <t>ဦးပါစိန်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</si>
  <si>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</si>
  <si>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၆၅၄၂</t>
    </r>
  </si>
  <si>
    <r>
      <rPr>
        <rFont val="Myanmar Sangam MN"/>
        <color theme="1"/>
        <sz val="10.0"/>
      </rPr>
      <t>၃၃၇၇</t>
    </r>
  </si>
  <si>
    <r>
      <rPr>
        <rFont val="Myanmar Sangam MN"/>
        <color theme="1"/>
        <sz val="10.0"/>
      </rPr>
      <t>၉၉၁၉</t>
    </r>
  </si>
  <si>
    <r>
      <rPr>
        <rFont val="Myanmar Sangam MN"/>
        <b/>
        <color theme="1"/>
        <sz val="9.0"/>
      </rPr>
      <t>၁၂.၆၆%</t>
    </r>
  </si>
  <si>
    <r>
      <rPr>
        <rFont val="Myanmar Sangam MN"/>
        <color theme="1"/>
        <sz val="10.0"/>
      </rPr>
      <t>ဦးြမင့်စိုး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</si>
  <si>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</si>
  <si>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၄၆၂</t>
    </r>
  </si>
  <si>
    <r>
      <rPr>
        <rFont val="Myanmar Sangam MN"/>
        <color theme="1"/>
        <sz val="10.0"/>
      </rPr>
      <t>၂၇၀</t>
    </r>
  </si>
  <si>
    <r>
      <rPr>
        <rFont val="Myanmar Sangam MN"/>
        <color theme="1"/>
        <sz val="10.0"/>
      </rPr>
      <t>၇၃၂</t>
    </r>
  </si>
  <si>
    <r>
      <rPr>
        <rFont val="Myanmar Sangam MN"/>
        <b/>
        <color theme="1"/>
        <sz val="9.0"/>
      </rPr>
      <t>၀.၉၃%</t>
    </r>
  </si>
  <si>
    <r>
      <rPr>
        <rFont val="Myanmar Sangam MN"/>
        <b/>
        <color theme="1"/>
        <sz val="10.0"/>
      </rPr>
      <t>၁၁၇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</si>
  <si>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</si>
  <si>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၁၃၈၃၆၆</t>
    </r>
  </si>
  <si>
    <r>
      <rPr>
        <rFont val="Myanmar Sangam MN"/>
        <b/>
        <color theme="1"/>
        <sz val="10.0"/>
      </rPr>
      <t>၆၈၈၂၈</t>
    </r>
  </si>
  <si>
    <r>
      <rPr>
        <rFont val="Myanmar Sangam MN"/>
        <b/>
        <color theme="1"/>
        <sz val="10.0"/>
      </rPr>
      <t>၂၁၁၂၂</t>
    </r>
  </si>
  <si>
    <r>
      <rPr>
        <rFont val="Myanmar Sangam MN"/>
        <b/>
        <color theme="1"/>
        <sz val="10.0"/>
      </rPr>
      <t>၈၉၉၅၀</t>
    </r>
  </si>
  <si>
    <r>
      <rPr>
        <rFont val="Myanmar Sangam MN"/>
        <b/>
        <color theme="1"/>
        <sz val="10.0"/>
      </rPr>
      <t>၆၅.၀၁</t>
    </r>
  </si>
  <si>
    <r>
      <rPr>
        <rFont val="Myanmar Sangam MN"/>
        <b/>
        <color theme="1"/>
        <sz val="10.0"/>
      </rPr>
      <t>၃၇၉၂</t>
    </r>
  </si>
  <si>
    <r>
      <rPr>
        <rFont val="Myanmar Sangam MN"/>
        <b/>
        <color theme="1"/>
        <sz val="10.0"/>
      </rPr>
      <t>၃၀</t>
    </r>
  </si>
  <si>
    <r>
      <rPr>
        <rFont val="Myanmar Sangam MN"/>
        <b/>
        <color theme="1"/>
        <sz val="10.0"/>
      </rPr>
      <t>၃၈၂၂</t>
    </r>
  </si>
  <si>
    <r>
      <rPr>
        <rFont val="Myanmar Sangam MN"/>
        <b/>
        <color theme="1"/>
        <sz val="10.0"/>
      </rPr>
      <t>၆၅၉၃၂</t>
    </r>
  </si>
  <si>
    <r>
      <rPr>
        <rFont val="Myanmar Sangam MN"/>
        <b/>
        <color theme="1"/>
        <sz val="10.0"/>
      </rPr>
      <t>၂၀၁၉၆</t>
    </r>
  </si>
  <si>
    <r>
      <rPr>
        <rFont val="Myanmar Sangam MN"/>
        <b/>
        <color theme="1"/>
        <sz val="10.0"/>
      </rPr>
      <t>၈၆၁၂၈</t>
    </r>
  </si>
  <si>
    <r>
      <rPr>
        <rFont val="Myanmar Sangam MN"/>
        <color theme="1"/>
        <sz val="10.0"/>
      </rPr>
      <t>ဦးလှြမင့်(ခ) ဦးလှြမင့်သန်း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</si>
  <si>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</si>
  <si>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၄၄၀၆၇</t>
    </r>
  </si>
  <si>
    <r>
      <rPr>
        <rFont val="Myanmar Sangam MN"/>
        <color theme="1"/>
        <sz val="10.0"/>
      </rPr>
      <t>၁၀၇၈၂</t>
    </r>
  </si>
  <si>
    <r>
      <rPr>
        <rFont val="Myanmar Sangam MN"/>
        <color theme="1"/>
        <sz val="10.0"/>
      </rPr>
      <t>၅၄၈၄၉</t>
    </r>
  </si>
  <si>
    <r>
      <rPr>
        <rFont val="Myanmar Sangam MN"/>
        <b/>
        <color theme="1"/>
        <sz val="9.0"/>
      </rPr>
      <t>၆၃.၆၈%</t>
    </r>
  </si>
  <si>
    <r>
      <rPr>
        <rFont val="Myanmar Sangam MN"/>
        <color theme="1"/>
        <sz val="10.0"/>
      </rPr>
      <t>ဦးစိုးဝင်း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</si>
  <si>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</si>
  <si>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၁၄၈၇၆</t>
    </r>
  </si>
  <si>
    <r>
      <rPr>
        <rFont val="Myanmar Sangam MN"/>
        <color theme="1"/>
        <sz val="10.0"/>
      </rPr>
      <t>၆၆၇၄</t>
    </r>
  </si>
  <si>
    <r>
      <rPr>
        <rFont val="Myanmar Sangam MN"/>
        <color theme="1"/>
        <sz val="10.0"/>
      </rPr>
      <t>၂၁၅၅၀</t>
    </r>
  </si>
  <si>
    <r>
      <rPr>
        <rFont val="Myanmar Sangam MN"/>
        <b/>
        <color theme="1"/>
        <sz val="9.0"/>
      </rPr>
      <t>၂၅.၀၂%</t>
    </r>
  </si>
  <si>
    <r>
      <rPr>
        <rFont val="Myanmar Sangam MN"/>
        <color theme="1"/>
        <sz val="10.0"/>
      </rPr>
      <t>ဦးတိုးိုင်(ခ)ဦးရန်ရှင်း</t>
    </r>
  </si>
  <si>
    <r>
      <rPr>
        <rFont val="Myanmar Sangam MN"/>
        <color theme="1"/>
        <sz val="10.0"/>
      </rPr>
      <t>ြပည်သူ အကျးိ ြပေကျာင်းသားများပါတီ</t>
    </r>
  </si>
  <si>
    <r>
      <rPr>
        <rFont val="Myanmar Sangam MN"/>
        <color theme="1"/>
        <sz val="10.0"/>
      </rPr>
      <t>၃၁၆၈</t>
    </r>
  </si>
  <si>
    <r>
      <rPr>
        <rFont val="Myanmar Sangam MN"/>
        <color theme="1"/>
        <sz val="10.0"/>
      </rPr>
      <t>၁၀၃၄</t>
    </r>
  </si>
  <si>
    <r>
      <rPr>
        <rFont val="Myanmar Sangam MN"/>
        <color theme="1"/>
        <sz val="10.0"/>
      </rPr>
      <t>၄၂၀၂</t>
    </r>
  </si>
  <si>
    <r>
      <rPr>
        <rFont val="Myanmar Sangam MN"/>
        <b/>
        <color theme="1"/>
        <sz val="9.0"/>
      </rPr>
      <t>၄.၈၈%</t>
    </r>
  </si>
  <si>
    <r>
      <rPr>
        <rFont val="Myanmar Sangam MN"/>
        <color theme="1"/>
        <sz val="10.0"/>
      </rPr>
      <t>ေဒယဉ်စုစုကည်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</si>
  <si>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</si>
  <si>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၁၉၇၂</t>
    </r>
  </si>
  <si>
    <r>
      <rPr>
        <rFont val="Myanmar Sangam MN"/>
        <color theme="1"/>
        <sz val="10.0"/>
      </rPr>
      <t>၇၀၆</t>
    </r>
  </si>
  <si>
    <r>
      <rPr>
        <rFont val="Myanmar Sangam MN"/>
        <color theme="1"/>
        <sz val="10.0"/>
      </rPr>
      <t>၂၆၇၈</t>
    </r>
  </si>
  <si>
    <r>
      <rPr>
        <rFont val="Myanmar Sangam MN"/>
        <b/>
        <color theme="1"/>
        <sz val="9.0"/>
      </rPr>
      <t>၃.၁၁%</t>
    </r>
  </si>
  <si>
    <r>
      <rPr>
        <rFont val="Myanmar Sangam MN"/>
        <color theme="1"/>
        <sz val="10.0"/>
      </rPr>
      <t>ေဒမမကီး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</si>
  <si>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</si>
  <si>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၁၀၉၂</t>
    </r>
  </si>
  <si>
    <r>
      <rPr>
        <rFont val="Myanmar Sangam MN"/>
        <color theme="1"/>
        <sz val="10.0"/>
      </rPr>
      <t>၆၂၁</t>
    </r>
  </si>
  <si>
    <r>
      <rPr>
        <rFont val="Myanmar Sangam MN"/>
        <color theme="1"/>
        <sz val="10.0"/>
      </rPr>
      <t>၁၇၁၃</t>
    </r>
  </si>
  <si>
    <r>
      <rPr>
        <rFont val="Myanmar Sangam MN"/>
        <b/>
        <color theme="1"/>
        <sz val="9.0"/>
      </rPr>
      <t>၁.၉၉%</t>
    </r>
  </si>
  <si>
    <r>
      <rPr>
        <rFont val="Myanmar Sangam MN"/>
        <color theme="1"/>
        <sz val="10.0"/>
      </rPr>
      <t>ဦးဆန်းမင်း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</si>
  <si>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</si>
  <si>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၇၅၇</t>
    </r>
  </si>
  <si>
    <r>
      <rPr>
        <rFont val="Myanmar Sangam MN"/>
        <color theme="1"/>
        <sz val="10.0"/>
      </rPr>
      <t>၃၇၉</t>
    </r>
  </si>
  <si>
    <r>
      <rPr>
        <rFont val="Myanmar Sangam MN"/>
        <color theme="1"/>
        <sz val="10.0"/>
      </rPr>
      <t>၁၁၃၆</t>
    </r>
  </si>
  <si>
    <r>
      <rPr>
        <rFont val="Myanmar Sangam MN"/>
        <b/>
        <color theme="1"/>
        <sz val="9.0"/>
      </rPr>
      <t>၁.၃၂%</t>
    </r>
  </si>
  <si>
    <r>
      <rPr>
        <rFont val="Myanmar Sangam MN"/>
        <b/>
        <color theme="1"/>
        <sz val="10.0"/>
      </rPr>
      <t>၁၁၈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</si>
  <si>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</si>
  <si>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၂၁၃၈၈၈</t>
    </r>
  </si>
  <si>
    <r>
      <rPr>
        <rFont val="Myanmar Sangam MN"/>
        <b/>
        <color theme="1"/>
        <sz val="10.0"/>
      </rPr>
      <t>၉၁၈၅၇</t>
    </r>
  </si>
  <si>
    <r>
      <rPr>
        <rFont val="Myanmar Sangam MN"/>
        <b/>
        <color theme="1"/>
        <sz val="10.0"/>
      </rPr>
      <t>၃၀၇၆၀</t>
    </r>
  </si>
  <si>
    <r>
      <rPr>
        <rFont val="Myanmar Sangam MN"/>
        <b/>
        <color theme="1"/>
        <sz val="10.0"/>
      </rPr>
      <t>၁၂၂၆၁၇</t>
    </r>
  </si>
  <si>
    <r>
      <rPr>
        <rFont val="Myanmar Sangam MN"/>
        <b/>
        <color theme="1"/>
        <sz val="10.0"/>
      </rPr>
      <t>၅၇.၃၃</t>
    </r>
  </si>
  <si>
    <r>
      <rPr>
        <rFont val="Myanmar Sangam MN"/>
        <b/>
        <color theme="1"/>
        <sz val="10.0"/>
      </rPr>
      <t>၃၀၁၄</t>
    </r>
  </si>
  <si>
    <r>
      <rPr>
        <rFont val="Myanmar Sangam MN"/>
        <b/>
        <color theme="1"/>
        <sz val="10.0"/>
      </rPr>
      <t>၁၁၃၂</t>
    </r>
  </si>
  <si>
    <r>
      <rPr>
        <rFont val="Myanmar Sangam MN"/>
        <b/>
        <color theme="1"/>
        <sz val="10.0"/>
      </rPr>
      <t>၄၁၄၆</t>
    </r>
  </si>
  <si>
    <r>
      <rPr>
        <rFont val="Myanmar Sangam MN"/>
        <b/>
        <color theme="1"/>
        <sz val="10.0"/>
      </rPr>
      <t>၈၇၇၃၀</t>
    </r>
  </si>
  <si>
    <r>
      <rPr>
        <rFont val="Myanmar Sangam MN"/>
        <b/>
        <color theme="1"/>
        <sz val="10.0"/>
      </rPr>
      <t>၃၀၇၄၁</t>
    </r>
  </si>
  <si>
    <r>
      <rPr>
        <rFont val="Myanmar Sangam MN"/>
        <b/>
        <color theme="1"/>
        <sz val="10.0"/>
      </rPr>
      <t>၁၁၈၄၇၁</t>
    </r>
  </si>
  <si>
    <r>
      <rPr>
        <rFont val="Myanmar Sangam MN"/>
        <color theme="1"/>
        <sz val="10.0"/>
      </rPr>
      <t>ဦးစိုးသီဟ(ခ)ေမာင်တူး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</si>
  <si>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</si>
  <si>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၅၁၀၇၆</t>
    </r>
  </si>
  <si>
    <r>
      <rPr>
        <rFont val="Myanmar Sangam MN"/>
        <color theme="1"/>
        <sz val="10.0"/>
      </rPr>
      <t>၁၄၇၈၆</t>
    </r>
  </si>
  <si>
    <r>
      <rPr>
        <rFont val="Myanmar Sangam MN"/>
        <color theme="1"/>
        <sz val="10.0"/>
      </rPr>
      <t>၆၅၈၆၂</t>
    </r>
  </si>
  <si>
    <r>
      <rPr>
        <rFont val="Myanmar Sangam MN"/>
        <b/>
        <color theme="1"/>
        <sz val="9.0"/>
      </rPr>
      <t>၅၅.၅၉%</t>
    </r>
  </si>
  <si>
    <r>
      <rPr>
        <rFont val="Myanmar Sangam MN"/>
        <color theme="1"/>
        <sz val="10.0"/>
      </rPr>
      <t>ဦးြမင့်ဦး(ခ)ိုင်လင့်လင့်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</si>
  <si>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</si>
  <si>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၁၉၄၆၁</t>
    </r>
  </si>
  <si>
    <r>
      <rPr>
        <rFont val="Myanmar Sangam MN"/>
        <color theme="1"/>
        <sz val="10.0"/>
      </rPr>
      <t>၈၂၂၇</t>
    </r>
  </si>
  <si>
    <r>
      <rPr>
        <rFont val="Myanmar Sangam MN"/>
        <color theme="1"/>
        <sz val="10.0"/>
      </rPr>
      <t>၂၇၆၈၈</t>
    </r>
  </si>
  <si>
    <r>
      <rPr>
        <rFont val="Myanmar Sangam MN"/>
        <b/>
        <color theme="1"/>
        <sz val="9.0"/>
      </rPr>
      <t>၂၃.၃၇%</t>
    </r>
  </si>
  <si>
    <r>
      <rPr>
        <rFont val="Myanmar Sangam MN"/>
        <color theme="1"/>
        <sz val="10.0"/>
      </rPr>
      <t>ဦးေအာင်ဆန်းဦး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</si>
  <si>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</si>
  <si>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၁၄၅၇၂</t>
    </r>
  </si>
  <si>
    <r>
      <rPr>
        <rFont val="Myanmar Sangam MN"/>
        <color theme="1"/>
        <sz val="10.0"/>
      </rPr>
      <t>၆၃၅၇</t>
    </r>
  </si>
  <si>
    <r>
      <rPr>
        <rFont val="Myanmar Sangam MN"/>
        <color theme="1"/>
        <sz val="10.0"/>
      </rPr>
      <t>၂၀၉၂၉</t>
    </r>
  </si>
  <si>
    <r>
      <rPr>
        <rFont val="Myanmar Sangam MN"/>
        <b/>
        <color theme="1"/>
        <sz val="9.0"/>
      </rPr>
      <t>၁၇.၆၇%</t>
    </r>
  </si>
  <si>
    <r>
      <rPr>
        <rFont val="Myanmar Sangam MN"/>
        <color theme="1"/>
        <sz val="10.0"/>
      </rPr>
      <t>ဦးလှထွန်း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</si>
  <si>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</si>
  <si>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၁၂၆၅</t>
    </r>
  </si>
  <si>
    <r>
      <rPr>
        <rFont val="Myanmar Sangam MN"/>
        <color theme="1"/>
        <sz val="10.0"/>
      </rPr>
      <t>၆၅၃</t>
    </r>
  </si>
  <si>
    <r>
      <rPr>
        <rFont val="Myanmar Sangam MN"/>
        <color theme="1"/>
        <sz val="10.0"/>
      </rPr>
      <t>၁၉၁၈</t>
    </r>
  </si>
  <si>
    <r>
      <rPr>
        <rFont val="Myanmar Sangam MN"/>
        <b/>
        <color theme="1"/>
        <sz val="9.0"/>
      </rPr>
      <t>၁.၆၂%</t>
    </r>
  </si>
  <si>
    <r>
      <rPr>
        <rFont val="Myanmar Sangam MN"/>
        <color theme="1"/>
        <sz val="10.0"/>
      </rPr>
      <t>ဦးမျးိ လွင်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</si>
  <si>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</si>
  <si>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၈၆၉</t>
    </r>
  </si>
  <si>
    <r>
      <rPr>
        <rFont val="Myanmar Sangam MN"/>
        <color theme="1"/>
        <sz val="10.0"/>
      </rPr>
      <t>၄၄၁</t>
    </r>
  </si>
  <si>
    <r>
      <rPr>
        <rFont val="Myanmar Sangam MN"/>
        <color theme="1"/>
        <sz val="10.0"/>
      </rPr>
      <t>၁၃၁၀</t>
    </r>
  </si>
  <si>
    <r>
      <rPr>
        <rFont val="Myanmar Sangam MN"/>
        <b/>
        <color theme="1"/>
        <sz val="9.0"/>
      </rPr>
      <t>၁.၁၁%</t>
    </r>
  </si>
  <si>
    <r>
      <rPr>
        <rFont val="Myanmar Sangam MN"/>
        <color theme="1"/>
        <sz val="10.0"/>
      </rPr>
      <t>ဦးေအာင်ဝင်း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</si>
  <si>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</si>
  <si>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၄၈၇</t>
    </r>
  </si>
  <si>
    <r>
      <rPr>
        <rFont val="Myanmar Sangam MN"/>
        <color theme="1"/>
        <sz val="10.0"/>
      </rPr>
      <t>၂၇၇</t>
    </r>
  </si>
  <si>
    <r>
      <rPr>
        <rFont val="Myanmar Sangam MN"/>
        <color theme="1"/>
        <sz val="10.0"/>
      </rPr>
      <t>၇၆၄</t>
    </r>
  </si>
  <si>
    <r>
      <rPr>
        <rFont val="Myanmar Sangam MN"/>
        <b/>
        <color theme="1"/>
        <sz val="9.0"/>
      </rPr>
      <t>၀.၆၄%</t>
    </r>
  </si>
  <si>
    <r>
      <rPr>
        <rFont val="Myanmar Sangam MN"/>
        <b/>
        <color theme="1"/>
        <sz val="10.0"/>
      </rPr>
      <t>၁၁၉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</si>
  <si>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</si>
  <si>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၁၄၉၆၁၄</t>
    </r>
  </si>
  <si>
    <r>
      <rPr>
        <rFont val="Myanmar Sangam MN"/>
        <b/>
        <color theme="1"/>
        <sz val="10.0"/>
      </rPr>
      <t>၇၀၇၂၄</t>
    </r>
  </si>
  <si>
    <r>
      <rPr>
        <rFont val="Myanmar Sangam MN"/>
        <b/>
        <color theme="1"/>
        <sz val="10.0"/>
      </rPr>
      <t>၂၄၁၉၄</t>
    </r>
  </si>
  <si>
    <r>
      <rPr>
        <rFont val="Myanmar Sangam MN"/>
        <b/>
        <color theme="1"/>
        <sz val="10.0"/>
      </rPr>
      <t>၉၄၉၁၈</t>
    </r>
  </si>
  <si>
    <r>
      <rPr>
        <rFont val="Myanmar Sangam MN"/>
        <b/>
        <color theme="1"/>
        <sz val="10.0"/>
      </rPr>
      <t>၆၃.၄၄</t>
    </r>
  </si>
  <si>
    <r>
      <rPr>
        <rFont val="Myanmar Sangam MN"/>
        <b/>
        <color theme="1"/>
        <sz val="10.0"/>
      </rPr>
      <t>၃၇၃၅</t>
    </r>
  </si>
  <si>
    <r>
      <rPr>
        <rFont val="Myanmar Sangam MN"/>
        <b/>
        <color theme="1"/>
        <sz val="10.0"/>
      </rPr>
      <t>၁၀၂</t>
    </r>
  </si>
  <si>
    <r>
      <rPr>
        <rFont val="Myanmar Sangam MN"/>
        <b/>
        <color theme="1"/>
        <sz val="10.0"/>
      </rPr>
      <t>၃၈၃၇</t>
    </r>
  </si>
  <si>
    <r>
      <rPr>
        <rFont val="Myanmar Sangam MN"/>
        <b/>
        <color theme="1"/>
        <sz val="10.0"/>
      </rPr>
      <t>၆၇၅၂၀</t>
    </r>
  </si>
  <si>
    <r>
      <rPr>
        <rFont val="Myanmar Sangam MN"/>
        <b/>
        <color theme="1"/>
        <sz val="10.0"/>
      </rPr>
      <t>၂၃၅၆၁</t>
    </r>
  </si>
  <si>
    <r>
      <rPr>
        <rFont val="Myanmar Sangam MN"/>
        <b/>
        <color theme="1"/>
        <sz val="10.0"/>
      </rPr>
      <t>၉၁၀၈၁</t>
    </r>
  </si>
  <si>
    <r>
      <rPr>
        <rFont val="Myanmar Sangam MN"/>
        <color theme="1"/>
        <sz val="10.0"/>
      </rPr>
      <t>ေဒသီရိရတနာ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</si>
  <si>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</si>
  <si>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၄၄၁၇၆</t>
    </r>
  </si>
  <si>
    <r>
      <rPr>
        <rFont val="Myanmar Sangam MN"/>
        <color theme="1"/>
        <sz val="10.0"/>
      </rPr>
      <t>၁၃၅၇၄</t>
    </r>
  </si>
  <si>
    <r>
      <rPr>
        <rFont val="Myanmar Sangam MN"/>
        <color theme="1"/>
        <sz val="10.0"/>
      </rPr>
      <t>၅၇၇၅၀</t>
    </r>
  </si>
  <si>
    <r>
      <rPr>
        <rFont val="Myanmar Sangam MN"/>
        <b/>
        <color theme="1"/>
        <sz val="9.0"/>
      </rPr>
      <t>၆၃.၄၁%</t>
    </r>
  </si>
  <si>
    <r>
      <rPr>
        <rFont val="Myanmar Sangam MN"/>
        <color theme="1"/>
        <sz val="10.0"/>
      </rPr>
      <t>ဦးြမင့်ေဆွ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</si>
  <si>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</si>
  <si>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၁၆၀၆၁</t>
    </r>
  </si>
  <si>
    <r>
      <rPr>
        <rFont val="Myanmar Sangam MN"/>
        <color theme="1"/>
        <sz val="10.0"/>
      </rPr>
      <t>၆၈၂၀</t>
    </r>
  </si>
  <si>
    <r>
      <rPr>
        <rFont val="Myanmar Sangam MN"/>
        <color theme="1"/>
        <sz val="10.0"/>
      </rPr>
      <t>၂၂၈၈၁</t>
    </r>
  </si>
  <si>
    <r>
      <rPr>
        <rFont val="Myanmar Sangam MN"/>
        <b/>
        <color theme="1"/>
        <sz val="9.0"/>
      </rPr>
      <t>၂၅.၁၂%</t>
    </r>
  </si>
  <si>
    <r>
      <rPr>
        <rFont val="Myanmar Sangam MN"/>
        <color theme="1"/>
        <sz val="10.0"/>
      </rPr>
      <t>ေဒချလွင်ွန 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</si>
  <si>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</si>
  <si>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၂၄၈၃</t>
    </r>
  </si>
  <si>
    <r>
      <rPr>
        <rFont val="Myanmar Sangam MN"/>
        <color theme="1"/>
        <sz val="10.0"/>
      </rPr>
      <t>၁၁၉၇</t>
    </r>
  </si>
  <si>
    <r>
      <rPr>
        <rFont val="Myanmar Sangam MN"/>
        <color theme="1"/>
        <sz val="10.0"/>
      </rPr>
      <t>၃၆၈၀</t>
    </r>
  </si>
  <si>
    <r>
      <rPr>
        <rFont val="Myanmar Sangam MN"/>
        <b/>
        <color theme="1"/>
        <sz val="9.0"/>
      </rPr>
      <t>၄.၀၄%</t>
    </r>
  </si>
  <si>
    <r>
      <rPr>
        <rFont val="Myanmar Sangam MN"/>
        <color theme="1"/>
        <sz val="10.0"/>
      </rPr>
      <t>ေနာ်ေအးပျိ</t>
    </r>
  </si>
  <si>
    <r>
      <rPr>
        <rFont val="Myanmar Sangam MN"/>
        <color theme="1"/>
        <sz val="10.0"/>
      </rPr>
      <t>ကရင်ြပည်သူ ပါတီ</t>
    </r>
  </si>
  <si>
    <r>
      <rPr>
        <rFont val="Myanmar Sangam MN"/>
        <color theme="1"/>
        <sz val="10.0"/>
      </rPr>
      <t>၂၇၉၈</t>
    </r>
  </si>
  <si>
    <r>
      <rPr>
        <rFont val="Myanmar Sangam MN"/>
        <color theme="1"/>
        <sz val="10.0"/>
      </rPr>
      <t>၈၆၃</t>
    </r>
  </si>
  <si>
    <r>
      <rPr>
        <rFont val="Myanmar Sangam MN"/>
        <color theme="1"/>
        <sz val="10.0"/>
      </rPr>
      <t>၃၆၆၁</t>
    </r>
  </si>
  <si>
    <r>
      <rPr>
        <rFont val="Myanmar Sangam MN"/>
        <b/>
        <color theme="1"/>
        <sz val="9.0"/>
      </rPr>
      <t>၄.၀၂%</t>
    </r>
  </si>
  <si>
    <r>
      <rPr>
        <rFont val="Myanmar Sangam MN"/>
        <color theme="1"/>
        <sz val="10.0"/>
      </rPr>
      <t>ဦးသန်းထွဋ်ေအာင်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</si>
  <si>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</si>
  <si>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၁၆၈၃</t>
    </r>
  </si>
  <si>
    <r>
      <rPr>
        <rFont val="Myanmar Sangam MN"/>
        <color theme="1"/>
        <sz val="10.0"/>
      </rPr>
      <t>၈၁၅</t>
    </r>
  </si>
  <si>
    <r>
      <rPr>
        <rFont val="Myanmar Sangam MN"/>
        <color theme="1"/>
        <sz val="10.0"/>
      </rPr>
      <t>၂၄၉၈</t>
    </r>
  </si>
  <si>
    <r>
      <rPr>
        <rFont val="Myanmar Sangam MN"/>
        <b/>
        <color theme="1"/>
        <sz val="9.0"/>
      </rPr>
      <t>၂.၇၄%</t>
    </r>
  </si>
  <si>
    <r>
      <rPr>
        <rFont val="Myanmar Sangam MN"/>
        <color theme="1"/>
        <sz val="10.0"/>
      </rPr>
      <t>ဦးခိုင်စိုး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</si>
  <si>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</si>
  <si>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၃၁၉</t>
    </r>
  </si>
  <si>
    <r>
      <rPr>
        <rFont val="Myanmar Sangam MN"/>
        <color theme="1"/>
        <sz val="10.0"/>
      </rPr>
      <t>၂၉၂</t>
    </r>
  </si>
  <si>
    <r>
      <rPr>
        <rFont val="Myanmar Sangam MN"/>
        <color theme="1"/>
        <sz val="10.0"/>
      </rPr>
      <t>၆၁၁</t>
    </r>
  </si>
  <si>
    <r>
      <rPr>
        <rFont val="Myanmar Sangam MN"/>
        <b/>
        <color theme="1"/>
        <sz val="9.0"/>
      </rPr>
      <t>၀.၆၇%</t>
    </r>
  </si>
  <si>
    <r>
      <rPr>
        <rFont val="Myanmar Sangam MN"/>
        <b/>
        <color theme="1"/>
        <sz val="10.0"/>
      </rPr>
      <t>၁၂၀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</si>
  <si>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</si>
  <si>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၂၁၂၂၅၅</t>
    </r>
  </si>
  <si>
    <r>
      <rPr>
        <rFont val="Myanmar Sangam MN"/>
        <b/>
        <color theme="1"/>
        <sz val="10.0"/>
      </rPr>
      <t>၉၁၉၇၉</t>
    </r>
  </si>
  <si>
    <r>
      <rPr>
        <rFont val="Myanmar Sangam MN"/>
        <b/>
        <color theme="1"/>
        <sz val="10.0"/>
      </rPr>
      <t>၃၃၇၉၅</t>
    </r>
  </si>
  <si>
    <r>
      <rPr>
        <rFont val="Myanmar Sangam MN"/>
        <b/>
        <color theme="1"/>
        <sz val="10.0"/>
      </rPr>
      <t>၁၂၅၇၇၄</t>
    </r>
  </si>
  <si>
    <r>
      <rPr>
        <rFont val="Myanmar Sangam MN"/>
        <b/>
        <color theme="1"/>
        <sz val="10.0"/>
      </rPr>
      <t>၅၉.၂၆</t>
    </r>
  </si>
  <si>
    <r>
      <rPr>
        <rFont val="Myanmar Sangam MN"/>
        <b/>
        <color theme="1"/>
        <sz val="10.0"/>
      </rPr>
      <t>၄၃၇၂</t>
    </r>
  </si>
  <si>
    <r>
      <rPr>
        <rFont val="Myanmar Sangam MN"/>
        <b/>
        <color theme="1"/>
        <sz val="10.0"/>
      </rPr>
      <t>၈၂၂</t>
    </r>
  </si>
  <si>
    <r>
      <rPr>
        <rFont val="Myanmar Sangam MN"/>
        <b/>
        <color theme="1"/>
        <sz val="10.0"/>
      </rPr>
      <t>၅၁၉၄</t>
    </r>
  </si>
  <si>
    <r>
      <rPr>
        <rFont val="Myanmar Sangam MN"/>
        <b/>
        <color theme="1"/>
        <sz val="10.0"/>
      </rPr>
      <t>၈၇၈၀၆</t>
    </r>
  </si>
  <si>
    <r>
      <rPr>
        <rFont val="Myanmar Sangam MN"/>
        <b/>
        <color theme="1"/>
        <sz val="10.0"/>
      </rPr>
      <t>၃၂၇၇၄</t>
    </r>
  </si>
  <si>
    <r>
      <rPr>
        <rFont val="Myanmar Sangam MN"/>
        <b/>
        <color theme="1"/>
        <sz val="10.0"/>
      </rPr>
      <t>၁၂၀၅၈၀</t>
    </r>
  </si>
  <si>
    <r>
      <rPr>
        <rFont val="Myanmar Sangam MN"/>
        <color theme="1"/>
        <sz val="10.0"/>
      </rPr>
      <t>ေဒါက်တာေဇာ်လင်းထွဋ်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</si>
  <si>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</si>
  <si>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၅၉၈၃၉</t>
    </r>
  </si>
  <si>
    <r>
      <rPr>
        <rFont val="Myanmar Sangam MN"/>
        <color theme="1"/>
        <sz val="10.0"/>
      </rPr>
      <t>၂၀၁၉၈</t>
    </r>
  </si>
  <si>
    <r>
      <rPr>
        <rFont val="Myanmar Sangam MN"/>
        <color theme="1"/>
        <sz val="10.0"/>
      </rPr>
      <t>၈၀၀၃၇</t>
    </r>
  </si>
  <si>
    <r>
      <rPr>
        <rFont val="Myanmar Sangam MN"/>
        <b/>
        <color theme="1"/>
        <sz val="9.0"/>
      </rPr>
      <t>၆၆.၃၈%</t>
    </r>
  </si>
  <si>
    <r>
      <rPr>
        <rFont val="Myanmar Sangam MN"/>
        <color theme="1"/>
        <sz val="10.0"/>
      </rPr>
      <t>ဦးမျးိ မင်းေဌး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</si>
  <si>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</si>
  <si>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၁၈၀၁၃</t>
    </r>
  </si>
  <si>
    <r>
      <rPr>
        <rFont val="Myanmar Sangam MN"/>
        <color theme="1"/>
        <sz val="10.0"/>
      </rPr>
      <t>၈၃၀၁</t>
    </r>
  </si>
  <si>
    <r>
      <rPr>
        <rFont val="Myanmar Sangam MN"/>
        <color theme="1"/>
        <sz val="10.0"/>
      </rPr>
      <t>၂၆၃၁၄</t>
    </r>
  </si>
  <si>
    <r>
      <rPr>
        <rFont val="Myanmar Sangam MN"/>
        <b/>
        <color theme="1"/>
        <sz val="9.0"/>
      </rPr>
      <t>၂၁.၈၂%</t>
    </r>
  </si>
  <si>
    <r>
      <rPr>
        <rFont val="Myanmar Sangam MN"/>
        <color theme="1"/>
        <sz val="10.0"/>
      </rPr>
      <t>ဦးထွန်းေအာင်</t>
    </r>
  </si>
  <si>
    <r>
      <rPr>
        <rFont val="Myanmar Sangam MN"/>
        <color theme="1"/>
        <sz val="10.0"/>
      </rPr>
      <t>ပအိုဝ်းအမျးိ သားအဖွဲချပ်ပါတီ</t>
    </r>
  </si>
  <si>
    <r>
      <rPr>
        <rFont val="Myanmar Sangam MN"/>
        <color theme="1"/>
        <sz val="10.0"/>
      </rPr>
      <t>၄၄၅၈</t>
    </r>
  </si>
  <si>
    <r>
      <rPr>
        <rFont val="Myanmar Sangam MN"/>
        <color theme="1"/>
        <sz val="10.0"/>
      </rPr>
      <t>၁၇၁၂</t>
    </r>
  </si>
  <si>
    <r>
      <rPr>
        <rFont val="Myanmar Sangam MN"/>
        <color theme="1"/>
        <sz val="10.0"/>
      </rPr>
      <t>၆၁၇၀</t>
    </r>
  </si>
  <si>
    <r>
      <rPr>
        <rFont val="Myanmar Sangam MN"/>
        <b/>
        <color theme="1"/>
        <sz val="9.0"/>
      </rPr>
      <t>၅.၁၂%</t>
    </r>
  </si>
  <si>
    <r>
      <rPr>
        <rFont val="Myanmar Sangam MN"/>
        <color theme="1"/>
        <sz val="10.0"/>
      </rPr>
      <t>ဦးခင်ေမာင်ြမင့်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</si>
  <si>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</si>
  <si>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၃၁၇၂</t>
    </r>
  </si>
  <si>
    <r>
      <rPr>
        <rFont val="Myanmar Sangam MN"/>
        <color theme="1"/>
        <sz val="10.0"/>
      </rPr>
      <t>၁၂၁၆</t>
    </r>
  </si>
  <si>
    <r>
      <rPr>
        <rFont val="Myanmar Sangam MN"/>
        <color theme="1"/>
        <sz val="10.0"/>
      </rPr>
      <t>၄၃၈၈</t>
    </r>
  </si>
  <si>
    <r>
      <rPr>
        <rFont val="Myanmar Sangam MN"/>
        <b/>
        <color theme="1"/>
        <sz val="9.0"/>
      </rPr>
      <t>၃.၆၃%</t>
    </r>
  </si>
  <si>
    <r>
      <rPr>
        <rFont val="Myanmar Sangam MN"/>
        <color theme="1"/>
        <sz val="10.0"/>
      </rPr>
      <t>နန်းေအးသာြမတ်သိန်း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</si>
  <si>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</si>
  <si>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၈၂၉</t>
    </r>
  </si>
  <si>
    <r>
      <rPr>
        <rFont val="Myanmar Sangam MN"/>
        <color theme="1"/>
        <sz val="10.0"/>
      </rPr>
      <t>၄၈၄</t>
    </r>
  </si>
  <si>
    <r>
      <rPr>
        <rFont val="Myanmar Sangam MN"/>
        <color theme="1"/>
        <sz val="10.0"/>
      </rPr>
      <t>၁၃၁၃</t>
    </r>
  </si>
  <si>
    <r>
      <rPr>
        <rFont val="Myanmar Sangam MN"/>
        <b/>
        <color theme="1"/>
        <sz val="9.0"/>
      </rPr>
      <t>၁.၀၉%</t>
    </r>
  </si>
  <si>
    <r>
      <rPr>
        <rFont val="Myanmar Sangam MN"/>
        <color theme="1"/>
        <sz val="10.0"/>
      </rPr>
      <t>ေဒွယ်ရီ</t>
    </r>
  </si>
  <si>
    <r>
      <rPr>
        <rFont val="Myanmar Sangam MN"/>
        <color theme="1"/>
        <sz val="10.0"/>
      </rPr>
      <t>ညီွတ်ေသာတိုင်းရင်းသားလူမျးိ များ ဒီမိုကေရစီပါတီ</t>
    </r>
  </si>
  <si>
    <r>
      <rPr>
        <rFont val="Myanmar Sangam MN"/>
        <color theme="1"/>
        <sz val="10.0"/>
      </rPr>
      <t>၅၅၅</t>
    </r>
  </si>
  <si>
    <r>
      <rPr>
        <rFont val="Myanmar Sangam MN"/>
        <color theme="1"/>
        <sz val="10.0"/>
      </rPr>
      <t>၃၁၃</t>
    </r>
  </si>
  <si>
    <r>
      <rPr>
        <rFont val="Myanmar Sangam MN"/>
        <color theme="1"/>
        <sz val="10.0"/>
      </rPr>
      <t>၈၆၈</t>
    </r>
  </si>
  <si>
    <r>
      <rPr>
        <rFont val="Myanmar Sangam MN"/>
        <b/>
        <color theme="1"/>
        <sz val="9.0"/>
      </rPr>
      <t>၀.၇၂%</t>
    </r>
  </si>
  <si>
    <r>
      <rPr>
        <rFont val="Myanmar Sangam MN"/>
        <color theme="1"/>
        <sz val="10.0"/>
      </rPr>
      <t>ဦးေလးိုင်</t>
    </r>
  </si>
  <si>
    <r>
      <rPr>
        <rFont val="Myanmar Sangam MN"/>
        <color theme="1"/>
        <sz val="10.0"/>
      </rPr>
      <t>၈၈ မျးိ ဆက်ဒီမိုကေရစီပါတီ</t>
    </r>
  </si>
  <si>
    <r>
      <rPr>
        <rFont val="Myanmar Sangam MN"/>
        <color theme="1"/>
        <sz val="10.0"/>
      </rPr>
      <t>၅၃၃</t>
    </r>
  </si>
  <si>
    <r>
      <rPr>
        <rFont val="Myanmar Sangam MN"/>
        <color theme="1"/>
        <sz val="10.0"/>
      </rPr>
      <t>၂၅၉</t>
    </r>
  </si>
  <si>
    <r>
      <rPr>
        <rFont val="Myanmar Sangam MN"/>
        <color theme="1"/>
        <sz val="10.0"/>
      </rPr>
      <t>၇၉၂</t>
    </r>
  </si>
  <si>
    <r>
      <rPr>
        <rFont val="Myanmar Sangam MN"/>
        <b/>
        <color theme="1"/>
        <sz val="9.0"/>
      </rPr>
      <t>၀.၆၆%</t>
    </r>
  </si>
  <si>
    <r>
      <rPr>
        <rFont val="Myanmar Sangam MN"/>
        <color theme="1"/>
        <sz val="10.0"/>
      </rPr>
      <t>ဦးေဇာ်ဝင်းေအာင်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</si>
  <si>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</si>
  <si>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၄၀၇</t>
    </r>
  </si>
  <si>
    <r>
      <rPr>
        <rFont val="Myanmar Sangam MN"/>
        <color theme="1"/>
        <sz val="10.0"/>
      </rPr>
      <t>၂၉၁</t>
    </r>
  </si>
  <si>
    <r>
      <rPr>
        <rFont val="Myanmar Sangam MN"/>
        <color theme="1"/>
        <sz val="10.0"/>
      </rPr>
      <t>၆၉၈</t>
    </r>
  </si>
  <si>
    <r>
      <rPr>
        <rFont val="Myanmar Sangam MN"/>
        <b/>
        <color theme="1"/>
        <sz val="9.0"/>
      </rPr>
      <t>၀.၅၈%</t>
    </r>
  </si>
  <si>
    <r>
      <rPr>
        <rFont val="Myanmar Sangam MN"/>
        <b/>
        <color theme="1"/>
        <sz val="10.0"/>
      </rPr>
      <t>ရခိုင်ြပည်နယ်</t>
    </r>
  </si>
  <si>
    <r>
      <rPr>
        <rFont val="Myanmar Sangam MN"/>
        <b/>
        <color theme="1"/>
        <sz val="10.0"/>
      </rPr>
      <t>၄၇၇၉၅၇</t>
    </r>
  </si>
  <si>
    <r>
      <rPr>
        <rFont val="Myanmar Sangam MN"/>
        <b/>
        <color theme="1"/>
        <sz val="10.0"/>
      </rPr>
      <t>၂၅၁၂၄၃</t>
    </r>
  </si>
  <si>
    <r>
      <rPr>
        <rFont val="Myanmar Sangam MN"/>
        <b/>
        <color theme="1"/>
        <sz val="10.0"/>
      </rPr>
      <t>၇၈၂၇၇</t>
    </r>
  </si>
  <si>
    <r>
      <rPr>
        <rFont val="Myanmar Sangam MN"/>
        <b/>
        <color theme="1"/>
        <sz val="10.0"/>
      </rPr>
      <t>၃၂၉၅၂၀</t>
    </r>
  </si>
  <si>
    <r>
      <rPr>
        <rFont val="Myanmar Sangam MN"/>
        <b/>
        <color theme="1"/>
        <sz val="10.0"/>
      </rPr>
      <t>၆၈.၉၄</t>
    </r>
  </si>
  <si>
    <r>
      <rPr>
        <rFont val="Myanmar Sangam MN"/>
        <b/>
        <color theme="1"/>
        <sz val="10.0"/>
      </rPr>
      <t>၁၃၂၂၇</t>
    </r>
  </si>
  <si>
    <r>
      <rPr>
        <rFont val="Myanmar Sangam MN"/>
        <b/>
        <color theme="1"/>
        <sz val="10.0"/>
      </rPr>
      <t>၇၂၁</t>
    </r>
  </si>
  <si>
    <r>
      <rPr>
        <rFont val="Myanmar Sangam MN"/>
        <b/>
        <color theme="1"/>
        <sz val="10.0"/>
      </rPr>
      <t>၁၃၉၄၈</t>
    </r>
  </si>
  <si>
    <r>
      <rPr>
        <rFont val="Myanmar Sangam MN"/>
        <color theme="1"/>
        <sz val="10.0"/>
      </rPr>
      <t>၂၃၈၂၀၃</t>
    </r>
  </si>
  <si>
    <r>
      <rPr>
        <rFont val="Myanmar Sangam MN"/>
        <color theme="1"/>
        <sz val="10.0"/>
      </rPr>
      <t>၇၇၃၆၉</t>
    </r>
  </si>
  <si>
    <r>
      <rPr>
        <rFont val="Myanmar Sangam MN"/>
        <b/>
        <color theme="1"/>
        <sz val="10.0"/>
      </rPr>
      <t>၃၁၅၅၇၂</t>
    </r>
  </si>
  <si>
    <r>
      <rPr>
        <rFont val="Myanmar Sangam MN"/>
        <b/>
        <color theme="1"/>
        <sz val="10.0"/>
      </rPr>
      <t>၁၂၁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</si>
  <si>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</si>
  <si>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၈၉၂၉၂</t>
    </r>
  </si>
  <si>
    <r>
      <rPr>
        <rFont val="Myanmar Sangam MN"/>
        <b/>
        <color theme="1"/>
        <sz val="10.0"/>
      </rPr>
      <t>၄၂၃၀၉</t>
    </r>
  </si>
  <si>
    <r>
      <rPr>
        <rFont val="Myanmar Sangam MN"/>
        <b/>
        <color theme="1"/>
        <sz val="10.0"/>
      </rPr>
      <t>၁၆၉၅၆</t>
    </r>
  </si>
  <si>
    <r>
      <rPr>
        <rFont val="Myanmar Sangam MN"/>
        <b/>
        <color theme="1"/>
        <sz val="10.0"/>
      </rPr>
      <t>၅၉၂၆၅</t>
    </r>
  </si>
  <si>
    <r>
      <rPr>
        <rFont val="Myanmar Sangam MN"/>
        <b/>
        <color theme="1"/>
        <sz val="10.0"/>
      </rPr>
      <t>၆၆.၃၇</t>
    </r>
  </si>
  <si>
    <r>
      <rPr>
        <rFont val="Myanmar Sangam MN"/>
        <b/>
        <color theme="1"/>
        <sz val="10.0"/>
      </rPr>
      <t>၂၄၀၆</t>
    </r>
  </si>
  <si>
    <r>
      <rPr>
        <rFont val="Myanmar Sangam MN"/>
        <b/>
        <color theme="1"/>
        <sz val="10.0"/>
      </rPr>
      <t>၈</t>
    </r>
  </si>
  <si>
    <r>
      <rPr>
        <rFont val="Myanmar Sangam MN"/>
        <b/>
        <color theme="1"/>
        <sz val="10.0"/>
      </rPr>
      <t>၂၄၁၄</t>
    </r>
  </si>
  <si>
    <r>
      <rPr>
        <rFont val="Myanmar Sangam MN"/>
        <b/>
        <color theme="1"/>
        <sz val="10.0"/>
      </rPr>
      <t>၃၉၉၀၄</t>
    </r>
  </si>
  <si>
    <r>
      <rPr>
        <rFont val="Myanmar Sangam MN"/>
        <b/>
        <color theme="1"/>
        <sz val="10.0"/>
      </rPr>
      <t>၁၆၉၄၇</t>
    </r>
  </si>
  <si>
    <r>
      <rPr>
        <rFont val="Myanmar Sangam MN"/>
        <b/>
        <color theme="1"/>
        <sz val="10.0"/>
      </rPr>
      <t>၅၆၈၅၁</t>
    </r>
  </si>
  <si>
    <r>
      <rPr>
        <rFont val="Myanmar Sangam MN"/>
        <color rgb="FF000000"/>
        <sz val="10.0"/>
      </rPr>
      <t xml:space="preserve">ေဒခင်လှမိင်(ခ)
</t>
    </r>
    <r>
      <rPr>
        <rFont val="Myanmar Sangam MN"/>
        <color rgb="FF000000"/>
        <sz val="10.0"/>
      </rPr>
      <t>ေဒခင်သန်းရင်</t>
    </r>
  </si>
  <si>
    <r>
      <rPr>
        <rFont val="Myanmar Sangam MN"/>
        <color theme="1"/>
        <sz val="10.0"/>
      </rPr>
      <t>ရခိုင်အမျးိ သားပါတီ</t>
    </r>
  </si>
  <si>
    <r>
      <rPr>
        <rFont val="Myanmar Sangam MN"/>
        <color theme="1"/>
        <sz val="10.0"/>
      </rPr>
      <t>၁၄၁၈၅</t>
    </r>
  </si>
  <si>
    <r>
      <rPr>
        <rFont val="Myanmar Sangam MN"/>
        <color theme="1"/>
        <sz val="10.0"/>
      </rPr>
      <t>၅၁၂၄</t>
    </r>
  </si>
  <si>
    <r>
      <rPr>
        <rFont val="Myanmar Sangam MN"/>
        <color theme="1"/>
        <sz val="10.0"/>
      </rPr>
      <t>၁၉၃၀၉</t>
    </r>
  </si>
  <si>
    <r>
      <rPr>
        <rFont val="Myanmar Sangam MN"/>
        <b/>
        <color theme="1"/>
        <sz val="9.0"/>
      </rPr>
      <t>၃၃.၉၆%</t>
    </r>
  </si>
  <si>
    <r>
      <rPr>
        <rFont val="Myanmar Sangam MN"/>
        <color theme="1"/>
        <sz val="10.0"/>
      </rPr>
      <t>ဦးေကျာ်လွင်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</si>
  <si>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</si>
  <si>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၁၀၄၀၁</t>
    </r>
  </si>
  <si>
    <r>
      <rPr>
        <rFont val="Myanmar Sangam MN"/>
        <color theme="1"/>
        <sz val="10.0"/>
      </rPr>
      <t>၃၀၀၈</t>
    </r>
  </si>
  <si>
    <r>
      <rPr>
        <rFont val="Myanmar Sangam MN"/>
        <color theme="1"/>
        <sz val="10.0"/>
      </rPr>
      <t>၁၃၄၀၉</t>
    </r>
  </si>
  <si>
    <r>
      <rPr>
        <rFont val="Myanmar Sangam MN"/>
        <b/>
        <color theme="1"/>
        <sz val="9.0"/>
      </rPr>
      <t>၂၃.၅၉%</t>
    </r>
  </si>
  <si>
    <r>
      <rPr>
        <rFont val="Myanmar Sangam MN"/>
        <color theme="1"/>
        <sz val="10.0"/>
      </rPr>
      <t>ဦးသင်းလင်</t>
    </r>
  </si>
  <si>
    <r>
      <rPr>
        <rFont val="Myanmar Sangam MN"/>
        <color theme="1"/>
        <sz val="10.0"/>
      </rPr>
      <t>ရခိုင်ဒီမိုကေရစီအဖွဲချပ်ပါတီ</t>
    </r>
  </si>
  <si>
    <r>
      <rPr>
        <rFont val="Myanmar Sangam MN"/>
        <color theme="1"/>
        <sz val="10.0"/>
      </rPr>
      <t>၆၇၇၂</t>
    </r>
  </si>
  <si>
    <r>
      <rPr>
        <rFont val="Myanmar Sangam MN"/>
        <color theme="1"/>
        <sz val="10.0"/>
      </rPr>
      <t>၂၈၈၂</t>
    </r>
  </si>
  <si>
    <r>
      <rPr>
        <rFont val="Myanmar Sangam MN"/>
        <color theme="1"/>
        <sz val="10.0"/>
      </rPr>
      <t>၉၆၅၄</t>
    </r>
  </si>
  <si>
    <r>
      <rPr>
        <rFont val="Myanmar Sangam MN"/>
        <b/>
        <color theme="1"/>
        <sz val="9.0"/>
      </rPr>
      <t>၁၆.၉၈%</t>
    </r>
  </si>
  <si>
    <r>
      <rPr>
        <rFont val="Myanmar Sangam MN"/>
        <color theme="1"/>
        <sz val="10.0"/>
      </rPr>
      <t>ဦးသိန်းု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</si>
  <si>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</si>
  <si>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၄၀၃၄</t>
    </r>
  </si>
  <si>
    <r>
      <rPr>
        <rFont val="Myanmar Sangam MN"/>
        <color theme="1"/>
        <sz val="10.0"/>
      </rPr>
      <t>၃၅၅၉</t>
    </r>
  </si>
  <si>
    <r>
      <rPr>
        <rFont val="Myanmar Sangam MN"/>
        <color theme="1"/>
        <sz val="10.0"/>
      </rPr>
      <t>၇၅၉၃</t>
    </r>
  </si>
  <si>
    <r>
      <rPr>
        <rFont val="Myanmar Sangam MN"/>
        <b/>
        <color theme="1"/>
        <sz val="9.0"/>
      </rPr>
      <t>၁၃.၃၆%</t>
    </r>
  </si>
  <si>
    <r>
      <rPr>
        <rFont val="Myanmar Sangam MN"/>
        <color theme="1"/>
        <sz val="10.0"/>
      </rPr>
      <t>ဦးစန်းေဝ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</si>
  <si>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</si>
  <si>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၄၅၁၂</t>
    </r>
  </si>
  <si>
    <r>
      <rPr>
        <rFont val="Myanmar Sangam MN"/>
        <color theme="1"/>
        <sz val="10.0"/>
      </rPr>
      <t>၂၃၇၄</t>
    </r>
  </si>
  <si>
    <r>
      <rPr>
        <rFont val="Myanmar Sangam MN"/>
        <color theme="1"/>
        <sz val="10.0"/>
      </rPr>
      <t>၆၈၈၆</t>
    </r>
  </si>
  <si>
    <r>
      <rPr>
        <rFont val="Myanmar Sangam MN"/>
        <b/>
        <color theme="1"/>
        <sz val="9.0"/>
      </rPr>
      <t>၁၂.၁၁%</t>
    </r>
  </si>
  <si>
    <r>
      <rPr>
        <rFont val="Myanmar Sangam MN"/>
        <b/>
        <color theme="1"/>
        <sz val="10.0"/>
      </rPr>
      <t>၁၂၂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</si>
  <si>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</si>
  <si>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၁၀၃၆၀၃</t>
    </r>
  </si>
  <si>
    <r>
      <rPr>
        <rFont val="Myanmar Sangam MN"/>
        <b/>
        <color theme="1"/>
        <sz val="10.0"/>
      </rPr>
      <t>၅၆၁၈၁</t>
    </r>
  </si>
  <si>
    <r>
      <rPr>
        <rFont val="Myanmar Sangam MN"/>
        <b/>
        <color theme="1"/>
        <sz val="10.0"/>
      </rPr>
      <t>၁၃၁၇၉</t>
    </r>
  </si>
  <si>
    <r>
      <rPr>
        <rFont val="Myanmar Sangam MN"/>
        <b/>
        <color theme="1"/>
        <sz val="10.0"/>
      </rPr>
      <t>၆၉၃၆၀</t>
    </r>
  </si>
  <si>
    <r>
      <rPr>
        <rFont val="Myanmar Sangam MN"/>
        <b/>
        <color theme="1"/>
        <sz val="10.0"/>
      </rPr>
      <t>၆၆.၉၅</t>
    </r>
  </si>
  <si>
    <r>
      <rPr>
        <rFont val="Myanmar Sangam MN"/>
        <b/>
        <color theme="1"/>
        <sz val="10.0"/>
      </rPr>
      <t>၃၇၂၁</t>
    </r>
  </si>
  <si>
    <r>
      <rPr>
        <rFont val="Myanmar Sangam MN"/>
        <b/>
        <color theme="1"/>
        <sz val="10.0"/>
      </rPr>
      <t>၄၇၀</t>
    </r>
  </si>
  <si>
    <r>
      <rPr>
        <rFont val="Myanmar Sangam MN"/>
        <b/>
        <color theme="1"/>
        <sz val="10.0"/>
      </rPr>
      <t>၄၁၉၁</t>
    </r>
  </si>
  <si>
    <r>
      <rPr>
        <rFont val="Myanmar Sangam MN"/>
        <b/>
        <color theme="1"/>
        <sz val="10.0"/>
      </rPr>
      <t>၅၂၃၅၅</t>
    </r>
  </si>
  <si>
    <r>
      <rPr>
        <rFont val="Myanmar Sangam MN"/>
        <b/>
        <color theme="1"/>
        <sz val="10.0"/>
      </rPr>
      <t>၁၂၈၁၄</t>
    </r>
  </si>
  <si>
    <r>
      <rPr>
        <rFont val="Myanmar Sangam MN"/>
        <b/>
        <color theme="1"/>
        <sz val="10.0"/>
      </rPr>
      <t>၆၅၁၆၉</t>
    </r>
  </si>
  <si>
    <r>
      <rPr>
        <rFont val="Myanmar Sangam MN"/>
        <color theme="1"/>
        <sz val="10.0"/>
      </rPr>
      <t>ဦးေကျာ်လင်ထူး</t>
    </r>
  </si>
  <si>
    <r>
      <rPr>
        <rFont val="Myanmar Sangam MN"/>
        <color theme="1"/>
        <sz val="10.0"/>
      </rPr>
      <t>ရခိုင်အမျးိ သားပါတီ</t>
    </r>
  </si>
  <si>
    <r>
      <rPr>
        <rFont val="Myanmar Sangam MN"/>
        <color theme="1"/>
        <sz val="10.0"/>
      </rPr>
      <t>၁၉၄၇၁</t>
    </r>
  </si>
  <si>
    <r>
      <rPr>
        <rFont val="Myanmar Sangam MN"/>
        <color theme="1"/>
        <sz val="10.0"/>
      </rPr>
      <t>၃၅၉၂</t>
    </r>
  </si>
  <si>
    <r>
      <rPr>
        <rFont val="Myanmar Sangam MN"/>
        <color theme="1"/>
        <sz val="10.0"/>
      </rPr>
      <t>၂၃၀၆၃</t>
    </r>
  </si>
  <si>
    <r>
      <rPr>
        <rFont val="Myanmar Sangam MN"/>
        <b/>
        <color theme="1"/>
        <sz val="9.0"/>
      </rPr>
      <t>၃၅.၃၉%</t>
    </r>
  </si>
  <si>
    <r>
      <rPr>
        <rFont val="Myanmar Sangam MN"/>
        <color theme="1"/>
        <sz val="10.0"/>
      </rPr>
      <t>ဦးေသာင်းဝင်း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</si>
  <si>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</si>
  <si>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၁၀၁၅၃</t>
    </r>
  </si>
  <si>
    <r>
      <rPr>
        <rFont val="Myanmar Sangam MN"/>
        <color theme="1"/>
        <sz val="10.0"/>
      </rPr>
      <t>၄၄၄၉</t>
    </r>
  </si>
  <si>
    <r>
      <rPr>
        <rFont val="Myanmar Sangam MN"/>
        <color theme="1"/>
        <sz val="10.0"/>
      </rPr>
      <t>၁၄၆၀၂</t>
    </r>
  </si>
  <si>
    <r>
      <rPr>
        <rFont val="Myanmar Sangam MN"/>
        <b/>
        <color theme="1"/>
        <sz val="9.0"/>
      </rPr>
      <t>၂၂.၄၁%</t>
    </r>
  </si>
  <si>
    <r>
      <rPr>
        <rFont val="Myanmar Sangam MN"/>
        <color theme="1"/>
        <sz val="10.0"/>
      </rPr>
      <t>ဦးစန်းေအာင်</t>
    </r>
  </si>
  <si>
    <r>
      <rPr>
        <rFont val="Myanmar Sangam MN"/>
        <color theme="1"/>
        <sz val="10.0"/>
      </rPr>
      <t>ရခိုင်ဒီမိုကေရစီအဖွဲချပ်ပါတီ</t>
    </r>
  </si>
  <si>
    <r>
      <rPr>
        <rFont val="Myanmar Sangam MN"/>
        <color theme="1"/>
        <sz val="10.0"/>
      </rPr>
      <t>၉၂၉၃</t>
    </r>
  </si>
  <si>
    <r>
      <rPr>
        <rFont val="Myanmar Sangam MN"/>
        <color theme="1"/>
        <sz val="10.0"/>
      </rPr>
      <t>၂၁၀၃</t>
    </r>
  </si>
  <si>
    <r>
      <rPr>
        <rFont val="Myanmar Sangam MN"/>
        <color theme="1"/>
        <sz val="10.0"/>
      </rPr>
      <t>၁၁၃၉၆</t>
    </r>
  </si>
  <si>
    <r>
      <rPr>
        <rFont val="Myanmar Sangam MN"/>
        <b/>
        <color theme="1"/>
        <sz val="9.0"/>
      </rPr>
      <t>၁၇.၄၉%</t>
    </r>
  </si>
  <si>
    <r>
      <rPr>
        <rFont val="Myanmar Sangam MN"/>
        <color theme="1"/>
        <sz val="10.0"/>
      </rPr>
      <t>ဦးမိုးိုင်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</si>
  <si>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</si>
  <si>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၆၇၈၆</t>
    </r>
  </si>
  <si>
    <r>
      <rPr>
        <rFont val="Myanmar Sangam MN"/>
        <color theme="1"/>
        <sz val="10.0"/>
      </rPr>
      <t>၁၄၆၈</t>
    </r>
  </si>
  <si>
    <r>
      <rPr>
        <rFont val="Myanmar Sangam MN"/>
        <color theme="1"/>
        <sz val="10.0"/>
      </rPr>
      <t>၈၂၅၄</t>
    </r>
  </si>
  <si>
    <r>
      <rPr>
        <rFont val="Myanmar Sangam MN"/>
        <b/>
        <color theme="1"/>
        <sz val="9.0"/>
      </rPr>
      <t>၁၂.၆၆%</t>
    </r>
  </si>
  <si>
    <r>
      <rPr>
        <rFont val="Myanmar Sangam MN"/>
        <color theme="1"/>
        <sz val="10.0"/>
      </rPr>
      <t>ဦးထွန်းဝင်းလတ်</t>
    </r>
  </si>
  <si>
    <r>
      <rPr>
        <rFont val="Myanmar Sangam MN"/>
        <color theme="1"/>
        <sz val="10.0"/>
      </rPr>
      <t>ရခိုင့်ဦးေဆာင်ပါတီ</t>
    </r>
  </si>
  <si>
    <r>
      <rPr>
        <rFont val="Myanmar Sangam MN"/>
        <color theme="1"/>
        <sz val="10.0"/>
      </rPr>
      <t>၆၆၅၂</t>
    </r>
  </si>
  <si>
    <r>
      <rPr>
        <rFont val="Myanmar Sangam MN"/>
        <color theme="1"/>
        <sz val="10.0"/>
      </rPr>
      <t>၁၂၀၂</t>
    </r>
  </si>
  <si>
    <r>
      <rPr>
        <rFont val="Myanmar Sangam MN"/>
        <color theme="1"/>
        <sz val="10.0"/>
      </rPr>
      <t>၇၈၅၄</t>
    </r>
  </si>
  <si>
    <r>
      <rPr>
        <rFont val="Myanmar Sangam MN"/>
        <b/>
        <color theme="1"/>
        <sz val="9.0"/>
      </rPr>
      <t>၁၂.၀၅%</t>
    </r>
  </si>
  <si>
    <r>
      <rPr>
        <rFont val="Myanmar Sangam MN"/>
        <b/>
        <color theme="1"/>
        <sz val="10.0"/>
      </rPr>
      <t>၁၂၃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</si>
  <si>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</si>
  <si>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၁၀၇၂၃၂</t>
    </r>
  </si>
  <si>
    <r>
      <rPr>
        <rFont val="Myanmar Sangam MN"/>
        <b/>
        <color theme="1"/>
        <sz val="10.0"/>
      </rPr>
      <t>၄၆၁၇၀</t>
    </r>
  </si>
  <si>
    <r>
      <rPr>
        <rFont val="Myanmar Sangam MN"/>
        <b/>
        <color theme="1"/>
        <sz val="10.0"/>
      </rPr>
      <t>၁၂၉၅၁</t>
    </r>
  </si>
  <si>
    <r>
      <rPr>
        <rFont val="Myanmar Sangam MN"/>
        <b/>
        <color theme="1"/>
        <sz val="10.0"/>
      </rPr>
      <t>၅၉၁၂၁</t>
    </r>
  </si>
  <si>
    <r>
      <rPr>
        <rFont val="Myanmar Sangam MN"/>
        <b/>
        <color theme="1"/>
        <sz val="10.0"/>
      </rPr>
      <t>၅၅.၁၃</t>
    </r>
  </si>
  <si>
    <r>
      <rPr>
        <rFont val="Myanmar Sangam MN"/>
        <b/>
        <color theme="1"/>
        <sz val="10.0"/>
      </rPr>
      <t>၂၂၇၂</t>
    </r>
  </si>
  <si>
    <r>
      <rPr>
        <rFont val="Myanmar Sangam MN"/>
        <b/>
        <color theme="1"/>
        <sz val="10.0"/>
      </rPr>
      <t>၁၀၀</t>
    </r>
  </si>
  <si>
    <r>
      <rPr>
        <rFont val="Myanmar Sangam MN"/>
        <b/>
        <color theme="1"/>
        <sz val="10.0"/>
      </rPr>
      <t>၂၃၇၂</t>
    </r>
  </si>
  <si>
    <r>
      <rPr>
        <rFont val="Myanmar Sangam MN"/>
        <b/>
        <color theme="1"/>
        <sz val="10.0"/>
      </rPr>
      <t>၄၃၇၉၈</t>
    </r>
  </si>
  <si>
    <r>
      <rPr>
        <rFont val="Myanmar Sangam MN"/>
        <b/>
        <color theme="1"/>
        <sz val="10.0"/>
      </rPr>
      <t>၁၂၉၅၁</t>
    </r>
  </si>
  <si>
    <r>
      <rPr>
        <rFont val="Myanmar Sangam MN"/>
        <b/>
        <color theme="1"/>
        <sz val="10.0"/>
      </rPr>
      <t>၅၆၇၄၉</t>
    </r>
  </si>
  <si>
    <r>
      <rPr>
        <rFont val="Myanmar Sangam MN"/>
        <color theme="1"/>
        <sz val="10.0"/>
      </rPr>
      <t>ဦးထွန်းေအာင်ေကျာ်</t>
    </r>
  </si>
  <si>
    <r>
      <rPr>
        <rFont val="Myanmar Sangam MN"/>
        <color theme="1"/>
        <sz val="10.0"/>
      </rPr>
      <t>ရခိုင်အမျးိ သားပါတီ</t>
    </r>
  </si>
  <si>
    <r>
      <rPr>
        <rFont val="Myanmar Sangam MN"/>
        <color theme="1"/>
        <sz val="10.0"/>
      </rPr>
      <t>၂၁၂၆၈</t>
    </r>
  </si>
  <si>
    <r>
      <rPr>
        <rFont val="Myanmar Sangam MN"/>
        <color theme="1"/>
        <sz val="10.0"/>
      </rPr>
      <t>၄၄၃၃</t>
    </r>
  </si>
  <si>
    <r>
      <rPr>
        <rFont val="Myanmar Sangam MN"/>
        <color theme="1"/>
        <sz val="10.0"/>
      </rPr>
      <t>၂၅၇၀၁</t>
    </r>
  </si>
  <si>
    <r>
      <rPr>
        <rFont val="Myanmar Sangam MN"/>
        <b/>
        <color theme="1"/>
        <sz val="9.0"/>
      </rPr>
      <t>၄၅.၂၉%</t>
    </r>
  </si>
  <si>
    <r>
      <rPr>
        <rFont val="Myanmar Sangam MN"/>
        <color theme="1"/>
        <sz val="10.0"/>
      </rPr>
      <t>ဦးေကျာ်ေဇာဦး</t>
    </r>
  </si>
  <si>
    <r>
      <rPr>
        <rFont val="Myanmar Sangam MN"/>
        <color theme="1"/>
        <sz val="10.0"/>
      </rPr>
      <t>ရခိုင့်ဦးေဆာင်ပါတီ</t>
    </r>
  </si>
  <si>
    <r>
      <rPr>
        <rFont val="Myanmar Sangam MN"/>
        <color theme="1"/>
        <sz val="10.0"/>
      </rPr>
      <t>၁၆၇၅၅</t>
    </r>
  </si>
  <si>
    <r>
      <rPr>
        <rFont val="Myanmar Sangam MN"/>
        <color theme="1"/>
        <sz val="10.0"/>
      </rPr>
      <t>၂၄၉၀</t>
    </r>
  </si>
  <si>
    <r>
      <rPr>
        <rFont val="Myanmar Sangam MN"/>
        <color theme="1"/>
        <sz val="10.0"/>
      </rPr>
      <t>၁၉၂၄၅</t>
    </r>
  </si>
  <si>
    <r>
      <rPr>
        <rFont val="Myanmar Sangam MN"/>
        <b/>
        <color theme="1"/>
        <sz val="9.0"/>
      </rPr>
      <t>၃၃.၉၁%</t>
    </r>
  </si>
  <si>
    <r>
      <rPr>
        <rFont val="Myanmar Sangam MN"/>
        <color theme="1"/>
        <sz val="10.0"/>
      </rPr>
      <t>ဦးစန်းေငွ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</si>
  <si>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</si>
  <si>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၃၉၁၂</t>
    </r>
  </si>
  <si>
    <r>
      <rPr>
        <rFont val="Myanmar Sangam MN"/>
        <color theme="1"/>
        <sz val="10.0"/>
      </rPr>
      <t>၅၁၆၅</t>
    </r>
  </si>
  <si>
    <r>
      <rPr>
        <rFont val="Myanmar Sangam MN"/>
        <color theme="1"/>
        <sz val="10.0"/>
      </rPr>
      <t>၉၀၇၇</t>
    </r>
  </si>
  <si>
    <r>
      <rPr>
        <rFont val="Myanmar Sangam MN"/>
        <b/>
        <color theme="1"/>
        <sz val="9.0"/>
      </rPr>
      <t>၁၆.၀၀%</t>
    </r>
  </si>
  <si>
    <r>
      <rPr>
        <rFont val="Myanmar Sangam MN"/>
        <color theme="1"/>
        <sz val="10.0"/>
      </rPr>
      <t>ဦးခင်ေမာင်ရီ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</si>
  <si>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</si>
  <si>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၁၈၆၃</t>
    </r>
  </si>
  <si>
    <r>
      <rPr>
        <rFont val="Myanmar Sangam MN"/>
        <color theme="1"/>
        <sz val="10.0"/>
      </rPr>
      <t>၈၆၃</t>
    </r>
  </si>
  <si>
    <r>
      <rPr>
        <rFont val="Myanmar Sangam MN"/>
        <color theme="1"/>
        <sz val="10.0"/>
      </rPr>
      <t>၂၇၂၆</t>
    </r>
  </si>
  <si>
    <r>
      <rPr>
        <rFont val="Myanmar Sangam MN"/>
        <b/>
        <color theme="1"/>
        <sz val="9.0"/>
      </rPr>
      <t>၄.၈၀%</t>
    </r>
  </si>
  <si>
    <r>
      <rPr>
        <rFont val="Myanmar Sangam MN"/>
        <b/>
        <color theme="1"/>
        <sz val="10.0"/>
      </rPr>
      <t>၁၂၄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</si>
  <si>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</si>
  <si>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၁၅၅၈၇၈</t>
    </r>
  </si>
  <si>
    <r>
      <rPr>
        <rFont val="Myanmar Sangam MN"/>
        <b/>
        <color theme="1"/>
        <sz val="10.0"/>
      </rPr>
      <t>၉၅၄၀၈</t>
    </r>
  </si>
  <si>
    <r>
      <rPr>
        <rFont val="Myanmar Sangam MN"/>
        <b/>
        <color theme="1"/>
        <sz val="10.0"/>
      </rPr>
      <t>၃၀၇၉၀</t>
    </r>
  </si>
  <si>
    <r>
      <rPr>
        <rFont val="Myanmar Sangam MN"/>
        <b/>
        <color theme="1"/>
        <sz val="10.0"/>
      </rPr>
      <t>၁၂၆၁၉၈</t>
    </r>
  </si>
  <si>
    <r>
      <rPr>
        <rFont val="Myanmar Sangam MN"/>
        <b/>
        <color theme="1"/>
        <sz val="10.0"/>
      </rPr>
      <t>၈၀.၉၆</t>
    </r>
  </si>
  <si>
    <r>
      <rPr>
        <rFont val="Myanmar Sangam MN"/>
        <b/>
        <color theme="1"/>
        <sz val="10.0"/>
      </rPr>
      <t>၄၄၁၂</t>
    </r>
  </si>
  <si>
    <r>
      <rPr>
        <rFont val="Myanmar Sangam MN"/>
        <b/>
        <color theme="1"/>
        <sz val="10.0"/>
      </rPr>
      <t>၁၃၄</t>
    </r>
  </si>
  <si>
    <r>
      <rPr>
        <rFont val="Myanmar Sangam MN"/>
        <b/>
        <color theme="1"/>
        <sz val="10.0"/>
      </rPr>
      <t>၄၅၄၆</t>
    </r>
  </si>
  <si>
    <r>
      <rPr>
        <rFont val="Myanmar Sangam MN"/>
        <b/>
        <color theme="1"/>
        <sz val="10.0"/>
      </rPr>
      <t>၉၁၃၃၆</t>
    </r>
  </si>
  <si>
    <r>
      <rPr>
        <rFont val="Myanmar Sangam MN"/>
        <b/>
        <color theme="1"/>
        <sz val="10.0"/>
      </rPr>
      <t>၃၀၃၁၆</t>
    </r>
  </si>
  <si>
    <r>
      <rPr>
        <rFont val="Myanmar Sangam MN"/>
        <b/>
        <color theme="1"/>
        <sz val="10.0"/>
      </rPr>
      <t>၁၂၁၆၅၂</t>
    </r>
  </si>
  <si>
    <r>
      <rPr>
        <rFont val="Myanmar Sangam MN"/>
        <color theme="1"/>
        <sz val="10.0"/>
      </rPr>
      <t>ဦးစိုးဝင်း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</si>
  <si>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</si>
  <si>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၄၇၂၁၇</t>
    </r>
  </si>
  <si>
    <r>
      <rPr>
        <rFont val="Myanmar Sangam MN"/>
        <color theme="1"/>
        <sz val="10.0"/>
      </rPr>
      <t>၁၅၃၉၅</t>
    </r>
  </si>
  <si>
    <r>
      <rPr>
        <rFont val="Myanmar Sangam MN"/>
        <color theme="1"/>
        <sz val="10.0"/>
      </rPr>
      <t>၆၂၆၁၂</t>
    </r>
  </si>
  <si>
    <r>
      <rPr>
        <rFont val="Myanmar Sangam MN"/>
        <b/>
        <color theme="1"/>
        <sz val="9.0"/>
      </rPr>
      <t>၅၁.၄၆%</t>
    </r>
  </si>
  <si>
    <r>
      <rPr>
        <rFont val="Myanmar Sangam MN"/>
        <color theme="1"/>
        <sz val="10.0"/>
      </rPr>
      <t>ဦးတင်ညိ</t>
    </r>
  </si>
  <si>
    <r>
      <rPr>
        <rFont val="Myanmar Sangam MN"/>
        <color theme="1"/>
        <sz val="10.0"/>
      </rPr>
      <t>ရခိုင်အမျးိ သားပါတီ</t>
    </r>
  </si>
  <si>
    <r>
      <rPr>
        <rFont val="Myanmar Sangam MN"/>
        <color theme="1"/>
        <sz val="10.0"/>
      </rPr>
      <t>၂၂၆၃၀</t>
    </r>
  </si>
  <si>
    <r>
      <rPr>
        <rFont val="Myanmar Sangam MN"/>
        <color theme="1"/>
        <sz val="10.0"/>
      </rPr>
      <t>၆၅၀၉</t>
    </r>
  </si>
  <si>
    <r>
      <rPr>
        <rFont val="Myanmar Sangam MN"/>
        <color theme="1"/>
        <sz val="10.0"/>
      </rPr>
      <t>၂၉၁၃၉</t>
    </r>
  </si>
  <si>
    <r>
      <rPr>
        <rFont val="Myanmar Sangam MN"/>
        <b/>
        <color theme="1"/>
        <sz val="9.0"/>
      </rPr>
      <t>၂၃.၉၅%</t>
    </r>
  </si>
  <si>
    <r>
      <rPr>
        <rFont val="Myanmar Sangam MN"/>
        <color theme="1"/>
        <sz val="10.0"/>
      </rPr>
      <t>ေဒခင်မူ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</si>
  <si>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</si>
  <si>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၁၅၈၀၆</t>
    </r>
  </si>
  <si>
    <r>
      <rPr>
        <rFont val="Myanmar Sangam MN"/>
        <color theme="1"/>
        <sz val="10.0"/>
      </rPr>
      <t>၆၇၅၇</t>
    </r>
  </si>
  <si>
    <r>
      <rPr>
        <rFont val="Myanmar Sangam MN"/>
        <color theme="1"/>
        <sz val="10.0"/>
      </rPr>
      <t>၂၂၅၆၃</t>
    </r>
  </si>
  <si>
    <r>
      <rPr>
        <rFont val="Myanmar Sangam MN"/>
        <b/>
        <color theme="1"/>
        <sz val="9.0"/>
      </rPr>
      <t>၁၈.၅၅%</t>
    </r>
  </si>
  <si>
    <r>
      <rPr>
        <rFont val="Myanmar Sangam MN"/>
        <color theme="1"/>
        <sz val="10.0"/>
      </rPr>
      <t>ေဒသိဂစိုး</t>
    </r>
  </si>
  <si>
    <r>
      <rPr>
        <rFont val="Myanmar Sangam MN"/>
        <color theme="1"/>
        <sz val="10.0"/>
      </rPr>
      <t>ရခိုင်ဒီမိုကေရစီအဖွဲချပ်ပါတီ</t>
    </r>
  </si>
  <si>
    <r>
      <rPr>
        <rFont val="Myanmar Sangam MN"/>
        <color theme="1"/>
        <sz val="10.0"/>
      </rPr>
      <t>၂၇၂၂</t>
    </r>
  </si>
  <si>
    <r>
      <rPr>
        <rFont val="Myanmar Sangam MN"/>
        <color theme="1"/>
        <sz val="10.0"/>
      </rPr>
      <t>၇၃၁</t>
    </r>
  </si>
  <si>
    <r>
      <rPr>
        <rFont val="Myanmar Sangam MN"/>
        <color theme="1"/>
        <sz val="10.0"/>
      </rPr>
      <t>၃၄၅၃</t>
    </r>
  </si>
  <si>
    <r>
      <rPr>
        <rFont val="Myanmar Sangam MN"/>
        <b/>
        <color theme="1"/>
        <sz val="9.0"/>
      </rPr>
      <t>၂.၈၄%</t>
    </r>
  </si>
  <si>
    <r>
      <rPr>
        <rFont val="Myanmar Sangam MN"/>
        <color theme="1"/>
        <sz val="10.0"/>
      </rPr>
      <t>ဦးကည်သူ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</si>
  <si>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</si>
  <si>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၁၅၃၄</t>
    </r>
  </si>
  <si>
    <r>
      <rPr>
        <rFont val="Myanmar Sangam MN"/>
        <color theme="1"/>
        <sz val="10.0"/>
      </rPr>
      <t>၅၀၇</t>
    </r>
  </si>
  <si>
    <r>
      <rPr>
        <rFont val="Myanmar Sangam MN"/>
        <color theme="1"/>
        <sz val="10.0"/>
      </rPr>
      <t>၂၀၄၁</t>
    </r>
  </si>
  <si>
    <r>
      <rPr>
        <rFont val="Myanmar Sangam MN"/>
        <b/>
        <color theme="1"/>
        <sz val="9.0"/>
      </rPr>
      <t>၁.၆၈%</t>
    </r>
  </si>
  <si>
    <r>
      <rPr>
        <rFont val="Myanmar Sangam MN"/>
        <color theme="1"/>
        <sz val="10.0"/>
      </rPr>
      <t>ေဒခင်ွဲရီ</t>
    </r>
  </si>
  <si>
    <r>
      <rPr>
        <rFont val="Myanmar Sangam MN"/>
        <color theme="1"/>
        <sz val="10.0"/>
      </rPr>
      <t>ရခိုင်ြပည်နယ်အမျးိ သားအင်အားစုပါတီ</t>
    </r>
  </si>
  <si>
    <r>
      <rPr>
        <rFont val="Myanmar Sangam MN"/>
        <color theme="1"/>
        <sz val="10.0"/>
      </rPr>
      <t>၁၄၂၇</t>
    </r>
  </si>
  <si>
    <r>
      <rPr>
        <rFont val="Myanmar Sangam MN"/>
        <color theme="1"/>
        <sz val="10.0"/>
      </rPr>
      <t>၄၁၇</t>
    </r>
  </si>
  <si>
    <r>
      <rPr>
        <rFont val="Myanmar Sangam MN"/>
        <color theme="1"/>
        <sz val="10.0"/>
      </rPr>
      <t>၁၈၄၄</t>
    </r>
  </si>
  <si>
    <r>
      <rPr>
        <rFont val="Myanmar Sangam MN"/>
        <b/>
        <color theme="1"/>
        <sz val="9.0"/>
      </rPr>
      <t>၁.၅၂%</t>
    </r>
  </si>
  <si>
    <r>
      <rPr>
        <rFont val="Myanmar Sangam MN"/>
        <b/>
        <color theme="1"/>
        <sz val="10.0"/>
      </rPr>
      <t>၁၂၅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</si>
  <si>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</si>
  <si>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၂၁၉၅၂</t>
    </r>
  </si>
  <si>
    <r>
      <rPr>
        <rFont val="Myanmar Sangam MN"/>
        <b/>
        <color theme="1"/>
        <sz val="10.0"/>
      </rPr>
      <t>၁၁၁၇၅</t>
    </r>
  </si>
  <si>
    <r>
      <rPr>
        <rFont val="Myanmar Sangam MN"/>
        <b/>
        <color theme="1"/>
        <sz val="10.0"/>
      </rPr>
      <t>၄၄၀၁</t>
    </r>
  </si>
  <si>
    <r>
      <rPr>
        <rFont val="Myanmar Sangam MN"/>
        <b/>
        <color theme="1"/>
        <sz val="10.0"/>
      </rPr>
      <t>၁၅၅၇၆</t>
    </r>
  </si>
  <si>
    <r>
      <rPr>
        <rFont val="Myanmar Sangam MN"/>
        <b/>
        <color theme="1"/>
        <sz val="10.0"/>
      </rPr>
      <t>၇၀.၉၅</t>
    </r>
  </si>
  <si>
    <r>
      <rPr>
        <rFont val="Myanmar Sangam MN"/>
        <b/>
        <color theme="1"/>
        <sz val="10.0"/>
      </rPr>
      <t>၄၁၆</t>
    </r>
  </si>
  <si>
    <r>
      <rPr>
        <rFont val="Myanmar Sangam MN"/>
        <b/>
        <color theme="1"/>
        <sz val="10.0"/>
      </rPr>
      <t>၉</t>
    </r>
  </si>
  <si>
    <r>
      <rPr>
        <rFont val="Myanmar Sangam MN"/>
        <b/>
        <color theme="1"/>
        <sz val="10.0"/>
      </rPr>
      <t>၄၂၅</t>
    </r>
  </si>
  <si>
    <r>
      <rPr>
        <rFont val="Myanmar Sangam MN"/>
        <b/>
        <color theme="1"/>
        <sz val="10.0"/>
      </rPr>
      <t>၁၀၈၁၀</t>
    </r>
  </si>
  <si>
    <r>
      <rPr>
        <rFont val="Myanmar Sangam MN"/>
        <b/>
        <color theme="1"/>
        <sz val="10.0"/>
      </rPr>
      <t>၄၃၄၁</t>
    </r>
  </si>
  <si>
    <r>
      <rPr>
        <rFont val="Myanmar Sangam MN"/>
        <b/>
        <color theme="1"/>
        <sz val="10.0"/>
      </rPr>
      <t>၁၅၁၅၁</t>
    </r>
  </si>
  <si>
    <r>
      <rPr>
        <rFont val="Myanmar Sangam MN"/>
        <color theme="1"/>
        <sz val="10.0"/>
      </rPr>
      <t>ဦးသန်းဝင်း</t>
    </r>
  </si>
  <si>
    <r>
      <rPr>
        <rFont val="Myanmar Sangam MN"/>
        <color theme="1"/>
        <sz val="10.0"/>
      </rPr>
      <t>ရခိုင်အမျးိ သားပါတီ</t>
    </r>
  </si>
  <si>
    <r>
      <rPr>
        <rFont val="Myanmar Sangam MN"/>
        <color theme="1"/>
        <sz val="10.0"/>
      </rPr>
      <t>၄၀၅၉</t>
    </r>
  </si>
  <si>
    <r>
      <rPr>
        <rFont val="Myanmar Sangam MN"/>
        <color theme="1"/>
        <sz val="10.0"/>
      </rPr>
      <t>၉၃၀</t>
    </r>
  </si>
  <si>
    <r>
      <rPr>
        <rFont val="Myanmar Sangam MN"/>
        <color theme="1"/>
        <sz val="10.0"/>
      </rPr>
      <t>၄၉၈၉</t>
    </r>
  </si>
  <si>
    <r>
      <rPr>
        <rFont val="Myanmar Sangam MN"/>
        <b/>
        <color theme="1"/>
        <sz val="9.0"/>
      </rPr>
      <t>၃၂.၉၃%</t>
    </r>
  </si>
  <si>
    <r>
      <rPr>
        <rFont val="Myanmar Sangam MN"/>
        <color theme="1"/>
        <sz val="10.0"/>
      </rPr>
      <t>ေဒချစ်ချစ်ေချာ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</si>
  <si>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</si>
  <si>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၃၀၈၄</t>
    </r>
  </si>
  <si>
    <r>
      <rPr>
        <rFont val="Myanmar Sangam MN"/>
        <color theme="1"/>
        <sz val="10.0"/>
      </rPr>
      <t>၁၂၆၈</t>
    </r>
  </si>
  <si>
    <r>
      <rPr>
        <rFont val="Myanmar Sangam MN"/>
        <color theme="1"/>
        <sz val="10.0"/>
      </rPr>
      <t>၄၃၅၂</t>
    </r>
  </si>
  <si>
    <r>
      <rPr>
        <rFont val="Myanmar Sangam MN"/>
        <b/>
        <color theme="1"/>
        <sz val="9.0"/>
      </rPr>
      <t>၂၈.၇၂%</t>
    </r>
  </si>
  <si>
    <r>
      <rPr>
        <rFont val="Myanmar Sangam MN"/>
        <color theme="1"/>
        <sz val="10.0"/>
      </rPr>
      <t>ဦးမျးိ ေဆွ</t>
    </r>
  </si>
  <si>
    <r>
      <rPr>
        <rFont val="Myanmar Sangam MN"/>
        <color theme="1"/>
        <sz val="10.0"/>
      </rPr>
      <t>ရခိုင်ဒီမိုကေရစီအဖွဲချပ်ပါတီ</t>
    </r>
  </si>
  <si>
    <r>
      <rPr>
        <rFont val="Myanmar Sangam MN"/>
        <color theme="1"/>
        <sz val="10.0"/>
      </rPr>
      <t>၂၂၀၆</t>
    </r>
  </si>
  <si>
    <r>
      <rPr>
        <rFont val="Myanmar Sangam MN"/>
        <color theme="1"/>
        <sz val="10.0"/>
      </rPr>
      <t>၉၄၇</t>
    </r>
  </si>
  <si>
    <r>
      <rPr>
        <rFont val="Myanmar Sangam MN"/>
        <color theme="1"/>
        <sz val="10.0"/>
      </rPr>
      <t>၃၁၅၃</t>
    </r>
  </si>
  <si>
    <r>
      <rPr>
        <rFont val="Myanmar Sangam MN"/>
        <b/>
        <color theme="1"/>
        <sz val="9.0"/>
      </rPr>
      <t>၂၀.၈၁%</t>
    </r>
  </si>
  <si>
    <r>
      <rPr>
        <rFont val="Myanmar Sangam MN"/>
        <color theme="1"/>
        <sz val="10.0"/>
      </rPr>
      <t>ဦးကီးြဖ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</si>
  <si>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</si>
  <si>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၁၄၆၁</t>
    </r>
  </si>
  <si>
    <r>
      <rPr>
        <rFont val="Myanmar Sangam MN"/>
        <color theme="1"/>
        <sz val="10.0"/>
      </rPr>
      <t>၁၁၉၆</t>
    </r>
  </si>
  <si>
    <r>
      <rPr>
        <rFont val="Myanmar Sangam MN"/>
        <color theme="1"/>
        <sz val="10.0"/>
      </rPr>
      <t>၂၆၅၇</t>
    </r>
  </si>
  <si>
    <r>
      <rPr>
        <rFont val="Myanmar Sangam MN"/>
        <b/>
        <color theme="1"/>
        <sz val="9.0"/>
      </rPr>
      <t>၁၇.၅၄%</t>
    </r>
  </si>
  <si>
    <r>
      <rPr>
        <rFont val="Myanmar Sangam MN"/>
        <b/>
        <color theme="1"/>
        <sz val="10.0"/>
      </rPr>
      <t>ရန်ကုန်တိုင်းေဒသကီး</t>
    </r>
  </si>
  <si>
    <r>
      <rPr>
        <rFont val="Myanmar Sangam MN"/>
        <b/>
        <color theme="1"/>
        <sz val="10.0"/>
      </rPr>
      <t>၆၁၃၇၀၄၇</t>
    </r>
  </si>
  <si>
    <r>
      <rPr>
        <rFont val="Myanmar Sangam MN"/>
        <b/>
        <color theme="1"/>
        <sz val="10.0"/>
      </rPr>
      <t>၃၃၂၀၂၁၁</t>
    </r>
  </si>
  <si>
    <r>
      <rPr>
        <rFont val="Myanmar Sangam MN"/>
        <b/>
        <color theme="1"/>
        <sz val="10.0"/>
      </rPr>
      <t>၈၆၃၄၀၂</t>
    </r>
  </si>
  <si>
    <r>
      <rPr>
        <rFont val="Myanmar Sangam MN"/>
        <b/>
        <color theme="1"/>
        <sz val="10.0"/>
      </rPr>
      <t>၄၁၈၃၆၁၃</t>
    </r>
  </si>
  <si>
    <r>
      <rPr>
        <rFont val="Myanmar Sangam MN"/>
        <b/>
        <color theme="1"/>
        <sz val="10.0"/>
      </rPr>
      <t>၆၈.၁၇</t>
    </r>
  </si>
  <si>
    <r>
      <rPr>
        <rFont val="Myanmar Sangam MN"/>
        <b/>
        <color theme="1"/>
        <sz val="10.0"/>
      </rPr>
      <t>၆၅၇၀၉</t>
    </r>
  </si>
  <si>
    <r>
      <rPr>
        <rFont val="Myanmar Sangam MN"/>
        <b/>
        <color theme="1"/>
        <sz val="10.0"/>
      </rPr>
      <t>၆၀၈၂</t>
    </r>
  </si>
  <si>
    <r>
      <rPr>
        <rFont val="Myanmar Sangam MN"/>
        <b/>
        <color theme="1"/>
        <sz val="10.0"/>
      </rPr>
      <t>၇၁၇၉၁</t>
    </r>
  </si>
  <si>
    <r>
      <rPr>
        <rFont val="Myanmar Sangam MN"/>
        <color theme="1"/>
        <sz val="10.0"/>
      </rPr>
      <t>၃၂၅၄၆၆၄</t>
    </r>
  </si>
  <si>
    <r>
      <rPr>
        <rFont val="Myanmar Sangam MN"/>
        <color theme="1"/>
        <sz val="10.0"/>
      </rPr>
      <t>၈၅၇၁၅၈</t>
    </r>
  </si>
  <si>
    <r>
      <rPr>
        <rFont val="Myanmar Sangam MN"/>
        <b/>
        <color theme="1"/>
        <sz val="10.0"/>
      </rPr>
      <t>၄၁၁၁၈၂၂</t>
    </r>
  </si>
  <si>
    <r>
      <rPr>
        <rFont val="Myanmar Sangam MN"/>
        <b/>
        <color theme="1"/>
        <sz val="10.0"/>
      </rPr>
      <t>၁၂၆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</si>
  <si>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</si>
  <si>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၄၄၀၆၇၄</t>
    </r>
  </si>
  <si>
    <r>
      <rPr>
        <rFont val="Myanmar Sangam MN"/>
        <b/>
        <color theme="1"/>
        <sz val="10.0"/>
      </rPr>
      <t>၂၆၃၄၉၇</t>
    </r>
  </si>
  <si>
    <r>
      <rPr>
        <rFont val="Myanmar Sangam MN"/>
        <b/>
        <color theme="1"/>
        <sz val="10.0"/>
      </rPr>
      <t>၇၉၄၇၈</t>
    </r>
  </si>
  <si>
    <r>
      <rPr>
        <rFont val="Myanmar Sangam MN"/>
        <b/>
        <color theme="1"/>
        <sz val="10.0"/>
      </rPr>
      <t>၃၄၂၉၇၅</t>
    </r>
  </si>
  <si>
    <r>
      <rPr>
        <rFont val="Myanmar Sangam MN"/>
        <b/>
        <color theme="1"/>
        <sz val="10.0"/>
      </rPr>
      <t>၇၇.၈၃</t>
    </r>
  </si>
  <si>
    <r>
      <rPr>
        <rFont val="Myanmar Sangam MN"/>
        <b/>
        <color theme="1"/>
        <sz val="10.0"/>
      </rPr>
      <t>၇၁၆၈</t>
    </r>
  </si>
  <si>
    <r>
      <rPr>
        <rFont val="Myanmar Sangam MN"/>
        <b/>
        <color theme="1"/>
        <sz val="10.0"/>
      </rPr>
      <t>၂၇၄</t>
    </r>
  </si>
  <si>
    <r>
      <rPr>
        <rFont val="Myanmar Sangam MN"/>
        <b/>
        <color theme="1"/>
        <sz val="10.0"/>
      </rPr>
      <t>၇၄၄၂</t>
    </r>
  </si>
  <si>
    <r>
      <rPr>
        <rFont val="Myanmar Sangam MN"/>
        <b/>
        <color theme="1"/>
        <sz val="10.0"/>
      </rPr>
      <t>၂၅၆၅၅၈</t>
    </r>
  </si>
  <si>
    <r>
      <rPr>
        <rFont val="Myanmar Sangam MN"/>
        <b/>
        <color theme="1"/>
        <sz val="10.0"/>
      </rPr>
      <t>၇၈၉၇၅</t>
    </r>
  </si>
  <si>
    <r>
      <rPr>
        <rFont val="Myanmar Sangam MN"/>
        <b/>
        <color theme="1"/>
        <sz val="10.0"/>
      </rPr>
      <t>၃၃၅၅၃၃</t>
    </r>
  </si>
  <si>
    <r>
      <rPr>
        <rFont val="Myanmar Sangam MN"/>
        <color theme="1"/>
        <sz val="10.0"/>
      </rPr>
      <t>ေဒြဖြဖလွင်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</si>
  <si>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</si>
  <si>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၁၈၂၇၇၆</t>
    </r>
  </si>
  <si>
    <r>
      <rPr>
        <rFont val="Myanmar Sangam MN"/>
        <color theme="1"/>
        <sz val="10.0"/>
      </rPr>
      <t>၅၁၁၇၅</t>
    </r>
  </si>
  <si>
    <r>
      <rPr>
        <rFont val="Myanmar Sangam MN"/>
        <color theme="1"/>
        <sz val="10.0"/>
      </rPr>
      <t>၂၃၃၉၅၁</t>
    </r>
  </si>
  <si>
    <r>
      <rPr>
        <rFont val="Myanmar Sangam MN"/>
        <b/>
        <color theme="1"/>
        <sz val="9.0"/>
      </rPr>
      <t>၆၉.၇၂%</t>
    </r>
  </si>
  <si>
    <r>
      <rPr>
        <rFont val="Myanmar Sangam MN"/>
        <color theme="1"/>
        <sz val="10.0"/>
      </rPr>
      <t>ဦးခင်ေမာင်တင့်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</si>
  <si>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</si>
  <si>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၆၉၁၉၄</t>
    </r>
  </si>
  <si>
    <r>
      <rPr>
        <rFont val="Myanmar Sangam MN"/>
        <color theme="1"/>
        <sz val="10.0"/>
      </rPr>
      <t>၂၆၀၂၀</t>
    </r>
  </si>
  <si>
    <r>
      <rPr>
        <rFont val="Myanmar Sangam MN"/>
        <color theme="1"/>
        <sz val="10.0"/>
      </rPr>
      <t>၉၅၂၁၄</t>
    </r>
  </si>
  <si>
    <r>
      <rPr>
        <rFont val="Myanmar Sangam MN"/>
        <b/>
        <color theme="1"/>
        <sz val="9.0"/>
      </rPr>
      <t>၂၈.၃၈%</t>
    </r>
  </si>
  <si>
    <r>
      <rPr>
        <rFont val="Myanmar Sangam MN"/>
        <color theme="1"/>
        <sz val="10.0"/>
      </rPr>
      <t>ဦးစိုးြမင့်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</si>
  <si>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</si>
  <si>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၃၂၀၄</t>
    </r>
  </si>
  <si>
    <r>
      <rPr>
        <rFont val="Myanmar Sangam MN"/>
        <color theme="1"/>
        <sz val="10.0"/>
      </rPr>
      <t>၁၃၅၂</t>
    </r>
  </si>
  <si>
    <r>
      <rPr>
        <rFont val="Myanmar Sangam MN"/>
        <color theme="1"/>
        <sz val="10.0"/>
      </rPr>
      <t>၄၅၅၆</t>
    </r>
  </si>
  <si>
    <r>
      <rPr>
        <rFont val="Myanmar Sangam MN"/>
        <b/>
        <color theme="1"/>
        <sz val="9.0"/>
      </rPr>
      <t>၁.၃၆%</t>
    </r>
  </si>
  <si>
    <r>
      <rPr>
        <rFont val="Myanmar Sangam MN"/>
        <color theme="1"/>
        <sz val="10.0"/>
      </rPr>
      <t>ဦးေလာထန်း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</si>
  <si>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</si>
  <si>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၁၃၈၄</t>
    </r>
  </si>
  <si>
    <r>
      <rPr>
        <rFont val="Myanmar Sangam MN"/>
        <color theme="1"/>
        <sz val="10.0"/>
      </rPr>
      <t>၄၂၈</t>
    </r>
  </si>
  <si>
    <r>
      <rPr>
        <rFont val="Myanmar Sangam MN"/>
        <color theme="1"/>
        <sz val="10.0"/>
      </rPr>
      <t>၁၈၁၂</t>
    </r>
  </si>
  <si>
    <r>
      <rPr>
        <rFont val="Myanmar Sangam MN"/>
        <b/>
        <color theme="1"/>
        <sz val="9.0"/>
      </rPr>
      <t>၀.၅၄%</t>
    </r>
  </si>
  <si>
    <r>
      <rPr>
        <rFont val="Myanmar Sangam MN"/>
        <b/>
        <color theme="1"/>
        <sz val="10.0"/>
      </rPr>
      <t>၁၂၇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</si>
  <si>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</si>
  <si>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၆၅၄၀၁၇</t>
    </r>
  </si>
  <si>
    <r>
      <rPr>
        <rFont val="Myanmar Sangam MN"/>
        <b/>
        <color theme="1"/>
        <sz val="10.0"/>
      </rPr>
      <t>၃၅၈၅၂၆</t>
    </r>
  </si>
  <si>
    <r>
      <rPr>
        <rFont val="Myanmar Sangam MN"/>
        <b/>
        <color theme="1"/>
        <sz val="10.0"/>
      </rPr>
      <t>၈၈၃၄၆</t>
    </r>
  </si>
  <si>
    <r>
      <rPr>
        <rFont val="Myanmar Sangam MN"/>
        <b/>
        <color theme="1"/>
        <sz val="10.0"/>
      </rPr>
      <t>၄၄၆၈၇၂</t>
    </r>
  </si>
  <si>
    <r>
      <rPr>
        <rFont val="Myanmar Sangam MN"/>
        <b/>
        <color theme="1"/>
        <sz val="10.0"/>
      </rPr>
      <t>၆၈.၃၃</t>
    </r>
  </si>
  <si>
    <r>
      <rPr>
        <rFont val="Myanmar Sangam MN"/>
        <b/>
        <color theme="1"/>
        <sz val="10.0"/>
      </rPr>
      <t>၉၄၆၃</t>
    </r>
  </si>
  <si>
    <r>
      <rPr>
        <rFont val="Myanmar Sangam MN"/>
        <b/>
        <color theme="1"/>
        <sz val="10.0"/>
      </rPr>
      <t>၈၄၈</t>
    </r>
  </si>
  <si>
    <r>
      <rPr>
        <rFont val="Myanmar Sangam MN"/>
        <b/>
        <color theme="1"/>
        <sz val="10.0"/>
      </rPr>
      <t>၁၀၃၁၁</t>
    </r>
  </si>
  <si>
    <r>
      <rPr>
        <rFont val="Myanmar Sangam MN"/>
        <b/>
        <color theme="1"/>
        <sz val="10.0"/>
      </rPr>
      <t>၃၄၉၇၈၈</t>
    </r>
  </si>
  <si>
    <r>
      <rPr>
        <rFont val="Myanmar Sangam MN"/>
        <b/>
        <color theme="1"/>
        <sz val="10.0"/>
      </rPr>
      <t>၈၆၇၇၃</t>
    </r>
  </si>
  <si>
    <r>
      <rPr>
        <rFont val="Myanmar Sangam MN"/>
        <b/>
        <color theme="1"/>
        <sz val="10.0"/>
      </rPr>
      <t>၄၃၆၅၆၁</t>
    </r>
  </si>
  <si>
    <r>
      <rPr>
        <rFont val="Myanmar Sangam MN"/>
        <color theme="1"/>
        <sz val="10.0"/>
      </rPr>
      <t>ဦးေမာင်ေမာင်မင်း(ခ) ဦးမင်းေမာင်ေမာင်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</si>
  <si>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</si>
  <si>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၂၆၂၂၃၃</t>
    </r>
  </si>
  <si>
    <r>
      <rPr>
        <rFont val="Myanmar Sangam MN"/>
        <color theme="1"/>
        <sz val="10.0"/>
      </rPr>
      <t>၅၆၄၅၀</t>
    </r>
  </si>
  <si>
    <r>
      <rPr>
        <rFont val="Myanmar Sangam MN"/>
        <color theme="1"/>
        <sz val="10.0"/>
      </rPr>
      <t>၃၁၈၆၈၃</t>
    </r>
  </si>
  <si>
    <r>
      <rPr>
        <rFont val="Myanmar Sangam MN"/>
        <b/>
        <color theme="1"/>
        <sz val="9.0"/>
      </rPr>
      <t>၇၃.၀၀%</t>
    </r>
  </si>
  <si>
    <r>
      <rPr>
        <rFont val="Myanmar Sangam MN"/>
        <color theme="1"/>
        <sz val="10.0"/>
      </rPr>
      <t>ေဒါက်တာစန်းစန်းွယ်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</si>
  <si>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</si>
  <si>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၇၂၃၄၁</t>
    </r>
  </si>
  <si>
    <r>
      <rPr>
        <rFont val="Myanmar Sangam MN"/>
        <color theme="1"/>
        <sz val="10.0"/>
      </rPr>
      <t>၂၅၅၃၉</t>
    </r>
  </si>
  <si>
    <r>
      <rPr>
        <rFont val="Myanmar Sangam MN"/>
        <color theme="1"/>
        <sz val="10.0"/>
      </rPr>
      <t>၉၇၈၈၀</t>
    </r>
  </si>
  <si>
    <r>
      <rPr>
        <rFont val="Myanmar Sangam MN"/>
        <b/>
        <color theme="1"/>
        <sz val="9.0"/>
      </rPr>
      <t>၂၂.၄၂%</t>
    </r>
  </si>
  <si>
    <r>
      <rPr>
        <rFont val="Myanmar Sangam MN"/>
        <color theme="1"/>
        <sz val="10.0"/>
      </rPr>
      <t>ဦးရဲလင်းထိန်</t>
    </r>
  </si>
  <si>
    <r>
      <rPr>
        <rFont val="Myanmar Sangam MN"/>
        <color theme="1"/>
        <sz val="10.0"/>
      </rPr>
      <t>မွန်ညီွတ်ေရးပါတီ</t>
    </r>
  </si>
  <si>
    <r>
      <rPr>
        <rFont val="Myanmar Sangam MN"/>
        <color theme="1"/>
        <sz val="10.0"/>
      </rPr>
      <t>၇၇၀၈</t>
    </r>
  </si>
  <si>
    <r>
      <rPr>
        <rFont val="Myanmar Sangam MN"/>
        <color theme="1"/>
        <sz val="10.0"/>
      </rPr>
      <t>၂၃၀၂</t>
    </r>
  </si>
  <si>
    <r>
      <rPr>
        <rFont val="Myanmar Sangam MN"/>
        <color theme="1"/>
        <sz val="10.0"/>
      </rPr>
      <t>၁၀၀၁၀</t>
    </r>
  </si>
  <si>
    <r>
      <rPr>
        <rFont val="Myanmar Sangam MN"/>
        <b/>
        <color theme="1"/>
        <sz val="9.0"/>
      </rPr>
      <t>၂.၂၉%</t>
    </r>
  </si>
  <si>
    <r>
      <rPr>
        <rFont val="Myanmar Sangam MN"/>
        <color theme="1"/>
        <sz val="10.0"/>
      </rPr>
      <t>ဦးြမသိန်း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</si>
  <si>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</si>
  <si>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၄၄၂၉</t>
    </r>
  </si>
  <si>
    <r>
      <rPr>
        <rFont val="Myanmar Sangam MN"/>
        <color theme="1"/>
        <sz val="10.0"/>
      </rPr>
      <t>၁၆၄၇</t>
    </r>
  </si>
  <si>
    <r>
      <rPr>
        <rFont val="Myanmar Sangam MN"/>
        <color theme="1"/>
        <sz val="10.0"/>
      </rPr>
      <t>၆၀၇၆</t>
    </r>
  </si>
  <si>
    <r>
      <rPr>
        <rFont val="Myanmar Sangam MN"/>
        <b/>
        <color theme="1"/>
        <sz val="9.0"/>
      </rPr>
      <t>၁.၃၉%</t>
    </r>
  </si>
  <si>
    <r>
      <rPr>
        <rFont val="Myanmar Sangam MN"/>
        <color theme="1"/>
        <sz val="10.0"/>
      </rPr>
      <t>ဦးစိုးြမင့်ဦး</t>
    </r>
  </si>
  <si>
    <r>
      <rPr>
        <rFont val="Myanmar Sangam MN"/>
        <color theme="1"/>
        <sz val="10.0"/>
      </rPr>
      <t>ဒီမိုကရက်တစ်ပါတီ(ြမန်မာ)</t>
    </r>
  </si>
  <si>
    <r>
      <rPr>
        <rFont val="Myanmar Sangam MN"/>
        <color theme="1"/>
        <sz val="10.0"/>
      </rPr>
      <t>၃၀၇၇</t>
    </r>
  </si>
  <si>
    <r>
      <rPr>
        <rFont val="Myanmar Sangam MN"/>
        <color theme="1"/>
        <sz val="10.0"/>
      </rPr>
      <t>၈၃၅</t>
    </r>
  </si>
  <si>
    <r>
      <rPr>
        <rFont val="Myanmar Sangam MN"/>
        <color theme="1"/>
        <sz val="10.0"/>
      </rPr>
      <t>၃၉၁၂</t>
    </r>
  </si>
  <si>
    <r>
      <rPr>
        <rFont val="Myanmar Sangam MN"/>
        <b/>
        <color theme="1"/>
        <sz val="9.0"/>
      </rPr>
      <t>၀.၉၀%</t>
    </r>
  </si>
  <si>
    <r>
      <rPr>
        <rFont val="Myanmar Sangam MN"/>
        <b/>
        <color theme="1"/>
        <sz val="10.0"/>
      </rPr>
      <t>၁၂၈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</si>
  <si>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</si>
  <si>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၅၂၅၇၅၂</t>
    </r>
  </si>
  <si>
    <r>
      <rPr>
        <rFont val="Myanmar Sangam MN"/>
        <b/>
        <color theme="1"/>
        <sz val="10.0"/>
      </rPr>
      <t>၂၆၁၁၆၉</t>
    </r>
  </si>
  <si>
    <r>
      <rPr>
        <rFont val="Myanmar Sangam MN"/>
        <b/>
        <color theme="1"/>
        <sz val="10.0"/>
      </rPr>
      <t>၇၇၈၁၆</t>
    </r>
  </si>
  <si>
    <r>
      <rPr>
        <rFont val="Myanmar Sangam MN"/>
        <b/>
        <color theme="1"/>
        <sz val="10.0"/>
      </rPr>
      <t>၃၃၈၉၈၅</t>
    </r>
  </si>
  <si>
    <r>
      <rPr>
        <rFont val="Myanmar Sangam MN"/>
        <b/>
        <color theme="1"/>
        <sz val="10.0"/>
      </rPr>
      <t>၆၄.၄၈</t>
    </r>
  </si>
  <si>
    <r>
      <rPr>
        <rFont val="Myanmar Sangam MN"/>
        <b/>
        <color theme="1"/>
        <sz val="10.0"/>
      </rPr>
      <t>၃၉၅၉</t>
    </r>
  </si>
  <si>
    <r>
      <rPr>
        <rFont val="Myanmar Sangam MN"/>
        <b/>
        <color theme="1"/>
        <sz val="10.0"/>
      </rPr>
      <t>၃၈၀</t>
    </r>
  </si>
  <si>
    <r>
      <rPr>
        <rFont val="Myanmar Sangam MN"/>
        <b/>
        <color theme="1"/>
        <sz val="10.0"/>
      </rPr>
      <t>၄၃၃၉</t>
    </r>
  </si>
  <si>
    <r>
      <rPr>
        <rFont val="Myanmar Sangam MN"/>
        <b/>
        <color theme="1"/>
        <sz val="10.0"/>
      </rPr>
      <t>၂၅၆၉၈၄</t>
    </r>
  </si>
  <si>
    <r>
      <rPr>
        <rFont val="Myanmar Sangam MN"/>
        <b/>
        <color theme="1"/>
        <sz val="10.0"/>
      </rPr>
      <t>၇၇၆၆၂</t>
    </r>
  </si>
  <si>
    <r>
      <rPr>
        <rFont val="Myanmar Sangam MN"/>
        <b/>
        <color theme="1"/>
        <sz val="10.0"/>
      </rPr>
      <t>၃၃၄၆၄၆</t>
    </r>
  </si>
  <si>
    <r>
      <rPr>
        <rFont val="Myanmar Sangam MN"/>
        <color theme="1"/>
        <sz val="10.0"/>
      </rPr>
      <t>ဦးခင်ေမာင်ရှိန်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</si>
  <si>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</si>
  <si>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၂၀၈၂၀၅</t>
    </r>
  </si>
  <si>
    <r>
      <rPr>
        <rFont val="Myanmar Sangam MN"/>
        <color theme="1"/>
        <sz val="10.0"/>
      </rPr>
      <t>၅၄၁၈၁</t>
    </r>
  </si>
  <si>
    <r>
      <rPr>
        <rFont val="Myanmar Sangam MN"/>
        <color theme="1"/>
        <sz val="10.0"/>
      </rPr>
      <t>၂၆၂၃၈၆</t>
    </r>
  </si>
  <si>
    <r>
      <rPr>
        <rFont val="Myanmar Sangam MN"/>
        <b/>
        <color theme="1"/>
        <sz val="9.0"/>
      </rPr>
      <t>၇၈.၄၁%</t>
    </r>
  </si>
  <si>
    <r>
      <rPr>
        <rFont val="Myanmar Sangam MN"/>
        <color theme="1"/>
        <sz val="10.0"/>
      </rPr>
      <t>ဦးေဇာ်ဝင်းသန 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</si>
  <si>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</si>
  <si>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၄၃၂၅၆</t>
    </r>
  </si>
  <si>
    <r>
      <rPr>
        <rFont val="Myanmar Sangam MN"/>
        <color theme="1"/>
        <sz val="10.0"/>
      </rPr>
      <t>၂၁၂၉၇</t>
    </r>
  </si>
  <si>
    <r>
      <rPr>
        <rFont val="Myanmar Sangam MN"/>
        <color theme="1"/>
        <sz val="10.0"/>
      </rPr>
      <t>၆၄၅၅၃</t>
    </r>
  </si>
  <si>
    <r>
      <rPr>
        <rFont val="Myanmar Sangam MN"/>
        <b/>
        <color theme="1"/>
        <sz val="9.0"/>
      </rPr>
      <t>၁၉.၂၉%</t>
    </r>
  </si>
  <si>
    <r>
      <rPr>
        <rFont val="Myanmar Sangam MN"/>
        <color theme="1"/>
        <sz val="10.0"/>
      </rPr>
      <t>ေဒခင်ခင်ထား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</si>
  <si>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</si>
  <si>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၃၈၅၇</t>
    </r>
  </si>
  <si>
    <r>
      <rPr>
        <rFont val="Myanmar Sangam MN"/>
        <color theme="1"/>
        <sz val="10.0"/>
      </rPr>
      <t>၁၂၉၄</t>
    </r>
  </si>
  <si>
    <r>
      <rPr>
        <rFont val="Myanmar Sangam MN"/>
        <color theme="1"/>
        <sz val="10.0"/>
      </rPr>
      <t>၅၁၅၁</t>
    </r>
  </si>
  <si>
    <r>
      <rPr>
        <rFont val="Myanmar Sangam MN"/>
        <b/>
        <color theme="1"/>
        <sz val="9.0"/>
      </rPr>
      <t>၁.၅၄%</t>
    </r>
  </si>
  <si>
    <r>
      <rPr>
        <rFont val="Myanmar Sangam MN"/>
        <color theme="1"/>
        <sz val="10.0"/>
      </rPr>
      <t>ဦးမျးိ ဝင်း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</si>
  <si>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</si>
  <si>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၁၆၆၆</t>
    </r>
  </si>
  <si>
    <r>
      <rPr>
        <rFont val="Myanmar Sangam MN"/>
        <color theme="1"/>
        <sz val="10.0"/>
      </rPr>
      <t>၈၉၀</t>
    </r>
  </si>
  <si>
    <r>
      <rPr>
        <rFont val="Myanmar Sangam MN"/>
        <color theme="1"/>
        <sz val="10.0"/>
      </rPr>
      <t>၂၅၅၆</t>
    </r>
  </si>
  <si>
    <r>
      <rPr>
        <rFont val="Myanmar Sangam MN"/>
        <b/>
        <color theme="1"/>
        <sz val="9.0"/>
      </rPr>
      <t>၀.၇၆%</t>
    </r>
  </si>
  <si>
    <r>
      <rPr>
        <rFont val="Myanmar Sangam MN"/>
        <b/>
        <color theme="1"/>
        <sz val="10.0"/>
      </rPr>
      <t>၁၂၉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</si>
  <si>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</si>
  <si>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၆၄၀၈၀၄</t>
    </r>
  </si>
  <si>
    <r>
      <rPr>
        <rFont val="Myanmar Sangam MN"/>
        <b/>
        <color theme="1"/>
        <sz val="10.0"/>
      </rPr>
      <t>၂၉၃၉၆၈</t>
    </r>
  </si>
  <si>
    <r>
      <rPr>
        <rFont val="Myanmar Sangam MN"/>
        <b/>
        <color theme="1"/>
        <sz val="10.0"/>
      </rPr>
      <t>၄၀၅၂၂</t>
    </r>
  </si>
  <si>
    <r>
      <rPr>
        <rFont val="Myanmar Sangam MN"/>
        <b/>
        <color theme="1"/>
        <sz val="10.0"/>
      </rPr>
      <t>၃၃၄၄၉၀</t>
    </r>
  </si>
  <si>
    <r>
      <rPr>
        <rFont val="Myanmar Sangam MN"/>
        <b/>
        <color theme="1"/>
        <sz val="10.0"/>
      </rPr>
      <t>၅၂.၂၀</t>
    </r>
  </si>
  <si>
    <r>
      <rPr>
        <rFont val="Myanmar Sangam MN"/>
        <b/>
        <color theme="1"/>
        <sz val="10.0"/>
      </rPr>
      <t>၇၆၅၁</t>
    </r>
  </si>
  <si>
    <r>
      <rPr>
        <rFont val="Myanmar Sangam MN"/>
        <b/>
        <color theme="1"/>
        <sz val="10.0"/>
      </rPr>
      <t>၄၅၉</t>
    </r>
  </si>
  <si>
    <r>
      <rPr>
        <rFont val="Myanmar Sangam MN"/>
        <b/>
        <color theme="1"/>
        <sz val="10.0"/>
      </rPr>
      <t>၈၁၁၀</t>
    </r>
  </si>
  <si>
    <r>
      <rPr>
        <rFont val="Myanmar Sangam MN"/>
        <b/>
        <color theme="1"/>
        <sz val="10.0"/>
      </rPr>
      <t>၂၈၅၉၀၆</t>
    </r>
  </si>
  <si>
    <r>
      <rPr>
        <rFont val="Myanmar Sangam MN"/>
        <b/>
        <color theme="1"/>
        <sz val="10.0"/>
      </rPr>
      <t>၄၀၄၇၄</t>
    </r>
  </si>
  <si>
    <r>
      <rPr>
        <rFont val="Myanmar Sangam MN"/>
        <b/>
        <color theme="1"/>
        <sz val="10.0"/>
      </rPr>
      <t>၃၂၆၃၈၀</t>
    </r>
  </si>
  <si>
    <r>
      <rPr>
        <rFont val="Myanmar Sangam MN"/>
        <color theme="1"/>
        <sz val="10.0"/>
      </rPr>
      <t>ဦးေအးဗိုလ်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</si>
  <si>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</si>
  <si>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၂၄၆၆၈၇</t>
    </r>
  </si>
  <si>
    <r>
      <rPr>
        <rFont val="Myanmar Sangam MN"/>
        <color theme="1"/>
        <sz val="10.0"/>
      </rPr>
      <t>၃၃၁၇၉</t>
    </r>
  </si>
  <si>
    <r>
      <rPr>
        <rFont val="Myanmar Sangam MN"/>
        <color theme="1"/>
        <sz val="10.0"/>
      </rPr>
      <t>၂၇၉၈၆၆</t>
    </r>
  </si>
  <si>
    <r>
      <rPr>
        <rFont val="Myanmar Sangam MN"/>
        <b/>
        <color theme="1"/>
        <sz val="9.0"/>
      </rPr>
      <t>၈၅.၇၅%</t>
    </r>
  </si>
  <si>
    <r>
      <rPr>
        <rFont val="Myanmar Sangam MN"/>
        <color theme="1"/>
        <sz val="10.0"/>
      </rPr>
      <t>ဦးဘသိန်း(ခ) ဆရာကီးဦးဘသိန်း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</si>
  <si>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</si>
  <si>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၂၈၈၅၅</t>
    </r>
  </si>
  <si>
    <r>
      <rPr>
        <rFont val="Myanmar Sangam MN"/>
        <color theme="1"/>
        <sz val="10.0"/>
      </rPr>
      <t>၅၁၅၉</t>
    </r>
  </si>
  <si>
    <r>
      <rPr>
        <rFont val="Myanmar Sangam MN"/>
        <color theme="1"/>
        <sz val="10.0"/>
      </rPr>
      <t>၃၄၀၁၄</t>
    </r>
  </si>
  <si>
    <r>
      <rPr>
        <rFont val="Myanmar Sangam MN"/>
        <b/>
        <color theme="1"/>
        <sz val="9.0"/>
      </rPr>
      <t>၁၀.၄၂%</t>
    </r>
  </si>
  <si>
    <r>
      <rPr>
        <rFont val="Myanmar Sangam MN"/>
        <color theme="1"/>
        <sz val="10.0"/>
      </rPr>
      <t>ေဒအိြဖလွင်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</si>
  <si>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</si>
  <si>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၂၉၉၂</t>
    </r>
  </si>
  <si>
    <r>
      <rPr>
        <rFont val="Myanmar Sangam MN"/>
        <color theme="1"/>
        <sz val="10.0"/>
      </rPr>
      <t>၆၄၆</t>
    </r>
  </si>
  <si>
    <r>
      <rPr>
        <rFont val="Myanmar Sangam MN"/>
        <color theme="1"/>
        <sz val="10.0"/>
      </rPr>
      <t>၃၆၃၈</t>
    </r>
  </si>
  <si>
    <r>
      <rPr>
        <rFont val="Myanmar Sangam MN"/>
        <b/>
        <color theme="1"/>
        <sz val="9.0"/>
      </rPr>
      <t>၁.၁၁%</t>
    </r>
  </si>
  <si>
    <r>
      <rPr>
        <rFont val="Myanmar Sangam MN"/>
        <color theme="1"/>
        <sz val="10.0"/>
      </rPr>
      <t>ဦးခိုင်ေဇမင်းထက်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</si>
  <si>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</si>
  <si>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၂၃၉၀</t>
    </r>
  </si>
  <si>
    <r>
      <rPr>
        <rFont val="Myanmar Sangam MN"/>
        <color theme="1"/>
        <sz val="10.0"/>
      </rPr>
      <t>၄၄၉</t>
    </r>
  </si>
  <si>
    <r>
      <rPr>
        <rFont val="Myanmar Sangam MN"/>
        <color theme="1"/>
        <sz val="10.0"/>
      </rPr>
      <t>၂၈၃၉</t>
    </r>
  </si>
  <si>
    <r>
      <rPr>
        <rFont val="Myanmar Sangam MN"/>
        <b/>
        <color theme="1"/>
        <sz val="9.0"/>
      </rPr>
      <t>၀.၈၇%</t>
    </r>
  </si>
  <si>
    <r>
      <rPr>
        <rFont val="Myanmar Sangam MN"/>
        <color theme="1"/>
        <sz val="10.0"/>
      </rPr>
      <t>ေဒေသာ်တာဆိုင်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</si>
  <si>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</si>
  <si>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၂၃၆၀</t>
    </r>
  </si>
  <si>
    <r>
      <rPr>
        <rFont val="Myanmar Sangam MN"/>
        <color theme="1"/>
        <sz val="10.0"/>
      </rPr>
      <t>၄၂၁</t>
    </r>
  </si>
  <si>
    <r>
      <rPr>
        <rFont val="Myanmar Sangam MN"/>
        <color theme="1"/>
        <sz val="10.0"/>
      </rPr>
      <t>၂၇၈၁</t>
    </r>
  </si>
  <si>
    <r>
      <rPr>
        <rFont val="Myanmar Sangam MN"/>
        <b/>
        <color theme="1"/>
        <sz val="9.0"/>
      </rPr>
      <t>၀.၈၅%</t>
    </r>
  </si>
  <si>
    <r>
      <rPr>
        <rFont val="Myanmar Sangam MN"/>
        <color theme="1"/>
        <sz val="10.0"/>
      </rPr>
      <t>ဦးမင်းမင်းေဇာ်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</si>
  <si>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</si>
  <si>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၁၄၆၉</t>
    </r>
  </si>
  <si>
    <r>
      <rPr>
        <rFont val="Myanmar Sangam MN"/>
        <color theme="1"/>
        <sz val="10.0"/>
      </rPr>
      <t>၃၇၅</t>
    </r>
  </si>
  <si>
    <r>
      <rPr>
        <rFont val="Myanmar Sangam MN"/>
        <color theme="1"/>
        <sz val="10.0"/>
      </rPr>
      <t>၁၈၄၄</t>
    </r>
  </si>
  <si>
    <r>
      <rPr>
        <rFont val="Myanmar Sangam MN"/>
        <b/>
        <color theme="1"/>
        <sz val="9.0"/>
      </rPr>
      <t>၀.၅၇%</t>
    </r>
  </si>
  <si>
    <r>
      <rPr>
        <rFont val="Myanmar Sangam MN"/>
        <color theme="1"/>
        <sz val="9.0"/>
      </rPr>
      <t>ဦးေအာင်ေကျာ်ထွန်းုိင်ဦး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</si>
  <si>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</si>
  <si>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၁၁၅၃</t>
    </r>
  </si>
  <si>
    <r>
      <rPr>
        <rFont val="Myanmar Sangam MN"/>
        <color theme="1"/>
        <sz val="10.0"/>
      </rPr>
      <t>၂၄၅</t>
    </r>
  </si>
  <si>
    <r>
      <rPr>
        <rFont val="Myanmar Sangam MN"/>
        <color theme="1"/>
        <sz val="10.0"/>
      </rPr>
      <t>၁၃၉၈</t>
    </r>
  </si>
  <si>
    <r>
      <rPr>
        <rFont val="Myanmar Sangam MN"/>
        <b/>
        <color theme="1"/>
        <sz val="9.0"/>
      </rPr>
      <t>၀.၄၃%</t>
    </r>
  </si>
  <si>
    <r>
      <rPr>
        <rFont val="Myanmar Sangam MN"/>
        <b/>
        <color theme="1"/>
        <sz val="10.0"/>
      </rPr>
      <t>၁၃၀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</si>
  <si>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</si>
  <si>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၅၀၃၇၇၅</t>
    </r>
  </si>
  <si>
    <r>
      <rPr>
        <rFont val="Myanmar Sangam MN"/>
        <b/>
        <color theme="1"/>
        <sz val="10.0"/>
      </rPr>
      <t>၂၆၂၃၂၀</t>
    </r>
  </si>
  <si>
    <r>
      <rPr>
        <rFont val="Myanmar Sangam MN"/>
        <b/>
        <color theme="1"/>
        <sz val="10.0"/>
      </rPr>
      <t>၈၈၀၄၆</t>
    </r>
  </si>
  <si>
    <r>
      <rPr>
        <rFont val="Myanmar Sangam MN"/>
        <b/>
        <color theme="1"/>
        <sz val="10.0"/>
      </rPr>
      <t>၃၅၀၃၆၆</t>
    </r>
  </si>
  <si>
    <r>
      <rPr>
        <rFont val="Myanmar Sangam MN"/>
        <b/>
        <color theme="1"/>
        <sz val="10.0"/>
      </rPr>
      <t>၆၉.၅၅</t>
    </r>
  </si>
  <si>
    <r>
      <rPr>
        <rFont val="Myanmar Sangam MN"/>
        <b/>
        <color theme="1"/>
        <sz val="10.0"/>
      </rPr>
      <t>၂၉၃၇</t>
    </r>
  </si>
  <si>
    <r>
      <rPr>
        <rFont val="Myanmar Sangam MN"/>
        <b/>
        <color theme="1"/>
        <sz val="10.0"/>
      </rPr>
      <t>၁၇၃</t>
    </r>
  </si>
  <si>
    <r>
      <rPr>
        <rFont val="Myanmar Sangam MN"/>
        <b/>
        <color theme="1"/>
        <sz val="10.0"/>
      </rPr>
      <t>၃၁၁၀</t>
    </r>
  </si>
  <si>
    <r>
      <rPr>
        <rFont val="Myanmar Sangam MN"/>
        <b/>
        <color theme="1"/>
        <sz val="10.0"/>
      </rPr>
      <t>၂၅၉၂၈၉</t>
    </r>
  </si>
  <si>
    <r>
      <rPr>
        <rFont val="Myanmar Sangam MN"/>
        <b/>
        <color theme="1"/>
        <sz val="10.0"/>
      </rPr>
      <t>၈၇၉၆၇</t>
    </r>
  </si>
  <si>
    <r>
      <rPr>
        <rFont val="Myanmar Sangam MN"/>
        <b/>
        <color theme="1"/>
        <sz val="10.0"/>
      </rPr>
      <t>၃၄၇၂၅၆</t>
    </r>
  </si>
  <si>
    <r>
      <rPr>
        <rFont val="Myanmar Sangam MN"/>
        <color theme="1"/>
        <sz val="10.0"/>
      </rPr>
      <t>ေဒါက်တာြမတ်ာဏစိုး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</si>
  <si>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</si>
  <si>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၂၂၇၇၅၀</t>
    </r>
  </si>
  <si>
    <r>
      <rPr>
        <rFont val="Myanmar Sangam MN"/>
        <color theme="1"/>
        <sz val="10.0"/>
      </rPr>
      <t>၇၅၉၄၀</t>
    </r>
  </si>
  <si>
    <r>
      <rPr>
        <rFont val="Myanmar Sangam MN"/>
        <color theme="1"/>
        <sz val="10.0"/>
      </rPr>
      <t>၃၀၃၆၉၀</t>
    </r>
  </si>
  <si>
    <r>
      <rPr>
        <rFont val="Myanmar Sangam MN"/>
        <b/>
        <color theme="1"/>
        <sz val="9.0"/>
      </rPr>
      <t>၈၇.၄၅%</t>
    </r>
  </si>
  <si>
    <r>
      <rPr>
        <rFont val="Myanmar Sangam MN"/>
        <color theme="1"/>
        <sz val="10.0"/>
      </rPr>
      <t>ဦးတင်ေအာင်(ခ) ရန်ကင်းေမာင်ြမတ်ိုး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</si>
  <si>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</si>
  <si>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၂၁၂၀၄</t>
    </r>
  </si>
  <si>
    <r>
      <rPr>
        <rFont val="Myanmar Sangam MN"/>
        <color theme="1"/>
        <sz val="10.0"/>
      </rPr>
      <t>၈၅၁၂</t>
    </r>
  </si>
  <si>
    <r>
      <rPr>
        <rFont val="Myanmar Sangam MN"/>
        <color theme="1"/>
        <sz val="10.0"/>
      </rPr>
      <t>၂၉၇၁၆</t>
    </r>
  </si>
  <si>
    <r>
      <rPr>
        <rFont val="Myanmar Sangam MN"/>
        <b/>
        <color theme="1"/>
        <sz val="9.0"/>
      </rPr>
      <t>၈.၅၆%</t>
    </r>
  </si>
  <si>
    <r>
      <rPr>
        <rFont val="Myanmar Sangam MN"/>
        <color theme="1"/>
        <sz val="10.0"/>
      </rPr>
      <t>ဦးေကာလ်လျန်</t>
    </r>
  </si>
  <si>
    <r>
      <rPr>
        <rFont val="Myanmar Sangam MN"/>
        <color theme="1"/>
        <sz val="10.0"/>
      </rPr>
      <t>ြပည်သူ ပါတီ</t>
    </r>
  </si>
  <si>
    <r>
      <rPr>
        <rFont val="Myanmar Sangam MN"/>
        <color theme="1"/>
        <sz val="10.0"/>
      </rPr>
      <t>၃၅၀၃</t>
    </r>
  </si>
  <si>
    <r>
      <rPr>
        <rFont val="Myanmar Sangam MN"/>
        <color theme="1"/>
        <sz val="10.0"/>
      </rPr>
      <t>၉၈၃</t>
    </r>
  </si>
  <si>
    <r>
      <rPr>
        <rFont val="Myanmar Sangam MN"/>
        <color theme="1"/>
        <sz val="10.0"/>
      </rPr>
      <t>၄၄၈၆</t>
    </r>
  </si>
  <si>
    <r>
      <rPr>
        <rFont val="Myanmar Sangam MN"/>
        <b/>
        <color theme="1"/>
        <sz val="9.0"/>
      </rPr>
      <t>၁.၂၉%</t>
    </r>
  </si>
  <si>
    <r>
      <rPr>
        <rFont val="Myanmar Sangam MN"/>
        <color theme="1"/>
        <sz val="10.0"/>
      </rPr>
      <t>ဦးဖုန်းြမင့်ေအာင်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</si>
  <si>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</si>
  <si>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၂၅၅၂</t>
    </r>
  </si>
  <si>
    <r>
      <rPr>
        <rFont val="Myanmar Sangam MN"/>
        <color theme="1"/>
        <sz val="10.0"/>
      </rPr>
      <t>၉၉၀</t>
    </r>
  </si>
  <si>
    <r>
      <rPr>
        <rFont val="Myanmar Sangam MN"/>
        <color theme="1"/>
        <sz val="10.0"/>
      </rPr>
      <t>၃၅၄၂</t>
    </r>
  </si>
  <si>
    <r>
      <rPr>
        <rFont val="Myanmar Sangam MN"/>
        <b/>
        <color theme="1"/>
        <sz val="9.0"/>
      </rPr>
      <t>၁.၀၂%</t>
    </r>
  </si>
  <si>
    <r>
      <rPr>
        <rFont val="Myanmar Sangam MN"/>
        <color theme="1"/>
        <sz val="10.0"/>
      </rPr>
      <t>ဦးေအာင်ွန ်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</si>
  <si>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</si>
  <si>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၂၂၀၈</t>
    </r>
  </si>
  <si>
    <r>
      <rPr>
        <rFont val="Myanmar Sangam MN"/>
        <color theme="1"/>
        <sz val="10.0"/>
      </rPr>
      <t>၇၃၉</t>
    </r>
  </si>
  <si>
    <r>
      <rPr>
        <rFont val="Myanmar Sangam MN"/>
        <color theme="1"/>
        <sz val="10.0"/>
      </rPr>
      <t>၂၉၄၇</t>
    </r>
  </si>
  <si>
    <r>
      <rPr>
        <rFont val="Myanmar Sangam MN"/>
        <b/>
        <color theme="1"/>
        <sz val="9.0"/>
      </rPr>
      <t>၀.၈၅%</t>
    </r>
  </si>
  <si>
    <r>
      <rPr>
        <rFont val="Myanmar Sangam MN"/>
        <color theme="1"/>
        <sz val="10.0"/>
      </rPr>
      <t>ဦးလှြမင့်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</si>
  <si>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</si>
  <si>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၂၀၇၂</t>
    </r>
  </si>
  <si>
    <r>
      <rPr>
        <rFont val="Myanmar Sangam MN"/>
        <color theme="1"/>
        <sz val="10.0"/>
      </rPr>
      <t>၈၀၃</t>
    </r>
  </si>
  <si>
    <r>
      <rPr>
        <rFont val="Myanmar Sangam MN"/>
        <color theme="1"/>
        <sz val="10.0"/>
      </rPr>
      <t>၂၈၇၅</t>
    </r>
  </si>
  <si>
    <r>
      <rPr>
        <rFont val="Myanmar Sangam MN"/>
        <b/>
        <color theme="1"/>
        <sz val="9.0"/>
      </rPr>
      <t>၀.၈၃%</t>
    </r>
  </si>
  <si>
    <r>
      <rPr>
        <rFont val="Myanmar Sangam MN"/>
        <b/>
        <color theme="1"/>
        <sz val="10.0"/>
      </rPr>
      <t>၁၃၁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</si>
  <si>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</si>
  <si>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၄၆၂၄၀၂</t>
    </r>
  </si>
  <si>
    <r>
      <rPr>
        <rFont val="Myanmar Sangam MN"/>
        <b/>
        <color theme="1"/>
        <sz val="10.0"/>
      </rPr>
      <t>၂၄၆၉၅၆</t>
    </r>
  </si>
  <si>
    <r>
      <rPr>
        <rFont val="Myanmar Sangam MN"/>
        <b/>
        <color theme="1"/>
        <sz val="10.0"/>
      </rPr>
      <t>၄၆၉၄၉</t>
    </r>
  </si>
  <si>
    <r>
      <rPr>
        <rFont val="Myanmar Sangam MN"/>
        <b/>
        <color theme="1"/>
        <sz val="10.0"/>
      </rPr>
      <t>၂၉၃၉၀၅</t>
    </r>
  </si>
  <si>
    <r>
      <rPr>
        <rFont val="Myanmar Sangam MN"/>
        <b/>
        <color theme="1"/>
        <sz val="10.0"/>
      </rPr>
      <t>၆၃.၅၆</t>
    </r>
  </si>
  <si>
    <r>
      <rPr>
        <rFont val="Myanmar Sangam MN"/>
        <b/>
        <color theme="1"/>
        <sz val="10.0"/>
      </rPr>
      <t>၄၉၃၂</t>
    </r>
  </si>
  <si>
    <r>
      <rPr>
        <rFont val="Myanmar Sangam MN"/>
        <b/>
        <color theme="1"/>
        <sz val="10.0"/>
      </rPr>
      <t>၅၉၃</t>
    </r>
  </si>
  <si>
    <r>
      <rPr>
        <rFont val="Myanmar Sangam MN"/>
        <b/>
        <color theme="1"/>
        <sz val="10.0"/>
      </rPr>
      <t>၅၅၂၅</t>
    </r>
  </si>
  <si>
    <r>
      <rPr>
        <rFont val="Myanmar Sangam MN"/>
        <b/>
        <color theme="1"/>
        <sz val="10.0"/>
      </rPr>
      <t>၂၄၁၈၇၄</t>
    </r>
  </si>
  <si>
    <r>
      <rPr>
        <rFont val="Myanmar Sangam MN"/>
        <b/>
        <color theme="1"/>
        <sz val="10.0"/>
      </rPr>
      <t>၄၆၅၀၆</t>
    </r>
  </si>
  <si>
    <r>
      <rPr>
        <rFont val="Myanmar Sangam MN"/>
        <b/>
        <color theme="1"/>
        <sz val="10.0"/>
      </rPr>
      <t>၂၈၈၃၈၀</t>
    </r>
  </si>
  <si>
    <r>
      <rPr>
        <rFont val="Myanmar Sangam MN"/>
        <color theme="1"/>
        <sz val="10.0"/>
      </rPr>
      <t>ဦးေနေကျာ်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</si>
  <si>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</si>
  <si>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၂၀၉၉၆၆</t>
    </r>
  </si>
  <si>
    <r>
      <rPr>
        <rFont val="Myanmar Sangam MN"/>
        <color theme="1"/>
        <sz val="10.0"/>
      </rPr>
      <t>၃၈၁၂၆</t>
    </r>
  </si>
  <si>
    <r>
      <rPr>
        <rFont val="Myanmar Sangam MN"/>
        <color theme="1"/>
        <sz val="10.0"/>
      </rPr>
      <t>၂၄၈၀၉၂</t>
    </r>
  </si>
  <si>
    <r>
      <rPr>
        <rFont val="Myanmar Sangam MN"/>
        <b/>
        <color theme="1"/>
        <sz val="9.0"/>
      </rPr>
      <t>၈၆.၀၃%</t>
    </r>
  </si>
  <si>
    <r>
      <rPr>
        <rFont val="Myanmar Sangam MN"/>
        <color theme="1"/>
        <sz val="10.0"/>
      </rPr>
      <t>ဦးဝဏမျးိ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</si>
  <si>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</si>
  <si>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၂၇၀၆၂</t>
    </r>
  </si>
  <si>
    <r>
      <rPr>
        <rFont val="Myanmar Sangam MN"/>
        <color theme="1"/>
        <sz val="10.0"/>
      </rPr>
      <t>၇၀၇၇</t>
    </r>
  </si>
  <si>
    <r>
      <rPr>
        <rFont val="Myanmar Sangam MN"/>
        <color theme="1"/>
        <sz val="10.0"/>
      </rPr>
      <t>၃၄၁၃၉</t>
    </r>
  </si>
  <si>
    <r>
      <rPr>
        <rFont val="Myanmar Sangam MN"/>
        <b/>
        <color theme="1"/>
        <sz val="9.0"/>
      </rPr>
      <t>၁၁.၈၄%</t>
    </r>
  </si>
  <si>
    <r>
      <rPr>
        <rFont val="Myanmar Sangam MN"/>
        <color theme="1"/>
        <sz val="10.0"/>
      </rPr>
      <t>ဦးသန်းယု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</si>
  <si>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</si>
  <si>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၂၀၉၈</t>
    </r>
  </si>
  <si>
    <r>
      <rPr>
        <rFont val="Myanmar Sangam MN"/>
        <color theme="1"/>
        <sz val="10.0"/>
      </rPr>
      <t>၃၉၇</t>
    </r>
  </si>
  <si>
    <r>
      <rPr>
        <rFont val="Myanmar Sangam MN"/>
        <color theme="1"/>
        <sz val="10.0"/>
      </rPr>
      <t>၂၄၉၅</t>
    </r>
  </si>
  <si>
    <r>
      <rPr>
        <rFont val="Myanmar Sangam MN"/>
        <b/>
        <color theme="1"/>
        <sz val="9.0"/>
      </rPr>
      <t>၀.၈၆%</t>
    </r>
  </si>
  <si>
    <r>
      <rPr>
        <rFont val="Myanmar Sangam MN"/>
        <color theme="1"/>
        <sz val="10.0"/>
      </rPr>
      <t>ေဒါက်တာတင်ြမင့်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</si>
  <si>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</si>
  <si>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၁၉၄၁</t>
    </r>
  </si>
  <si>
    <r>
      <rPr>
        <rFont val="Myanmar Sangam MN"/>
        <color theme="1"/>
        <sz val="10.0"/>
      </rPr>
      <t>၇၀၅</t>
    </r>
  </si>
  <si>
    <r>
      <rPr>
        <rFont val="Myanmar Sangam MN"/>
        <color theme="1"/>
        <sz val="10.0"/>
      </rPr>
      <t>၂၆၄၆</t>
    </r>
  </si>
  <si>
    <r>
      <rPr>
        <rFont val="Myanmar Sangam MN"/>
        <b/>
        <color theme="1"/>
        <sz val="9.0"/>
      </rPr>
      <t>၀.၉၂%</t>
    </r>
  </si>
  <si>
    <r>
      <rPr>
        <rFont val="Myanmar Sangam MN"/>
        <color theme="1"/>
        <sz val="10.0"/>
      </rPr>
      <t>ဦးဝင်းေဇာ်ေမာင်</t>
    </r>
  </si>
  <si>
    <r>
      <rPr>
        <rFont val="Myanmar Sangam MN"/>
        <color theme="1"/>
        <sz val="10.0"/>
      </rPr>
      <t>အေြခခံလူတန်းစားဘဝြမင့်မားေရးပါတီ</t>
    </r>
  </si>
  <si>
    <r>
      <rPr>
        <rFont val="Myanmar Sangam MN"/>
        <color theme="1"/>
        <sz val="10.0"/>
      </rPr>
      <t>၈၀၇</t>
    </r>
  </si>
  <si>
    <r>
      <rPr>
        <rFont val="Myanmar Sangam MN"/>
        <color theme="1"/>
        <sz val="10.0"/>
      </rPr>
      <t>၂၀၁</t>
    </r>
  </si>
  <si>
    <r>
      <rPr>
        <rFont val="Myanmar Sangam MN"/>
        <color theme="1"/>
        <sz val="10.0"/>
      </rPr>
      <t>၁၀၀၈</t>
    </r>
  </si>
  <si>
    <r>
      <rPr>
        <rFont val="Myanmar Sangam MN"/>
        <b/>
        <color theme="1"/>
        <sz val="9.0"/>
      </rPr>
      <t>၀.၃၅%</t>
    </r>
  </si>
  <si>
    <r>
      <rPr>
        <rFont val="Myanmar Sangam MN"/>
        <b/>
        <color theme="1"/>
        <sz val="10.0"/>
      </rPr>
      <t>၁၃၂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</si>
  <si>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</si>
  <si>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၅၉၁၈၁၁</t>
    </r>
  </si>
  <si>
    <r>
      <rPr>
        <rFont val="Myanmar Sangam MN"/>
        <b/>
        <color theme="1"/>
        <sz val="10.0"/>
      </rPr>
      <t>၃၂၂၁၃၇</t>
    </r>
  </si>
  <si>
    <r>
      <rPr>
        <rFont val="Myanmar Sangam MN"/>
        <b/>
        <color theme="1"/>
        <sz val="10.0"/>
      </rPr>
      <t>၈၃၂၄၉</t>
    </r>
  </si>
  <si>
    <r>
      <rPr>
        <rFont val="Myanmar Sangam MN"/>
        <b/>
        <color theme="1"/>
        <sz val="10.0"/>
      </rPr>
      <t>၄၀၅၃၈၆</t>
    </r>
  </si>
  <si>
    <r>
      <rPr>
        <rFont val="Myanmar Sangam MN"/>
        <b/>
        <color theme="1"/>
        <sz val="10.0"/>
      </rPr>
      <t>၆၈.၅၀</t>
    </r>
  </si>
  <si>
    <r>
      <rPr>
        <rFont val="Myanmar Sangam MN"/>
        <b/>
        <color theme="1"/>
        <sz val="10.0"/>
      </rPr>
      <t>၄၅၇၈</t>
    </r>
  </si>
  <si>
    <r>
      <rPr>
        <rFont val="Myanmar Sangam MN"/>
        <b/>
        <color theme="1"/>
        <sz val="10.0"/>
      </rPr>
      <t>၈၀၆</t>
    </r>
  </si>
  <si>
    <r>
      <rPr>
        <rFont val="Myanmar Sangam MN"/>
        <b/>
        <color theme="1"/>
        <sz val="10.0"/>
      </rPr>
      <t>၅၃၈၄</t>
    </r>
  </si>
  <si>
    <r>
      <rPr>
        <rFont val="Myanmar Sangam MN"/>
        <b/>
        <color theme="1"/>
        <sz val="10.0"/>
      </rPr>
      <t>၃၁၇၂၈၄</t>
    </r>
  </si>
  <si>
    <r>
      <rPr>
        <rFont val="Myanmar Sangam MN"/>
        <b/>
        <color theme="1"/>
        <sz val="10.0"/>
      </rPr>
      <t>၈၂၇၁၈</t>
    </r>
  </si>
  <si>
    <r>
      <rPr>
        <rFont val="Myanmar Sangam MN"/>
        <b/>
        <color theme="1"/>
        <sz val="10.0"/>
      </rPr>
      <t>၄၀၀၀၀၂</t>
    </r>
  </si>
  <si>
    <r>
      <rPr>
        <rFont val="Myanmar Sangam MN"/>
        <color theme="1"/>
        <sz val="10.0"/>
      </rPr>
      <t>ဦးအာကာမျးိ ထက်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</si>
  <si>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</si>
  <si>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၂၇၇၉၅၇</t>
    </r>
  </si>
  <si>
    <r>
      <rPr>
        <rFont val="Myanmar Sangam MN"/>
        <color theme="1"/>
        <sz val="10.0"/>
      </rPr>
      <t>၆၉၅၄၆</t>
    </r>
  </si>
  <si>
    <r>
      <rPr>
        <rFont val="Myanmar Sangam MN"/>
        <color theme="1"/>
        <sz val="10.0"/>
      </rPr>
      <t>၃၄၇၅၀၃</t>
    </r>
  </si>
  <si>
    <r>
      <rPr>
        <rFont val="Myanmar Sangam MN"/>
        <b/>
        <color theme="1"/>
        <sz val="9.0"/>
      </rPr>
      <t>၈၆.၈၇%</t>
    </r>
  </si>
  <si>
    <r>
      <rPr>
        <rFont val="Myanmar Sangam MN"/>
        <color theme="1"/>
        <sz val="10.0"/>
      </rPr>
      <t>ေဒါက်တာေရ ြပည်စိုး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</si>
  <si>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</si>
  <si>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၃၂၄၀၅</t>
    </r>
  </si>
  <si>
    <r>
      <rPr>
        <rFont val="Myanmar Sangam MN"/>
        <color theme="1"/>
        <sz val="10.0"/>
      </rPr>
      <t>၁၀၉၇၉</t>
    </r>
  </si>
  <si>
    <r>
      <rPr>
        <rFont val="Myanmar Sangam MN"/>
        <color theme="1"/>
        <sz val="10.0"/>
      </rPr>
      <t>၄၃၃၈၄</t>
    </r>
  </si>
  <si>
    <r>
      <rPr>
        <rFont val="Myanmar Sangam MN"/>
        <b/>
        <color theme="1"/>
        <sz val="9.0"/>
      </rPr>
      <t>၁၀.၈၅%</t>
    </r>
  </si>
  <si>
    <r>
      <rPr>
        <rFont val="Myanmar Sangam MN"/>
        <color theme="1"/>
        <sz val="10.0"/>
      </rPr>
      <t>ေဒခင်ြမတ်ေထွး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</si>
  <si>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</si>
  <si>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၃၆၇၆</t>
    </r>
  </si>
  <si>
    <r>
      <rPr>
        <rFont val="Myanmar Sangam MN"/>
        <color theme="1"/>
        <sz val="10.0"/>
      </rPr>
      <t>၈၄၉</t>
    </r>
  </si>
  <si>
    <r>
      <rPr>
        <rFont val="Myanmar Sangam MN"/>
        <color theme="1"/>
        <sz val="10.0"/>
      </rPr>
      <t>၄၅၂၅</t>
    </r>
  </si>
  <si>
    <r>
      <rPr>
        <rFont val="Myanmar Sangam MN"/>
        <b/>
        <color theme="1"/>
        <sz val="9.0"/>
      </rPr>
      <t>၁.၁၃%</t>
    </r>
  </si>
  <si>
    <r>
      <rPr>
        <rFont val="Myanmar Sangam MN"/>
        <color theme="1"/>
        <sz val="10.0"/>
      </rPr>
      <t>ေဒကည်မာလင်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</si>
  <si>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</si>
  <si>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၂၂၈၀</t>
    </r>
  </si>
  <si>
    <r>
      <rPr>
        <rFont val="Myanmar Sangam MN"/>
        <color theme="1"/>
        <sz val="10.0"/>
      </rPr>
      <t>၁၀၆၃</t>
    </r>
  </si>
  <si>
    <r>
      <rPr>
        <rFont val="Myanmar Sangam MN"/>
        <color theme="1"/>
        <sz val="10.0"/>
      </rPr>
      <t>၃၃၄၃</t>
    </r>
  </si>
  <si>
    <r>
      <rPr>
        <rFont val="Myanmar Sangam MN"/>
        <b/>
        <color theme="1"/>
        <sz val="9.0"/>
      </rPr>
      <t>၀.၈၄%</t>
    </r>
  </si>
  <si>
    <r>
      <rPr>
        <rFont val="Myanmar Sangam MN"/>
        <color theme="1"/>
        <sz val="10.0"/>
      </rPr>
      <t>ေဒမာမာေဆွ</t>
    </r>
  </si>
  <si>
    <r>
      <rPr>
        <rFont val="Myanmar Sangam MN"/>
        <color theme="1"/>
        <sz val="10.0"/>
      </rPr>
      <t>ညီွတ်ေသာတိုင်းရင်းသားလူမျးိ များ ဒီမိုကေရစီပါတီ</t>
    </r>
  </si>
  <si>
    <r>
      <rPr>
        <rFont val="Myanmar Sangam MN"/>
        <color theme="1"/>
        <sz val="10.0"/>
      </rPr>
      <t>၉၆၆</t>
    </r>
  </si>
  <si>
    <r>
      <rPr>
        <rFont val="Myanmar Sangam MN"/>
        <color theme="1"/>
        <sz val="10.0"/>
      </rPr>
      <t>၂၈၁</t>
    </r>
  </si>
  <si>
    <r>
      <rPr>
        <rFont val="Myanmar Sangam MN"/>
        <color theme="1"/>
        <sz val="10.0"/>
      </rPr>
      <t>၁၂၄၇</t>
    </r>
  </si>
  <si>
    <r>
      <rPr>
        <rFont val="Myanmar Sangam MN"/>
        <b/>
        <color theme="1"/>
        <sz val="9.0"/>
      </rPr>
      <t>၀.၃၁%</t>
    </r>
  </si>
  <si>
    <r>
      <rPr>
        <rFont val="Myanmar Sangam MN"/>
        <b/>
        <color theme="1"/>
        <sz val="10.0"/>
      </rPr>
      <t>၁၃၃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</si>
  <si>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</si>
  <si>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၄၁၈၇၀၀</t>
    </r>
  </si>
  <si>
    <r>
      <rPr>
        <rFont val="Myanmar Sangam MN"/>
        <b/>
        <color theme="1"/>
        <sz val="10.0"/>
      </rPr>
      <t>၂၂၃၅၆၇</t>
    </r>
  </si>
  <si>
    <r>
      <rPr>
        <rFont val="Myanmar Sangam MN"/>
        <b/>
        <color theme="1"/>
        <sz val="10.0"/>
      </rPr>
      <t>၆၀၃၉၉</t>
    </r>
  </si>
  <si>
    <r>
      <rPr>
        <rFont val="Myanmar Sangam MN"/>
        <b/>
        <color theme="1"/>
        <sz val="10.0"/>
      </rPr>
      <t>၂၈၃၉၆၆</t>
    </r>
  </si>
  <si>
    <r>
      <rPr>
        <rFont val="Myanmar Sangam MN"/>
        <b/>
        <color theme="1"/>
        <sz val="10.0"/>
      </rPr>
      <t>၆၇.၈၂</t>
    </r>
  </si>
  <si>
    <r>
      <rPr>
        <rFont val="Myanmar Sangam MN"/>
        <b/>
        <color theme="1"/>
        <sz val="10.0"/>
      </rPr>
      <t>၃၇၁၄</t>
    </r>
  </si>
  <si>
    <r>
      <rPr>
        <rFont val="Myanmar Sangam MN"/>
        <b/>
        <color theme="1"/>
        <sz val="10.0"/>
      </rPr>
      <t>၂၄၈</t>
    </r>
  </si>
  <si>
    <r>
      <rPr>
        <rFont val="Myanmar Sangam MN"/>
        <b/>
        <color theme="1"/>
        <sz val="10.0"/>
      </rPr>
      <t>၃၉၆၂</t>
    </r>
  </si>
  <si>
    <r>
      <rPr>
        <rFont val="Myanmar Sangam MN"/>
        <b/>
        <color theme="1"/>
        <sz val="10.0"/>
      </rPr>
      <t>၂၁၉၉၉၅</t>
    </r>
  </si>
  <si>
    <r>
      <rPr>
        <rFont val="Myanmar Sangam MN"/>
        <b/>
        <color theme="1"/>
        <sz val="10.0"/>
      </rPr>
      <t>၆၀၀၀၉</t>
    </r>
  </si>
  <si>
    <r>
      <rPr>
        <rFont val="Myanmar Sangam MN"/>
        <b/>
        <color theme="1"/>
        <sz val="10.0"/>
      </rPr>
      <t>၂၈၀၀၀၄</t>
    </r>
  </si>
  <si>
    <r>
      <rPr>
        <rFont val="Myanmar Sangam MN"/>
        <color theme="1"/>
        <sz val="10.0"/>
      </rPr>
      <t>ဦးေကျာ်ဇင်ဝင်း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</si>
  <si>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</si>
  <si>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၁၉၅၃၃၈</t>
    </r>
  </si>
  <si>
    <r>
      <rPr>
        <rFont val="Myanmar Sangam MN"/>
        <color theme="1"/>
        <sz val="10.0"/>
      </rPr>
      <t>၄၉၇၇၉</t>
    </r>
  </si>
  <si>
    <r>
      <rPr>
        <rFont val="Myanmar Sangam MN"/>
        <color theme="1"/>
        <sz val="10.0"/>
      </rPr>
      <t>၂၄၅၁၁၇</t>
    </r>
  </si>
  <si>
    <r>
      <rPr>
        <rFont val="Myanmar Sangam MN"/>
        <b/>
        <color theme="1"/>
        <sz val="9.0"/>
      </rPr>
      <t>၈၇.၅၄%</t>
    </r>
  </si>
  <si>
    <r>
      <rPr>
        <rFont val="Myanmar Sangam MN"/>
        <color theme="1"/>
        <sz val="9.0"/>
      </rPr>
      <t>ေဒါက်တာေမာင်ေမာင်ြမင့်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</si>
  <si>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</si>
  <si>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၂၁၇၉၁</t>
    </r>
  </si>
  <si>
    <r>
      <rPr>
        <rFont val="Myanmar Sangam MN"/>
        <color theme="1"/>
        <sz val="10.0"/>
      </rPr>
      <t>၉၂၈၄</t>
    </r>
  </si>
  <si>
    <r>
      <rPr>
        <rFont val="Myanmar Sangam MN"/>
        <color theme="1"/>
        <sz val="10.0"/>
      </rPr>
      <t>၃၁၀၇၅</t>
    </r>
  </si>
  <si>
    <r>
      <rPr>
        <rFont val="Myanmar Sangam MN"/>
        <b/>
        <color theme="1"/>
        <sz val="9.0"/>
      </rPr>
      <t>၁၁.၁၀%</t>
    </r>
  </si>
  <si>
    <r>
      <rPr>
        <rFont val="Myanmar Sangam MN"/>
        <color theme="1"/>
        <sz val="10.0"/>
      </rPr>
      <t>ဦးစိုးြမင့်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</si>
  <si>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</si>
  <si>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၂၈၆၆</t>
    </r>
  </si>
  <si>
    <r>
      <rPr>
        <rFont val="Myanmar Sangam MN"/>
        <color theme="1"/>
        <sz val="10.0"/>
      </rPr>
      <t>၉၄၆</t>
    </r>
  </si>
  <si>
    <r>
      <rPr>
        <rFont val="Myanmar Sangam MN"/>
        <color theme="1"/>
        <sz val="10.0"/>
      </rPr>
      <t>၃၈၁၂</t>
    </r>
  </si>
  <si>
    <r>
      <rPr>
        <rFont val="Myanmar Sangam MN"/>
        <b/>
        <color theme="1"/>
        <sz val="9.0"/>
      </rPr>
      <t>၁.၃၆%</t>
    </r>
  </si>
  <si>
    <r>
      <rPr>
        <rFont val="Myanmar Sangam MN"/>
        <b/>
        <color theme="1"/>
        <sz val="10.0"/>
      </rPr>
      <t>၁၃၄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</si>
  <si>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</si>
  <si>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၅၂၁၁၇၁</t>
    </r>
  </si>
  <si>
    <r>
      <rPr>
        <rFont val="Myanmar Sangam MN"/>
        <b/>
        <color theme="1"/>
        <sz val="10.0"/>
      </rPr>
      <t>၃၃၄၇၅၇</t>
    </r>
  </si>
  <si>
    <r>
      <rPr>
        <rFont val="Myanmar Sangam MN"/>
        <b/>
        <color theme="1"/>
        <sz val="10.0"/>
      </rPr>
      <t>၇၃၆၅၀</t>
    </r>
  </si>
  <si>
    <r>
      <rPr>
        <rFont val="Myanmar Sangam MN"/>
        <b/>
        <color theme="1"/>
        <sz val="10.0"/>
      </rPr>
      <t>၄၀၈၄၀၇</t>
    </r>
  </si>
  <si>
    <r>
      <rPr>
        <rFont val="Myanmar Sangam MN"/>
        <b/>
        <color theme="1"/>
        <sz val="10.0"/>
      </rPr>
      <t>၇၈.၃၆</t>
    </r>
  </si>
  <si>
    <r>
      <rPr>
        <rFont val="Myanmar Sangam MN"/>
        <b/>
        <color theme="1"/>
        <sz val="10.0"/>
      </rPr>
      <t>၆၀၀၅</t>
    </r>
  </si>
  <si>
    <r>
      <rPr>
        <rFont val="Myanmar Sangam MN"/>
        <b/>
        <color theme="1"/>
        <sz val="10.0"/>
      </rPr>
      <t>၅၁၀</t>
    </r>
  </si>
  <si>
    <r>
      <rPr>
        <rFont val="Myanmar Sangam MN"/>
        <b/>
        <color theme="1"/>
        <sz val="10.0"/>
      </rPr>
      <t>၆၅၁၅</t>
    </r>
  </si>
  <si>
    <r>
      <rPr>
        <rFont val="Myanmar Sangam MN"/>
        <b/>
        <color theme="1"/>
        <sz val="10.0"/>
      </rPr>
      <t>၃၂၉၅၁၄</t>
    </r>
  </si>
  <si>
    <r>
      <rPr>
        <rFont val="Myanmar Sangam MN"/>
        <b/>
        <color theme="1"/>
        <sz val="10.0"/>
      </rPr>
      <t>၇၂၃၇၈</t>
    </r>
  </si>
  <si>
    <r>
      <rPr>
        <rFont val="Myanmar Sangam MN"/>
        <b/>
        <color theme="1"/>
        <sz val="10.0"/>
      </rPr>
      <t>၄၀၁၈၉၂</t>
    </r>
  </si>
  <si>
    <r>
      <rPr>
        <rFont val="Myanmar Sangam MN"/>
        <color theme="1"/>
        <sz val="10.0"/>
      </rPr>
      <t>ဦးေကျာ်စိုးမိုးလွင်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</si>
  <si>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</si>
  <si>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၂၆၅၀၅၈</t>
    </r>
  </si>
  <si>
    <r>
      <rPr>
        <rFont val="Myanmar Sangam MN"/>
        <color theme="1"/>
        <sz val="10.0"/>
      </rPr>
      <t>၅၆၁၄၁</t>
    </r>
  </si>
  <si>
    <r>
      <rPr>
        <rFont val="Myanmar Sangam MN"/>
        <color theme="1"/>
        <sz val="10.0"/>
      </rPr>
      <t>၃၂၁၁၉၉</t>
    </r>
  </si>
  <si>
    <r>
      <rPr>
        <rFont val="Myanmar Sangam MN"/>
        <b/>
        <color theme="1"/>
        <sz val="9.0"/>
      </rPr>
      <t>၇၉.၉၂%</t>
    </r>
  </si>
  <si>
    <r>
      <rPr>
        <rFont val="Myanmar Sangam MN"/>
        <color theme="1"/>
        <sz val="10.0"/>
      </rPr>
      <t>ဦးဆန်းဝင်း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</si>
  <si>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</si>
  <si>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၅၇၇၁၉</t>
    </r>
  </si>
  <si>
    <r>
      <rPr>
        <rFont val="Myanmar Sangam MN"/>
        <color theme="1"/>
        <sz val="10.0"/>
      </rPr>
      <t>၁၄၆၂၀</t>
    </r>
  </si>
  <si>
    <r>
      <rPr>
        <rFont val="Myanmar Sangam MN"/>
        <color theme="1"/>
        <sz val="10.0"/>
      </rPr>
      <t>၇၂၃၃၉</t>
    </r>
  </si>
  <si>
    <r>
      <rPr>
        <rFont val="Myanmar Sangam MN"/>
        <b/>
        <color theme="1"/>
        <sz val="9.0"/>
      </rPr>
      <t>၁၈.၀၀%</t>
    </r>
  </si>
  <si>
    <r>
      <rPr>
        <rFont val="Myanmar Sangam MN"/>
        <color theme="1"/>
        <sz val="10.0"/>
      </rPr>
      <t>ဦးခင်ညိဦး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</si>
  <si>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</si>
  <si>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၄၈၃၉</t>
    </r>
  </si>
  <si>
    <r>
      <rPr>
        <rFont val="Myanmar Sangam MN"/>
        <color theme="1"/>
        <sz val="10.0"/>
      </rPr>
      <t>၁၁၉၂</t>
    </r>
  </si>
  <si>
    <r>
      <rPr>
        <rFont val="Myanmar Sangam MN"/>
        <color theme="1"/>
        <sz val="10.0"/>
      </rPr>
      <t>၆၀၃၁</t>
    </r>
  </si>
  <si>
    <r>
      <rPr>
        <rFont val="Myanmar Sangam MN"/>
        <b/>
        <color theme="1"/>
        <sz val="9.0"/>
      </rPr>
      <t>၁.၅၀%</t>
    </r>
  </si>
  <si>
    <r>
      <rPr>
        <rFont val="Myanmar Sangam MN"/>
        <color theme="1"/>
        <sz val="10.0"/>
      </rPr>
      <t>ဦးမျးိ သီဟထွန်း</t>
    </r>
  </si>
  <si>
    <r>
      <rPr>
        <rFont val="Myanmar Sangam MN"/>
        <color theme="1"/>
        <sz val="10.0"/>
      </rPr>
      <t>ြပည်သူ ပါတီ</t>
    </r>
  </si>
  <si>
    <r>
      <rPr>
        <rFont val="Myanmar Sangam MN"/>
        <color theme="1"/>
        <sz val="10.0"/>
      </rPr>
      <t>၁၈၉၈</t>
    </r>
  </si>
  <si>
    <r>
      <rPr>
        <rFont val="Myanmar Sangam MN"/>
        <color theme="1"/>
        <sz val="10.0"/>
      </rPr>
      <t>၄၂၅</t>
    </r>
  </si>
  <si>
    <r>
      <rPr>
        <rFont val="Myanmar Sangam MN"/>
        <color theme="1"/>
        <sz val="10.0"/>
      </rPr>
      <t>၂၃၂၃</t>
    </r>
  </si>
  <si>
    <r>
      <rPr>
        <rFont val="Myanmar Sangam MN"/>
        <b/>
        <color theme="1"/>
        <sz val="9.0"/>
      </rPr>
      <t>၀.၅၈%</t>
    </r>
  </si>
  <si>
    <r>
      <rPr>
        <rFont val="Myanmar Sangam MN"/>
        <b/>
        <color theme="1"/>
        <sz val="10.0"/>
      </rPr>
      <t>၁၃၅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</si>
  <si>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</si>
  <si>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၆၀၈၆၆၂</t>
    </r>
  </si>
  <si>
    <r>
      <rPr>
        <rFont val="Myanmar Sangam MN"/>
        <b/>
        <color theme="1"/>
        <sz val="10.0"/>
      </rPr>
      <t>၃၆၅၅၄၅</t>
    </r>
  </si>
  <si>
    <r>
      <rPr>
        <rFont val="Myanmar Sangam MN"/>
        <b/>
        <color theme="1"/>
        <sz val="10.0"/>
      </rPr>
      <t>၉၉၈၂၇</t>
    </r>
  </si>
  <si>
    <r>
      <rPr>
        <rFont val="Myanmar Sangam MN"/>
        <b/>
        <color theme="1"/>
        <sz val="10.0"/>
      </rPr>
      <t>၄၆၅၃၇၂</t>
    </r>
  </si>
  <si>
    <r>
      <rPr>
        <rFont val="Myanmar Sangam MN"/>
        <b/>
        <color theme="1"/>
        <sz val="10.0"/>
      </rPr>
      <t>၇၆.၄၆</t>
    </r>
  </si>
  <si>
    <r>
      <rPr>
        <rFont val="Myanmar Sangam MN"/>
        <b/>
        <color theme="1"/>
        <sz val="10.0"/>
      </rPr>
      <t>၁၀၇၁၆</t>
    </r>
  </si>
  <si>
    <r>
      <rPr>
        <rFont val="Myanmar Sangam MN"/>
        <b/>
        <color theme="1"/>
        <sz val="10.0"/>
      </rPr>
      <t>၁၁၆၀</t>
    </r>
  </si>
  <si>
    <r>
      <rPr>
        <rFont val="Myanmar Sangam MN"/>
        <b/>
        <color theme="1"/>
        <sz val="10.0"/>
      </rPr>
      <t>၁၁၈၇၆</t>
    </r>
  </si>
  <si>
    <r>
      <rPr>
        <rFont val="Myanmar Sangam MN"/>
        <b/>
        <color theme="1"/>
        <sz val="10.0"/>
      </rPr>
      <t>၃၅၃၈၈၈</t>
    </r>
  </si>
  <si>
    <r>
      <rPr>
        <rFont val="Myanmar Sangam MN"/>
        <b/>
        <color theme="1"/>
        <sz val="10.0"/>
      </rPr>
      <t>၉၉၆၀၈</t>
    </r>
  </si>
  <si>
    <r>
      <rPr>
        <rFont val="Myanmar Sangam MN"/>
        <b/>
        <color theme="1"/>
        <sz val="10.0"/>
      </rPr>
      <t>၄၅၃၄၉၆</t>
    </r>
  </si>
  <si>
    <r>
      <rPr>
        <rFont val="Myanmar Sangam MN"/>
        <color theme="1"/>
        <sz val="10.0"/>
      </rPr>
      <t>ေဒါက်တာေဌးလှ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</si>
  <si>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</si>
  <si>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၂၆၂၂၉၇</t>
    </r>
  </si>
  <si>
    <r>
      <rPr>
        <rFont val="Myanmar Sangam MN"/>
        <color theme="1"/>
        <sz val="10.0"/>
      </rPr>
      <t>၆၇၈၀၇</t>
    </r>
  </si>
  <si>
    <r>
      <rPr>
        <rFont val="Myanmar Sangam MN"/>
        <color theme="1"/>
        <sz val="10.0"/>
      </rPr>
      <t>၃၃၀၁၀၄</t>
    </r>
  </si>
  <si>
    <r>
      <rPr>
        <rFont val="Myanmar Sangam MN"/>
        <b/>
        <color theme="1"/>
        <sz val="9.0"/>
      </rPr>
      <t>၇၂.၇၉%</t>
    </r>
  </si>
  <si>
    <r>
      <rPr>
        <rFont val="Myanmar Sangam MN"/>
        <color theme="1"/>
        <sz val="10.0"/>
      </rPr>
      <t>ဦးြမညိမ်း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</si>
  <si>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</si>
  <si>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၇၁၇၄၅</t>
    </r>
  </si>
  <si>
    <r>
      <rPr>
        <rFont val="Myanmar Sangam MN"/>
        <color theme="1"/>
        <sz val="10.0"/>
      </rPr>
      <t>၂၆၂၇၄</t>
    </r>
  </si>
  <si>
    <r>
      <rPr>
        <rFont val="Myanmar Sangam MN"/>
        <color theme="1"/>
        <sz val="10.0"/>
      </rPr>
      <t>၉၈၀၁၉</t>
    </r>
  </si>
  <si>
    <r>
      <rPr>
        <rFont val="Myanmar Sangam MN"/>
        <b/>
        <color theme="1"/>
        <sz val="9.0"/>
      </rPr>
      <t>၂၁.၆၂%</t>
    </r>
  </si>
  <si>
    <r>
      <rPr>
        <rFont val="Myanmar Sangam MN"/>
        <color theme="1"/>
        <sz val="10.0"/>
      </rPr>
      <t>ဦးဇင်ေအာင်</t>
    </r>
  </si>
  <si>
    <r>
      <rPr>
        <rFont val="Myanmar Sangam MN"/>
        <color theme="1"/>
        <sz val="10.0"/>
      </rPr>
      <t>ြမန်မာ့လူ ေဘာင်သစ်ဒီမိုကရက်တစ်ပါတီ</t>
    </r>
  </si>
  <si>
    <r>
      <rPr>
        <rFont val="Myanmar Sangam MN"/>
        <color theme="1"/>
        <sz val="10.0"/>
      </rPr>
      <t>၉၅၀၈</t>
    </r>
  </si>
  <si>
    <r>
      <rPr>
        <rFont val="Myanmar Sangam MN"/>
        <color theme="1"/>
        <sz val="10.0"/>
      </rPr>
      <t>၁၉၇၈</t>
    </r>
  </si>
  <si>
    <r>
      <rPr>
        <rFont val="Myanmar Sangam MN"/>
        <color theme="1"/>
        <sz val="10.0"/>
      </rPr>
      <t>၁၁၄၈၆</t>
    </r>
  </si>
  <si>
    <r>
      <rPr>
        <rFont val="Myanmar Sangam MN"/>
        <b/>
        <color theme="1"/>
        <sz val="9.0"/>
      </rPr>
      <t>၂.၅၃%</t>
    </r>
  </si>
  <si>
    <r>
      <rPr>
        <rFont val="Myanmar Sangam MN"/>
        <color theme="1"/>
        <sz val="10.0"/>
      </rPr>
      <t>ဦးမင်းေဇာ်</t>
    </r>
  </si>
  <si>
    <r>
      <rPr>
        <rFont val="Myanmar Sangam MN"/>
        <color theme="1"/>
        <sz val="10.0"/>
      </rPr>
      <t>ြပည်သူ အကျးိ ြပေကျာင်းသားများပါတီ</t>
    </r>
  </si>
  <si>
    <r>
      <rPr>
        <rFont val="Myanmar Sangam MN"/>
        <color theme="1"/>
        <sz val="10.0"/>
      </rPr>
      <t>၄၆၅၅</t>
    </r>
  </si>
  <si>
    <r>
      <rPr>
        <rFont val="Myanmar Sangam MN"/>
        <color theme="1"/>
        <sz val="10.0"/>
      </rPr>
      <t>၁၇၆၁</t>
    </r>
  </si>
  <si>
    <r>
      <rPr>
        <rFont val="Myanmar Sangam MN"/>
        <color theme="1"/>
        <sz val="10.0"/>
      </rPr>
      <t>၆၄၁၆</t>
    </r>
  </si>
  <si>
    <r>
      <rPr>
        <rFont val="Myanmar Sangam MN"/>
        <b/>
        <color theme="1"/>
        <sz val="9.0"/>
      </rPr>
      <t>၁.၄၁%</t>
    </r>
  </si>
  <si>
    <r>
      <rPr>
        <rFont val="Myanmar Sangam MN"/>
        <color theme="1"/>
        <sz val="10.0"/>
      </rPr>
      <t>ဦးဆန်းဝင်း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</si>
  <si>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</si>
  <si>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၃၆၉၅</t>
    </r>
  </si>
  <si>
    <r>
      <rPr>
        <rFont val="Myanmar Sangam MN"/>
        <color theme="1"/>
        <sz val="10.0"/>
      </rPr>
      <t>၁၀၉၄</t>
    </r>
  </si>
  <si>
    <r>
      <rPr>
        <rFont val="Myanmar Sangam MN"/>
        <color theme="1"/>
        <sz val="10.0"/>
      </rPr>
      <t>၄၇၈၉</t>
    </r>
  </si>
  <si>
    <r>
      <rPr>
        <rFont val="Myanmar Sangam MN"/>
        <b/>
        <color theme="1"/>
        <sz val="9.0"/>
      </rPr>
      <t>၁.၀၆%</t>
    </r>
  </si>
  <si>
    <r>
      <rPr>
        <rFont val="Myanmar Sangam MN"/>
        <color theme="1"/>
        <sz val="10.0"/>
      </rPr>
      <t>ဦးေဇာ်မင်းိုင်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</si>
  <si>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</si>
  <si>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၁၉၈၈</t>
    </r>
  </si>
  <si>
    <r>
      <rPr>
        <rFont val="Myanmar Sangam MN"/>
        <color theme="1"/>
        <sz val="10.0"/>
      </rPr>
      <t>၆၉၄</t>
    </r>
  </si>
  <si>
    <r>
      <rPr>
        <rFont val="Myanmar Sangam MN"/>
        <color theme="1"/>
        <sz val="10.0"/>
      </rPr>
      <t>၂၆၈၂</t>
    </r>
  </si>
  <si>
    <r>
      <rPr>
        <rFont val="Myanmar Sangam MN"/>
        <b/>
        <color theme="1"/>
        <sz val="9.0"/>
      </rPr>
      <t>၀.၅၉%</t>
    </r>
  </si>
  <si>
    <r>
      <rPr>
        <rFont val="Myanmar Sangam MN"/>
        <b/>
        <color theme="1"/>
        <sz val="10.0"/>
      </rPr>
      <t>၁၃၆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</si>
  <si>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</si>
  <si>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၃၉၆၁၅၄</t>
    </r>
  </si>
  <si>
    <r>
      <rPr>
        <rFont val="Myanmar Sangam MN"/>
        <b/>
        <color theme="1"/>
        <sz val="10.0"/>
      </rPr>
      <t>၁၉၈၂၃၂</t>
    </r>
  </si>
  <si>
    <r>
      <rPr>
        <rFont val="Myanmar Sangam MN"/>
        <b/>
        <color theme="1"/>
        <sz val="10.0"/>
      </rPr>
      <t>၆၈၉၂၂</t>
    </r>
  </si>
  <si>
    <r>
      <rPr>
        <rFont val="Myanmar Sangam MN"/>
        <b/>
        <color theme="1"/>
        <sz val="10.0"/>
      </rPr>
      <t>၂၆၇၁၅၄</t>
    </r>
  </si>
  <si>
    <r>
      <rPr>
        <rFont val="Myanmar Sangam MN"/>
        <b/>
        <color theme="1"/>
        <sz val="10.0"/>
      </rPr>
      <t>၆၇.၄၄</t>
    </r>
  </si>
  <si>
    <r>
      <rPr>
        <rFont val="Myanmar Sangam MN"/>
        <b/>
        <color theme="1"/>
        <sz val="10.0"/>
      </rPr>
      <t>၂၄၉၅</t>
    </r>
  </si>
  <si>
    <r>
      <rPr>
        <rFont val="Myanmar Sangam MN"/>
        <b/>
        <color theme="1"/>
        <sz val="10.0"/>
      </rPr>
      <t>၄၂၉</t>
    </r>
  </si>
  <si>
    <r>
      <rPr>
        <rFont val="Myanmar Sangam MN"/>
        <b/>
        <color theme="1"/>
        <sz val="10.0"/>
      </rPr>
      <t>၂၉၂၄</t>
    </r>
  </si>
  <si>
    <r>
      <rPr>
        <rFont val="Myanmar Sangam MN"/>
        <b/>
        <color theme="1"/>
        <sz val="10.0"/>
      </rPr>
      <t>၁၉၅၈၉၀</t>
    </r>
  </si>
  <si>
    <r>
      <rPr>
        <rFont val="Myanmar Sangam MN"/>
        <b/>
        <color theme="1"/>
        <sz val="10.0"/>
      </rPr>
      <t>၆၈၃၄၀</t>
    </r>
  </si>
  <si>
    <r>
      <rPr>
        <rFont val="Myanmar Sangam MN"/>
        <b/>
        <color theme="1"/>
        <sz val="10.0"/>
      </rPr>
      <t>၂၆၄၂၃၀</t>
    </r>
  </si>
  <si>
    <r>
      <rPr>
        <rFont val="Myanmar Sangam MN"/>
        <color theme="1"/>
        <sz val="10.0"/>
      </rPr>
      <t>ဦးဘမျးိ သိန်း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</si>
  <si>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</si>
  <si>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၁၇၁၂၃၉</t>
    </r>
  </si>
  <si>
    <r>
      <rPr>
        <rFont val="Myanmar Sangam MN"/>
        <color theme="1"/>
        <sz val="10.0"/>
      </rPr>
      <t>၅၅၂၇၀</t>
    </r>
  </si>
  <si>
    <r>
      <rPr>
        <rFont val="Myanmar Sangam MN"/>
        <color theme="1"/>
        <sz val="10.0"/>
      </rPr>
      <t>၂၂၆၅၀၉</t>
    </r>
  </si>
  <si>
    <r>
      <rPr>
        <rFont val="Myanmar Sangam MN"/>
        <b/>
        <color theme="1"/>
        <sz val="9.0"/>
      </rPr>
      <t>၈၅.၇၂%</t>
    </r>
  </si>
  <si>
    <r>
      <rPr>
        <rFont val="Myanmar Sangam MN"/>
        <color theme="1"/>
        <sz val="10.0"/>
      </rPr>
      <t>ဦးာဏ်ဝင်းထိုက်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</si>
  <si>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</si>
  <si>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၁၆၀၉၁</t>
    </r>
  </si>
  <si>
    <r>
      <rPr>
        <rFont val="Myanmar Sangam MN"/>
        <color theme="1"/>
        <sz val="10.0"/>
      </rPr>
      <t>၉၄၇၄</t>
    </r>
  </si>
  <si>
    <r>
      <rPr>
        <rFont val="Myanmar Sangam MN"/>
        <color theme="1"/>
        <sz val="10.0"/>
      </rPr>
      <t>၂၅၅၆၅</t>
    </r>
  </si>
  <si>
    <r>
      <rPr>
        <rFont val="Myanmar Sangam MN"/>
        <b/>
        <color theme="1"/>
        <sz val="9.0"/>
      </rPr>
      <t>၉.၆၈%</t>
    </r>
  </si>
  <si>
    <r>
      <rPr>
        <rFont val="Myanmar Sangam MN"/>
        <color theme="1"/>
        <sz val="10.0"/>
      </rPr>
      <t>ဦးေကျာ်ေဇယျ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</si>
  <si>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</si>
  <si>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၇၁၇၀</t>
    </r>
  </si>
  <si>
    <r>
      <rPr>
        <rFont val="Myanmar Sangam MN"/>
        <color theme="1"/>
        <sz val="10.0"/>
      </rPr>
      <t>၂၈၀၆</t>
    </r>
  </si>
  <si>
    <r>
      <rPr>
        <rFont val="Myanmar Sangam MN"/>
        <color theme="1"/>
        <sz val="10.0"/>
      </rPr>
      <t>၉၉၇၆</t>
    </r>
  </si>
  <si>
    <r>
      <rPr>
        <rFont val="Myanmar Sangam MN"/>
        <b/>
        <color theme="1"/>
        <sz val="9.0"/>
      </rPr>
      <t>၃.၇၈%</t>
    </r>
  </si>
  <si>
    <r>
      <rPr>
        <rFont val="Myanmar Sangam MN"/>
        <color theme="1"/>
        <sz val="10.0"/>
      </rPr>
      <t>ေဒါက်တာတင်ေအာင်ခိုင်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</si>
  <si>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</si>
  <si>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၁၃၉၀</t>
    </r>
  </si>
  <si>
    <r>
      <rPr>
        <rFont val="Myanmar Sangam MN"/>
        <color theme="1"/>
        <sz val="10.0"/>
      </rPr>
      <t>၇၉၀</t>
    </r>
  </si>
  <si>
    <r>
      <rPr>
        <rFont val="Myanmar Sangam MN"/>
        <color theme="1"/>
        <sz val="10.0"/>
      </rPr>
      <t>၂၁၈၀</t>
    </r>
  </si>
  <si>
    <r>
      <rPr>
        <rFont val="Myanmar Sangam MN"/>
        <b/>
        <color theme="1"/>
        <sz val="9.0"/>
      </rPr>
      <t>၀.၈၂%</t>
    </r>
  </si>
  <si>
    <r>
      <rPr>
        <rFont val="Myanmar Sangam MN"/>
        <b/>
        <color theme="1"/>
        <sz val="10.0"/>
      </rPr>
      <t>၁၃၇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</si>
  <si>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</si>
  <si>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၃၇၃၁၂၅</t>
    </r>
  </si>
  <si>
    <r>
      <rPr>
        <rFont val="Myanmar Sangam MN"/>
        <b/>
        <color theme="1"/>
        <sz val="10.0"/>
      </rPr>
      <t>၁၈၉၅၃၇</t>
    </r>
  </si>
  <si>
    <r>
      <rPr>
        <rFont val="Myanmar Sangam MN"/>
        <b/>
        <color theme="1"/>
        <sz val="10.0"/>
      </rPr>
      <t>၅၆၁၉၈</t>
    </r>
  </si>
  <si>
    <r>
      <rPr>
        <rFont val="Myanmar Sangam MN"/>
        <b/>
        <color theme="1"/>
        <sz val="10.0"/>
      </rPr>
      <t>၂၄၅၇၃၅</t>
    </r>
  </si>
  <si>
    <r>
      <rPr>
        <rFont val="Myanmar Sangam MN"/>
        <b/>
        <color theme="1"/>
        <sz val="10.0"/>
      </rPr>
      <t>၆၅.၈၆</t>
    </r>
  </si>
  <si>
    <r>
      <rPr>
        <rFont val="Myanmar Sangam MN"/>
        <b/>
        <color theme="1"/>
        <sz val="10.0"/>
      </rPr>
      <t>၂၀၉၁</t>
    </r>
  </si>
  <si>
    <r>
      <rPr>
        <rFont val="Myanmar Sangam MN"/>
        <b/>
        <color theme="1"/>
        <sz val="10.0"/>
      </rPr>
      <t>၂၀၂</t>
    </r>
  </si>
  <si>
    <r>
      <rPr>
        <rFont val="Myanmar Sangam MN"/>
        <b/>
        <color theme="1"/>
        <sz val="10.0"/>
      </rPr>
      <t>၂၂၉၃</t>
    </r>
  </si>
  <si>
    <r>
      <rPr>
        <rFont val="Myanmar Sangam MN"/>
        <b/>
        <color theme="1"/>
        <sz val="10.0"/>
      </rPr>
      <t>၁၈၇၆၉၄</t>
    </r>
  </si>
  <si>
    <r>
      <rPr>
        <rFont val="Myanmar Sangam MN"/>
        <b/>
        <color theme="1"/>
        <sz val="10.0"/>
      </rPr>
      <t>၅၅၇၄၈</t>
    </r>
  </si>
  <si>
    <r>
      <rPr>
        <rFont val="Myanmar Sangam MN"/>
        <b/>
        <color theme="1"/>
        <sz val="10.0"/>
      </rPr>
      <t>၂၄၃၄၄၂</t>
    </r>
  </si>
  <si>
    <r>
      <rPr>
        <rFont val="Myanmar Sangam MN"/>
        <color theme="1"/>
        <sz val="10.0"/>
      </rPr>
      <t>ေဒြမမျးိ ေအး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</si>
  <si>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</si>
  <si>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၁၆၈၃၈၁</t>
    </r>
  </si>
  <si>
    <r>
      <rPr>
        <rFont val="Myanmar Sangam MN"/>
        <color theme="1"/>
        <sz val="10.0"/>
      </rPr>
      <t>၄၉၂၄၅</t>
    </r>
  </si>
  <si>
    <r>
      <rPr>
        <rFont val="Myanmar Sangam MN"/>
        <color theme="1"/>
        <sz val="10.0"/>
      </rPr>
      <t>၂၁၇၆၂၆</t>
    </r>
  </si>
  <si>
    <r>
      <rPr>
        <rFont val="Myanmar Sangam MN"/>
        <b/>
        <color theme="1"/>
        <sz val="9.0"/>
      </rPr>
      <t>၈၉.၄၀%</t>
    </r>
  </si>
  <si>
    <r>
      <rPr>
        <rFont val="Myanmar Sangam MN"/>
        <color theme="1"/>
        <sz val="10.0"/>
      </rPr>
      <t>ဦးခင်ေမာင်ေအး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</si>
  <si>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</si>
  <si>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၁၃၉၀၃</t>
    </r>
  </si>
  <si>
    <r>
      <rPr>
        <rFont val="Myanmar Sangam MN"/>
        <color theme="1"/>
        <sz val="10.0"/>
      </rPr>
      <t>၄၉၈၄</t>
    </r>
  </si>
  <si>
    <r>
      <rPr>
        <rFont val="Myanmar Sangam MN"/>
        <color theme="1"/>
        <sz val="10.0"/>
      </rPr>
      <t>၁၈၈၈၇</t>
    </r>
  </si>
  <si>
    <r>
      <rPr>
        <rFont val="Myanmar Sangam MN"/>
        <b/>
        <color theme="1"/>
        <sz val="9.0"/>
      </rPr>
      <t>၇.၇၆%</t>
    </r>
  </si>
  <si>
    <r>
      <rPr>
        <rFont val="Myanmar Sangam MN"/>
        <color theme="1"/>
        <sz val="10.0"/>
      </rPr>
      <t>ဦးေအာင်ြမင့်ဝင်း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</si>
  <si>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</si>
  <si>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၃၂၂၄</t>
    </r>
  </si>
  <si>
    <r>
      <rPr>
        <rFont val="Myanmar Sangam MN"/>
        <color theme="1"/>
        <sz val="10.0"/>
      </rPr>
      <t>၇၂၃</t>
    </r>
  </si>
  <si>
    <r>
      <rPr>
        <rFont val="Myanmar Sangam MN"/>
        <color theme="1"/>
        <sz val="10.0"/>
      </rPr>
      <t>၃၉၄၇</t>
    </r>
  </si>
  <si>
    <r>
      <rPr>
        <rFont val="Myanmar Sangam MN"/>
        <b/>
        <color theme="1"/>
        <sz val="9.0"/>
      </rPr>
      <t>၁.၆၂%</t>
    </r>
  </si>
  <si>
    <r>
      <rPr>
        <rFont val="Myanmar Sangam MN"/>
        <color theme="1"/>
        <sz val="10.0"/>
      </rPr>
      <t>ေဒနီလာခိုင်</t>
    </r>
  </si>
  <si>
    <r>
      <rPr>
        <rFont val="Myanmar Sangam MN"/>
        <color theme="1"/>
        <sz val="10.0"/>
      </rPr>
      <t>ြပည်သူ ပါတီ</t>
    </r>
  </si>
  <si>
    <r>
      <rPr>
        <rFont val="Myanmar Sangam MN"/>
        <color theme="1"/>
        <sz val="10.0"/>
      </rPr>
      <t>၁၂၆၇</t>
    </r>
  </si>
  <si>
    <r>
      <rPr>
        <rFont val="Myanmar Sangam MN"/>
        <color theme="1"/>
        <sz val="10.0"/>
      </rPr>
      <t>၃၆၇</t>
    </r>
  </si>
  <si>
    <r>
      <rPr>
        <rFont val="Myanmar Sangam MN"/>
        <color theme="1"/>
        <sz val="10.0"/>
      </rPr>
      <t>၁၆၃၄</t>
    </r>
  </si>
  <si>
    <r>
      <rPr>
        <rFont val="Myanmar Sangam MN"/>
        <b/>
        <color theme="1"/>
        <sz val="9.0"/>
      </rPr>
      <t>၀.၆၇%</t>
    </r>
  </si>
  <si>
    <r>
      <rPr>
        <rFont val="Myanmar Sangam MN"/>
        <color theme="1"/>
        <sz val="10.0"/>
      </rPr>
      <t>ဦးဝင်းိုင်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</si>
  <si>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</si>
  <si>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၉၁၉</t>
    </r>
  </si>
  <si>
    <r>
      <rPr>
        <rFont val="Myanmar Sangam MN"/>
        <color theme="1"/>
        <sz val="10.0"/>
      </rPr>
      <t>၄၂၉</t>
    </r>
  </si>
  <si>
    <r>
      <rPr>
        <rFont val="Myanmar Sangam MN"/>
        <color theme="1"/>
        <sz val="10.0"/>
      </rPr>
      <t>၁၃၄၈</t>
    </r>
  </si>
  <si>
    <r>
      <rPr>
        <rFont val="Myanmar Sangam MN"/>
        <b/>
        <color theme="1"/>
        <sz val="9.0"/>
      </rPr>
      <t>၀.၅၅%</t>
    </r>
  </si>
  <si>
    <r>
      <rPr>
        <rFont val="Myanmar Sangam MN"/>
        <b/>
        <color theme="1"/>
        <sz val="10.0"/>
      </rPr>
      <t>ရှမ်းြပည်နယ်</t>
    </r>
  </si>
  <si>
    <r>
      <rPr>
        <rFont val="Myanmar Sangam MN"/>
        <b/>
        <color theme="1"/>
        <sz val="10.0"/>
      </rPr>
      <t>၃၆၃၄၂၈၃</t>
    </r>
  </si>
  <si>
    <r>
      <rPr>
        <rFont val="Myanmar Sangam MN"/>
        <b/>
        <color theme="1"/>
        <sz val="10.0"/>
      </rPr>
      <t>၁၉၄၅၃၈၉</t>
    </r>
  </si>
  <si>
    <r>
      <rPr>
        <rFont val="Myanmar Sangam MN"/>
        <b/>
        <color theme="1"/>
        <sz val="10.0"/>
      </rPr>
      <t>၄၇၄၆၂၀</t>
    </r>
  </si>
  <si>
    <r>
      <rPr>
        <rFont val="Myanmar Sangam MN"/>
        <b/>
        <color theme="1"/>
        <sz val="10.0"/>
      </rPr>
      <t>၂၄၂၀၀၀၉</t>
    </r>
  </si>
  <si>
    <r>
      <rPr>
        <rFont val="Myanmar Sangam MN"/>
        <b/>
        <color theme="1"/>
        <sz val="10.0"/>
      </rPr>
      <t>၆၆.၅၉</t>
    </r>
  </si>
  <si>
    <r>
      <rPr>
        <rFont val="Myanmar Sangam MN"/>
        <b/>
        <color theme="1"/>
        <sz val="10.0"/>
      </rPr>
      <t>၁၂၇၃၃၃</t>
    </r>
  </si>
  <si>
    <r>
      <rPr>
        <rFont val="Myanmar Sangam MN"/>
        <b/>
        <color theme="1"/>
        <sz val="10.0"/>
      </rPr>
      <t>၃၂၆၂</t>
    </r>
  </si>
  <si>
    <r>
      <rPr>
        <rFont val="Myanmar Sangam MN"/>
        <b/>
        <color theme="1"/>
        <sz val="10.0"/>
      </rPr>
      <t>၁၃၀၅၉၅</t>
    </r>
  </si>
  <si>
    <r>
      <rPr>
        <rFont val="Myanmar Sangam MN"/>
        <color theme="1"/>
        <sz val="10.0"/>
      </rPr>
      <t>၁၈၃၀၈၀၁</t>
    </r>
  </si>
  <si>
    <r>
      <rPr>
        <rFont val="Myanmar Sangam MN"/>
        <color theme="1"/>
        <sz val="10.0"/>
      </rPr>
      <t>၄၅၈၆၁၃</t>
    </r>
  </si>
  <si>
    <r>
      <rPr>
        <rFont val="Myanmar Sangam MN"/>
        <b/>
        <color theme="1"/>
        <sz val="10.0"/>
      </rPr>
      <t>၂၂၈၉၄၁၄</t>
    </r>
  </si>
  <si>
    <r>
      <rPr>
        <rFont val="Myanmar Sangam MN"/>
        <b/>
        <color theme="1"/>
        <sz val="10.0"/>
      </rPr>
      <t>၁၃၈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</si>
  <si>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</si>
  <si>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၄၇၄၀၅၅</t>
    </r>
  </si>
  <si>
    <r>
      <rPr>
        <rFont val="Myanmar Sangam MN"/>
        <b/>
        <color theme="1"/>
        <sz val="10.0"/>
      </rPr>
      <t>၂၇၇၅၆၀</t>
    </r>
  </si>
  <si>
    <r>
      <rPr>
        <rFont val="Myanmar Sangam MN"/>
        <b/>
        <color theme="1"/>
        <sz val="10.0"/>
      </rPr>
      <t>၄၇၈၅၈</t>
    </r>
  </si>
  <si>
    <r>
      <rPr>
        <rFont val="Myanmar Sangam MN"/>
        <b/>
        <color theme="1"/>
        <sz val="10.0"/>
      </rPr>
      <t>၃၂၅၄၁၈</t>
    </r>
  </si>
  <si>
    <r>
      <rPr>
        <rFont val="Myanmar Sangam MN"/>
        <b/>
        <color theme="1"/>
        <sz val="10.0"/>
      </rPr>
      <t>၆၈.၆၅</t>
    </r>
  </si>
  <si>
    <r>
      <rPr>
        <rFont val="Myanmar Sangam MN"/>
        <b/>
        <color theme="1"/>
        <sz val="10.0"/>
      </rPr>
      <t>၁၀၃၆၈</t>
    </r>
  </si>
  <si>
    <r>
      <rPr>
        <rFont val="Myanmar Sangam MN"/>
        <b/>
        <color theme="1"/>
        <sz val="10.0"/>
      </rPr>
      <t>၂၇၆</t>
    </r>
  </si>
  <si>
    <r>
      <rPr>
        <rFont val="Myanmar Sangam MN"/>
        <b/>
        <color theme="1"/>
        <sz val="10.0"/>
      </rPr>
      <t>၁၀၆၄၄</t>
    </r>
  </si>
  <si>
    <r>
      <rPr>
        <rFont val="Myanmar Sangam MN"/>
        <b/>
        <color theme="1"/>
        <sz val="10.0"/>
      </rPr>
      <t>၂၆၇၉၃၉</t>
    </r>
  </si>
  <si>
    <r>
      <rPr>
        <rFont val="Myanmar Sangam MN"/>
        <b/>
        <color theme="1"/>
        <sz val="10.0"/>
      </rPr>
      <t>၄၆၈၃၅</t>
    </r>
  </si>
  <si>
    <r>
      <rPr>
        <rFont val="Myanmar Sangam MN"/>
        <b/>
        <color theme="1"/>
        <sz val="10.0"/>
      </rPr>
      <t>၃၁၄၇၇၄</t>
    </r>
  </si>
  <si>
    <r>
      <rPr>
        <rFont val="Myanmar Sangam MN"/>
        <color theme="1"/>
        <sz val="10.0"/>
      </rPr>
      <t>ဦးထိုက်ေဇာ်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</si>
  <si>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</si>
  <si>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၉၁၄၂၃</t>
    </r>
  </si>
  <si>
    <r>
      <rPr>
        <rFont val="Myanmar Sangam MN"/>
        <color theme="1"/>
        <sz val="10.0"/>
      </rPr>
      <t>၁၈၀၆၈</t>
    </r>
  </si>
  <si>
    <r>
      <rPr>
        <rFont val="Myanmar Sangam MN"/>
        <color theme="1"/>
        <sz val="10.0"/>
      </rPr>
      <t>၁၀၉၄၉၁</t>
    </r>
  </si>
  <si>
    <r>
      <rPr>
        <rFont val="Myanmar Sangam MN"/>
        <b/>
        <color theme="1"/>
        <sz val="9.0"/>
      </rPr>
      <t>၃၄.၇၈%</t>
    </r>
  </si>
  <si>
    <r>
      <rPr>
        <rFont val="Myanmar Sangam MN"/>
        <color theme="1"/>
        <sz val="9.0"/>
      </rPr>
      <t>စိုင်းြမထွန်းဆွယ်ဟိန်း(ခ) စိုင်းဆမ်လျဲန်း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</si>
  <si>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</si>
  <si>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၉၉၃၁၁</t>
    </r>
  </si>
  <si>
    <r>
      <rPr>
        <rFont val="Myanmar Sangam MN"/>
        <color theme="1"/>
        <sz val="9.0"/>
      </rPr>
      <t>၁၀၁၂၆</t>
    </r>
  </si>
  <si>
    <r>
      <rPr>
        <rFont val="Myanmar Sangam MN"/>
        <color theme="1"/>
        <sz val="10.0"/>
      </rPr>
      <t>၁၀၉၄၃၇</t>
    </r>
  </si>
  <si>
    <r>
      <rPr>
        <rFont val="Myanmar Sangam MN"/>
        <b/>
        <color theme="1"/>
        <sz val="9.0"/>
      </rPr>
      <t>၃၄.၇၇%</t>
    </r>
  </si>
  <si>
    <r>
      <rPr>
        <rFont val="Myanmar Sangam MN"/>
        <color theme="1"/>
        <sz val="10.0"/>
      </rPr>
      <t>ဦးေကျာ်စိန်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</si>
  <si>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</si>
  <si>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၃၆၇၁၆</t>
    </r>
  </si>
  <si>
    <r>
      <rPr>
        <rFont val="Myanmar Sangam MN"/>
        <color theme="1"/>
        <sz val="10.0"/>
      </rPr>
      <t>၁၂၃၉၂</t>
    </r>
  </si>
  <si>
    <r>
      <rPr>
        <rFont val="Myanmar Sangam MN"/>
        <color theme="1"/>
        <sz val="10.0"/>
      </rPr>
      <t>၄၉၁၀၈</t>
    </r>
  </si>
  <si>
    <r>
      <rPr>
        <rFont val="Myanmar Sangam MN"/>
        <b/>
        <color theme="1"/>
        <sz val="9.0"/>
      </rPr>
      <t>၁၅.၆၀%</t>
    </r>
  </si>
  <si>
    <r>
      <rPr>
        <rFont val="Myanmar Sangam MN"/>
        <color theme="1"/>
        <sz val="10.0"/>
      </rPr>
      <t>ဦးစိုင်းထွန်းလင်း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</si>
  <si>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</si>
  <si>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၂၂၅၁၈</t>
    </r>
  </si>
  <si>
    <r>
      <rPr>
        <rFont val="Myanmar Sangam MN"/>
        <color theme="1"/>
        <sz val="10.0"/>
      </rPr>
      <t>၃၃၇၉</t>
    </r>
  </si>
  <si>
    <r>
      <rPr>
        <rFont val="Myanmar Sangam MN"/>
        <color theme="1"/>
        <sz val="10.0"/>
      </rPr>
      <t>၂၅၈၉၇</t>
    </r>
  </si>
  <si>
    <r>
      <rPr>
        <rFont val="Myanmar Sangam MN"/>
        <b/>
        <color theme="1"/>
        <sz val="9.0"/>
      </rPr>
      <t>၈.၂၃%</t>
    </r>
  </si>
  <si>
    <r>
      <rPr>
        <rFont val="Myanmar Sangam MN"/>
        <color theme="1"/>
        <sz val="10.0"/>
      </rPr>
      <t>ေဒွယ်နီထွန်း</t>
    </r>
  </si>
  <si>
    <r>
      <rPr>
        <rFont val="Myanmar Sangam MN"/>
        <color theme="1"/>
        <sz val="10.0"/>
      </rPr>
      <t>တအာင်း(ပေလာင်)အမျးိ သားပါတီ</t>
    </r>
  </si>
  <si>
    <r>
      <rPr>
        <rFont val="Myanmar Sangam MN"/>
        <color theme="1"/>
        <sz val="10.0"/>
      </rPr>
      <t>၁၃၆၁၃</t>
    </r>
  </si>
  <si>
    <r>
      <rPr>
        <rFont val="Myanmar Sangam MN"/>
        <color theme="1"/>
        <sz val="10.0"/>
      </rPr>
      <t>၁၈၅၂</t>
    </r>
  </si>
  <si>
    <r>
      <rPr>
        <rFont val="Myanmar Sangam MN"/>
        <color theme="1"/>
        <sz val="10.0"/>
      </rPr>
      <t>၁၅၄၆၅</t>
    </r>
  </si>
  <si>
    <r>
      <rPr>
        <rFont val="Myanmar Sangam MN"/>
        <b/>
        <color theme="1"/>
        <sz val="9.0"/>
      </rPr>
      <t>၄.၉၁%</t>
    </r>
  </si>
  <si>
    <r>
      <rPr>
        <rFont val="Myanmar Sangam MN"/>
        <color theme="1"/>
        <sz val="10.0"/>
      </rPr>
      <t>ဦးစိုးကိုခိုင်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</si>
  <si>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</si>
  <si>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၄၃၅၈</t>
    </r>
  </si>
  <si>
    <r>
      <rPr>
        <rFont val="Myanmar Sangam MN"/>
        <color theme="1"/>
        <sz val="10.0"/>
      </rPr>
      <t>၁၀၁၈</t>
    </r>
  </si>
  <si>
    <r>
      <rPr>
        <rFont val="Myanmar Sangam MN"/>
        <color theme="1"/>
        <sz val="10.0"/>
      </rPr>
      <t>၅၃၇၆</t>
    </r>
  </si>
  <si>
    <r>
      <rPr>
        <rFont val="Myanmar Sangam MN"/>
        <b/>
        <color theme="1"/>
        <sz val="9.0"/>
      </rPr>
      <t>၁.၇၁%</t>
    </r>
  </si>
  <si>
    <r>
      <rPr>
        <rFont val="Myanmar Sangam MN"/>
        <b/>
        <color theme="1"/>
        <sz val="10.0"/>
      </rPr>
      <t>၁၃၉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</si>
  <si>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</si>
  <si>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၁၉၇၅၀၆</t>
    </r>
  </si>
  <si>
    <r>
      <rPr>
        <rFont val="Myanmar Sangam MN"/>
        <b/>
        <color theme="1"/>
        <sz val="10.0"/>
      </rPr>
      <t>၈၅၄၁၅</t>
    </r>
  </si>
  <si>
    <r>
      <rPr>
        <rFont val="Myanmar Sangam MN"/>
        <b/>
        <color theme="1"/>
        <sz val="10.0"/>
      </rPr>
      <t>၂၅၈၆၆</t>
    </r>
  </si>
  <si>
    <r>
      <rPr>
        <rFont val="Myanmar Sangam MN"/>
        <b/>
        <color theme="1"/>
        <sz val="10.0"/>
      </rPr>
      <t>၁၁၁၂၈၁</t>
    </r>
  </si>
  <si>
    <r>
      <rPr>
        <rFont val="Myanmar Sangam MN"/>
        <b/>
        <color theme="1"/>
        <sz val="10.0"/>
      </rPr>
      <t>၅၆.၃၄</t>
    </r>
  </si>
  <si>
    <r>
      <rPr>
        <rFont val="Myanmar Sangam MN"/>
        <b/>
        <color theme="1"/>
        <sz val="10.0"/>
      </rPr>
      <t>၁၀၉၂၁</t>
    </r>
  </si>
  <si>
    <r>
      <rPr>
        <rFont val="Myanmar Sangam MN"/>
        <b/>
        <color theme="1"/>
        <sz val="10.0"/>
      </rPr>
      <t>၃၃၂</t>
    </r>
  </si>
  <si>
    <r>
      <rPr>
        <rFont val="Myanmar Sangam MN"/>
        <b/>
        <color theme="1"/>
        <sz val="10.0"/>
      </rPr>
      <t>၁၁၂၅၃</t>
    </r>
  </si>
  <si>
    <r>
      <rPr>
        <rFont val="Myanmar Sangam MN"/>
        <b/>
        <color theme="1"/>
        <sz val="10.0"/>
      </rPr>
      <t>၇၅၆၇၂</t>
    </r>
  </si>
  <si>
    <r>
      <rPr>
        <rFont val="Myanmar Sangam MN"/>
        <b/>
        <color theme="1"/>
        <sz val="10.0"/>
      </rPr>
      <t>၂၄၃၅၆</t>
    </r>
  </si>
  <si>
    <r>
      <rPr>
        <rFont val="Myanmar Sangam MN"/>
        <b/>
        <color theme="1"/>
        <sz val="10.0"/>
      </rPr>
      <t>၁၀၀၀၂၈</t>
    </r>
  </si>
  <si>
    <r>
      <rPr>
        <rFont val="Myanmar Sangam MN"/>
        <color theme="1"/>
        <sz val="10.0"/>
      </rPr>
      <t>စိုင်းဝန်းဆိုင်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</si>
  <si>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</si>
  <si>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၃၇၄၂၀</t>
    </r>
  </si>
  <si>
    <r>
      <rPr>
        <rFont val="Myanmar Sangam MN"/>
        <color theme="1"/>
        <sz val="10.0"/>
      </rPr>
      <t>၁၀၅၂၉</t>
    </r>
  </si>
  <si>
    <r>
      <rPr>
        <rFont val="Myanmar Sangam MN"/>
        <color theme="1"/>
        <sz val="10.0"/>
      </rPr>
      <t>၄၇၉၄၉</t>
    </r>
  </si>
  <si>
    <r>
      <rPr>
        <rFont val="Myanmar Sangam MN"/>
        <b/>
        <color theme="1"/>
        <sz val="9.0"/>
      </rPr>
      <t>၄၇.၉၃%</t>
    </r>
  </si>
  <si>
    <r>
      <rPr>
        <rFont val="Myanmar Sangam MN"/>
        <color theme="1"/>
        <sz val="10.0"/>
      </rPr>
      <t>နန်းေနာ်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</si>
  <si>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</si>
  <si>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၂၄၂၁၁</t>
    </r>
  </si>
  <si>
    <r>
      <rPr>
        <rFont val="Myanmar Sangam MN"/>
        <color theme="1"/>
        <sz val="10.0"/>
      </rPr>
      <t>၁၀၆၂၈</t>
    </r>
  </si>
  <si>
    <r>
      <rPr>
        <rFont val="Myanmar Sangam MN"/>
        <color theme="1"/>
        <sz val="10.0"/>
      </rPr>
      <t>၃၄၈၃၉</t>
    </r>
  </si>
  <si>
    <r>
      <rPr>
        <rFont val="Myanmar Sangam MN"/>
        <b/>
        <color theme="1"/>
        <sz val="9.0"/>
      </rPr>
      <t>၃၄.၈၃%</t>
    </r>
  </si>
  <si>
    <r>
      <rPr>
        <rFont val="Myanmar Sangam MN"/>
        <color theme="1"/>
        <sz val="10.0"/>
      </rPr>
      <t>စိုင်းေဆာင်ေကျာက်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</si>
  <si>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</si>
  <si>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၉၈၅၄</t>
    </r>
  </si>
  <si>
    <r>
      <rPr>
        <rFont val="Myanmar Sangam MN"/>
        <color theme="1"/>
        <sz val="9.0"/>
      </rPr>
      <t>၁၈၂၃</t>
    </r>
  </si>
  <si>
    <r>
      <rPr>
        <rFont val="Myanmar Sangam MN"/>
        <color theme="1"/>
        <sz val="10.0"/>
      </rPr>
      <t>၁၁၆၇၇</t>
    </r>
  </si>
  <si>
    <r>
      <rPr>
        <rFont val="Myanmar Sangam MN"/>
        <b/>
        <color theme="1"/>
        <sz val="9.0"/>
      </rPr>
      <t>၁၁.၆၇%</t>
    </r>
  </si>
  <si>
    <r>
      <rPr>
        <rFont val="Myanmar Sangam MN"/>
        <color rgb="FF000000"/>
        <sz val="9.0"/>
      </rPr>
      <t xml:space="preserve">စုိင်းရ0က်(ခ)
</t>
    </r>
    <r>
      <rPr>
        <rFont val="Myanmar Sangam MN"/>
        <color rgb="FF000000"/>
        <sz val="9.0"/>
      </rPr>
      <t>ေဒါက်တာစုိင်းရ0က်ေဟာင်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</si>
  <si>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</si>
  <si>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၂၀၆၂</t>
    </r>
  </si>
  <si>
    <r>
      <rPr>
        <rFont val="Myanmar Sangam MN"/>
        <color theme="1"/>
        <sz val="10.0"/>
      </rPr>
      <t>၆၄၄</t>
    </r>
  </si>
  <si>
    <r>
      <rPr>
        <rFont val="Myanmar Sangam MN"/>
        <color theme="1"/>
        <sz val="10.0"/>
      </rPr>
      <t>၂၇၀၆</t>
    </r>
  </si>
  <si>
    <r>
      <rPr>
        <rFont val="Myanmar Sangam MN"/>
        <b/>
        <color theme="1"/>
        <sz val="9.0"/>
      </rPr>
      <t>၂.၇၁%</t>
    </r>
  </si>
  <si>
    <r>
      <rPr>
        <rFont val="Myanmar Sangam MN"/>
        <color theme="1"/>
        <sz val="10.0"/>
      </rPr>
      <t>ေဒနာချ ီ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</si>
  <si>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</si>
  <si>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၁၄၁၀</t>
    </r>
  </si>
  <si>
    <r>
      <rPr>
        <rFont val="Myanmar Sangam MN"/>
        <color theme="1"/>
        <sz val="10.0"/>
      </rPr>
      <t>၄၇၇</t>
    </r>
  </si>
  <si>
    <r>
      <rPr>
        <rFont val="Myanmar Sangam MN"/>
        <color theme="1"/>
        <sz val="10.0"/>
      </rPr>
      <t>၁၈၈၇</t>
    </r>
  </si>
  <si>
    <r>
      <rPr>
        <rFont val="Myanmar Sangam MN"/>
        <b/>
        <color theme="1"/>
        <sz val="9.0"/>
      </rPr>
      <t>၁.၈၉%</t>
    </r>
  </si>
  <si>
    <r>
      <rPr>
        <rFont val="Myanmar Sangam MN"/>
        <color theme="1"/>
        <sz val="10.0"/>
      </rPr>
      <t>ဦးေအာင်ေကျာ်ထက်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</si>
  <si>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</si>
  <si>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၇၁၅</t>
    </r>
  </si>
  <si>
    <r>
      <rPr>
        <rFont val="Myanmar Sangam MN"/>
        <color theme="1"/>
        <sz val="10.0"/>
      </rPr>
      <t>၂၅၅</t>
    </r>
  </si>
  <si>
    <r>
      <rPr>
        <rFont val="Myanmar Sangam MN"/>
        <color theme="1"/>
        <sz val="10.0"/>
      </rPr>
      <t>၉၇၀</t>
    </r>
  </si>
  <si>
    <r>
      <rPr>
        <rFont val="Myanmar Sangam MN"/>
        <b/>
        <color theme="1"/>
        <sz val="9.0"/>
      </rPr>
      <t>၀.၉၇%</t>
    </r>
  </si>
  <si>
    <r>
      <rPr>
        <rFont val="Myanmar Sangam MN"/>
        <b/>
        <color theme="1"/>
        <sz val="10.0"/>
      </rPr>
      <t>၁၄၀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</si>
  <si>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</si>
  <si>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၂၉၂၀၅၆</t>
    </r>
  </si>
  <si>
    <r>
      <rPr>
        <rFont val="Myanmar Sangam MN"/>
        <b/>
        <color theme="1"/>
        <sz val="10.0"/>
      </rPr>
      <t>၁၅၀၂၂၆</t>
    </r>
  </si>
  <si>
    <r>
      <rPr>
        <rFont val="Myanmar Sangam MN"/>
        <b/>
        <color theme="1"/>
        <sz val="10.0"/>
      </rPr>
      <t>၃၀၅၅၁</t>
    </r>
  </si>
  <si>
    <r>
      <rPr>
        <rFont val="Myanmar Sangam MN"/>
        <b/>
        <color theme="1"/>
        <sz val="10.0"/>
      </rPr>
      <t>၁၈၀၇၇၇</t>
    </r>
  </si>
  <si>
    <r>
      <rPr>
        <rFont val="Myanmar Sangam MN"/>
        <b/>
        <color theme="1"/>
        <sz val="10.0"/>
      </rPr>
      <t>၆၁.၉၀</t>
    </r>
  </si>
  <si>
    <r>
      <rPr>
        <rFont val="Myanmar Sangam MN"/>
        <b/>
        <color theme="1"/>
        <sz val="10.0"/>
      </rPr>
      <t>၁၂၅၇၆</t>
    </r>
  </si>
  <si>
    <r>
      <rPr>
        <rFont val="Myanmar Sangam MN"/>
        <b/>
        <color theme="1"/>
        <sz val="10.0"/>
      </rPr>
      <t>၂၀၁</t>
    </r>
  </si>
  <si>
    <r>
      <rPr>
        <rFont val="Myanmar Sangam MN"/>
        <b/>
        <color theme="1"/>
        <sz val="10.0"/>
      </rPr>
      <t>၁၂၇၇၇</t>
    </r>
  </si>
  <si>
    <r>
      <rPr>
        <rFont val="Myanmar Sangam MN"/>
        <b/>
        <color theme="1"/>
        <sz val="10.0"/>
      </rPr>
      <t>၁၃၈၂၉၇</t>
    </r>
  </si>
  <si>
    <r>
      <rPr>
        <rFont val="Myanmar Sangam MN"/>
        <b/>
        <color theme="1"/>
        <sz val="10.0"/>
      </rPr>
      <t>၂၉၇၀၃</t>
    </r>
  </si>
  <si>
    <r>
      <rPr>
        <rFont val="Myanmar Sangam MN"/>
        <b/>
        <color theme="1"/>
        <sz val="10.0"/>
      </rPr>
      <t>၁၆၈၀၀၀</t>
    </r>
  </si>
  <si>
    <r>
      <rPr>
        <rFont val="Myanmar Sangam MN"/>
        <color theme="1"/>
        <sz val="10.0"/>
      </rPr>
      <t>ဦးဝီလ်ဆင်မိုး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</si>
  <si>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</si>
  <si>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၅၀၁၁၇</t>
    </r>
  </si>
  <si>
    <r>
      <rPr>
        <rFont val="Myanmar Sangam MN"/>
        <color theme="1"/>
        <sz val="10.0"/>
      </rPr>
      <t>၁၃၆၄၃</t>
    </r>
  </si>
  <si>
    <r>
      <rPr>
        <rFont val="Myanmar Sangam MN"/>
        <color theme="1"/>
        <sz val="10.0"/>
      </rPr>
      <t>၆၃၇၆၀</t>
    </r>
  </si>
  <si>
    <r>
      <rPr>
        <rFont val="Myanmar Sangam MN"/>
        <b/>
        <color theme="1"/>
        <sz val="9.0"/>
      </rPr>
      <t>၃၇.၉၅%</t>
    </r>
  </si>
  <si>
    <r>
      <rPr>
        <rFont val="Myanmar Sangam MN"/>
        <color theme="1"/>
        <sz val="10.0"/>
      </rPr>
      <t>ဦးစိုင်းလုံစံခတ်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</si>
  <si>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</si>
  <si>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၅၃၇၆၂</t>
    </r>
  </si>
  <si>
    <r>
      <rPr>
        <rFont val="Myanmar Sangam MN"/>
        <color theme="1"/>
        <sz val="10.0"/>
      </rPr>
      <t>၉၅၂၄</t>
    </r>
  </si>
  <si>
    <r>
      <rPr>
        <rFont val="Myanmar Sangam MN"/>
        <color theme="1"/>
        <sz val="10.0"/>
      </rPr>
      <t>၆၃၂၈၆</t>
    </r>
  </si>
  <si>
    <r>
      <rPr>
        <rFont val="Myanmar Sangam MN"/>
        <b/>
        <color theme="1"/>
        <sz val="9.0"/>
      </rPr>
      <t>၃၇.၆၇%</t>
    </r>
  </si>
  <si>
    <r>
      <rPr>
        <rFont val="Myanmar Sangam MN"/>
        <color theme="1"/>
        <sz val="10.0"/>
      </rPr>
      <t>ဦးစိုင်းလုံ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</si>
  <si>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</si>
  <si>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၁၇၃၆၂</t>
    </r>
  </si>
  <si>
    <r>
      <rPr>
        <rFont val="Myanmar Sangam MN"/>
        <color theme="1"/>
        <sz val="9.0"/>
      </rPr>
      <t>၃၅၅၂</t>
    </r>
  </si>
  <si>
    <r>
      <rPr>
        <rFont val="Myanmar Sangam MN"/>
        <color theme="1"/>
        <sz val="10.0"/>
      </rPr>
      <t>၂၀၉၁၄</t>
    </r>
  </si>
  <si>
    <r>
      <rPr>
        <rFont val="Myanmar Sangam MN"/>
        <b/>
        <color theme="1"/>
        <sz val="9.0"/>
      </rPr>
      <t>၁၂.၄၅%</t>
    </r>
  </si>
  <si>
    <r>
      <rPr>
        <rFont val="Myanmar Sangam MN"/>
        <color theme="1"/>
        <sz val="10.0"/>
      </rPr>
      <t>ဦးစိုင်းေအာင်ခမ်းရှဲန်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</si>
  <si>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</si>
  <si>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၈၇၇၄</t>
    </r>
  </si>
  <si>
    <r>
      <rPr>
        <rFont val="Myanmar Sangam MN"/>
        <color theme="1"/>
        <sz val="10.0"/>
      </rPr>
      <t>၁၄၄၁</t>
    </r>
  </si>
  <si>
    <r>
      <rPr>
        <rFont val="Myanmar Sangam MN"/>
        <color theme="1"/>
        <sz val="10.0"/>
      </rPr>
      <t>၁၀၂၁၅</t>
    </r>
  </si>
  <si>
    <r>
      <rPr>
        <rFont val="Myanmar Sangam MN"/>
        <b/>
        <color theme="1"/>
        <sz val="9.0"/>
      </rPr>
      <t>၆.၀၈%</t>
    </r>
  </si>
  <si>
    <r>
      <rPr>
        <rFont val="Myanmar Sangam MN"/>
        <color theme="1"/>
        <sz val="10.0"/>
      </rPr>
      <t>ဦးဂျာပို(ခ)ဦးကျဘို</t>
    </r>
  </si>
  <si>
    <r>
      <rPr>
        <rFont val="Myanmar Sangam MN"/>
        <color theme="1"/>
        <sz val="10.0"/>
      </rPr>
      <t>လားဟူအမျးိ သားဖွံဖိးတိုးတက်ေရးပါတီ</t>
    </r>
  </si>
  <si>
    <r>
      <rPr>
        <rFont val="Myanmar Sangam MN"/>
        <color theme="1"/>
        <sz val="10.0"/>
      </rPr>
      <t>၅၇၃၈</t>
    </r>
  </si>
  <si>
    <r>
      <rPr>
        <rFont val="Myanmar Sangam MN"/>
        <color theme="1"/>
        <sz val="10.0"/>
      </rPr>
      <t>၉၃၂</t>
    </r>
  </si>
  <si>
    <r>
      <rPr>
        <rFont val="Myanmar Sangam MN"/>
        <color theme="1"/>
        <sz val="10.0"/>
      </rPr>
      <t>၆၆၇၀</t>
    </r>
  </si>
  <si>
    <r>
      <rPr>
        <rFont val="Myanmar Sangam MN"/>
        <b/>
        <color theme="1"/>
        <sz val="9.0"/>
      </rPr>
      <t>၃.၉၇%</t>
    </r>
  </si>
  <si>
    <r>
      <rPr>
        <rFont val="Myanmar Sangam MN"/>
        <color theme="1"/>
        <sz val="10.0"/>
      </rPr>
      <t>ေဒခင်ေမထွန်း</t>
    </r>
  </si>
  <si>
    <r>
      <rPr>
        <rFont val="Myanmar Sangam MN"/>
        <color theme="1"/>
        <sz val="10.0"/>
      </rPr>
      <t>'ဝ' အမျးိ သားပါတီ</t>
    </r>
  </si>
  <si>
    <r>
      <rPr>
        <rFont val="Myanmar Sangam MN"/>
        <color theme="1"/>
        <sz val="10.0"/>
      </rPr>
      <t>၁၆၄၂</t>
    </r>
  </si>
  <si>
    <r>
      <rPr>
        <rFont val="Myanmar Sangam MN"/>
        <color theme="1"/>
        <sz val="10.0"/>
      </rPr>
      <t>၂၈၈</t>
    </r>
  </si>
  <si>
    <r>
      <rPr>
        <rFont val="Myanmar Sangam MN"/>
        <color theme="1"/>
        <sz val="10.0"/>
      </rPr>
      <t>၁၉၃၀</t>
    </r>
  </si>
  <si>
    <r>
      <rPr>
        <rFont val="Myanmar Sangam MN"/>
        <b/>
        <color theme="1"/>
        <sz val="9.0"/>
      </rPr>
      <t>၁.၁၅%</t>
    </r>
  </si>
  <si>
    <r>
      <rPr>
        <rFont val="Myanmar Sangam MN"/>
        <color theme="1"/>
        <sz val="10.0"/>
      </rPr>
      <t>ေဒစိုးဥမာ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</si>
  <si>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</si>
  <si>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၉၀၂</t>
    </r>
  </si>
  <si>
    <r>
      <rPr>
        <rFont val="Myanmar Sangam MN"/>
        <color theme="1"/>
        <sz val="10.0"/>
      </rPr>
      <t>၃၂၃</t>
    </r>
  </si>
  <si>
    <r>
      <rPr>
        <rFont val="Myanmar Sangam MN"/>
        <color theme="1"/>
        <sz val="10.0"/>
      </rPr>
      <t>၁၂၂၅</t>
    </r>
  </si>
  <si>
    <r>
      <rPr>
        <rFont val="Myanmar Sangam MN"/>
        <b/>
        <color theme="1"/>
        <sz val="9.0"/>
      </rPr>
      <t>၀.၇၃%</t>
    </r>
  </si>
  <si>
    <r>
      <rPr>
        <rFont val="Myanmar Sangam MN"/>
        <b/>
        <color theme="1"/>
        <sz val="10.0"/>
      </rPr>
      <t>၁၄၁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</si>
  <si>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</si>
  <si>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၇၇၈၄၆၆</t>
    </r>
  </si>
  <si>
    <r>
      <rPr>
        <rFont val="Myanmar Sangam MN"/>
        <b/>
        <color theme="1"/>
        <sz val="10.0"/>
      </rPr>
      <t>၅၀၀၅၅၉</t>
    </r>
  </si>
  <si>
    <r>
      <rPr>
        <rFont val="Myanmar Sangam MN"/>
        <b/>
        <color theme="1"/>
        <sz val="10.0"/>
      </rPr>
      <t>၁၂၂၈၆၃</t>
    </r>
  </si>
  <si>
    <r>
      <rPr>
        <rFont val="Myanmar Sangam MN"/>
        <b/>
        <color theme="1"/>
        <sz val="10.0"/>
      </rPr>
      <t>၆၂၃၄၂၂</t>
    </r>
  </si>
  <si>
    <r>
      <rPr>
        <rFont val="Myanmar Sangam MN"/>
        <b/>
        <color theme="1"/>
        <sz val="10.0"/>
      </rPr>
      <t>၈၀.၀၈</t>
    </r>
  </si>
  <si>
    <r>
      <rPr>
        <rFont val="Myanmar Sangam MN"/>
        <b/>
        <color theme="1"/>
        <sz val="10.0"/>
      </rPr>
      <t>၂၁၃၄၅</t>
    </r>
  </si>
  <si>
    <r>
      <rPr>
        <rFont val="Myanmar Sangam MN"/>
        <b/>
        <color theme="1"/>
        <sz val="10.0"/>
      </rPr>
      <t>၅၀၇</t>
    </r>
  </si>
  <si>
    <r>
      <rPr>
        <rFont val="Myanmar Sangam MN"/>
        <b/>
        <color theme="1"/>
        <sz val="10.0"/>
      </rPr>
      <t>၂၁၈၅၂</t>
    </r>
  </si>
  <si>
    <r>
      <rPr>
        <rFont val="Myanmar Sangam MN"/>
        <b/>
        <color theme="1"/>
        <sz val="10.0"/>
      </rPr>
      <t>၄၈၁၈၉၁</t>
    </r>
  </si>
  <si>
    <r>
      <rPr>
        <rFont val="Myanmar Sangam MN"/>
        <b/>
        <color theme="1"/>
        <sz val="10.0"/>
      </rPr>
      <t>၁၁၉၆၇၉</t>
    </r>
  </si>
  <si>
    <r>
      <rPr>
        <rFont val="Myanmar Sangam MN"/>
        <b/>
        <color theme="1"/>
        <sz val="10.0"/>
      </rPr>
      <t>၆၀၁၅၇၀</t>
    </r>
  </si>
  <si>
    <r>
      <rPr>
        <rFont val="Myanmar Sangam MN"/>
        <color theme="1"/>
        <sz val="10.0"/>
      </rPr>
      <t>ဦးေအာင်ကိုကို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</si>
  <si>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</si>
  <si>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၂၇၂၆၀၁</t>
    </r>
  </si>
  <si>
    <r>
      <rPr>
        <rFont val="Myanmar Sangam MN"/>
        <color theme="1"/>
        <sz val="10.0"/>
      </rPr>
      <t>၆၆၈၆၆</t>
    </r>
  </si>
  <si>
    <r>
      <rPr>
        <rFont val="Myanmar Sangam MN"/>
        <color theme="1"/>
        <sz val="10.0"/>
      </rPr>
      <t>၃၃၉၄၆၇</t>
    </r>
  </si>
  <si>
    <r>
      <rPr>
        <rFont val="Myanmar Sangam MN"/>
        <b/>
        <color theme="1"/>
        <sz val="9.0"/>
      </rPr>
      <t>၅၆.၄၃%</t>
    </r>
  </si>
  <si>
    <r>
      <rPr>
        <rFont val="Myanmar Sangam MN"/>
        <color rgb="FF000000"/>
        <sz val="10.0"/>
      </rPr>
      <t xml:space="preserve">ဦးခွန်ေမာင်ေဘာ်(ခ)
</t>
    </r>
    <r>
      <rPr>
        <rFont val="Myanmar Sangam MN"/>
        <color rgb="FF000000"/>
        <sz val="10.0"/>
      </rPr>
      <t>တေပါ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</si>
  <si>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</si>
  <si>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၁၄၀၂၂၄</t>
    </r>
  </si>
  <si>
    <r>
      <rPr>
        <rFont val="Myanmar Sangam MN"/>
        <color theme="1"/>
        <sz val="10.0"/>
      </rPr>
      <t>၃၅၉၈၂</t>
    </r>
  </si>
  <si>
    <r>
      <rPr>
        <rFont val="Myanmar Sangam MN"/>
        <color theme="1"/>
        <sz val="10.0"/>
      </rPr>
      <t>၁၇၆၂၀၆</t>
    </r>
  </si>
  <si>
    <r>
      <rPr>
        <rFont val="Myanmar Sangam MN"/>
        <b/>
        <color theme="1"/>
        <sz val="9.0"/>
      </rPr>
      <t>၂၉.၂၉%</t>
    </r>
  </si>
  <si>
    <r>
      <rPr>
        <rFont val="Myanmar Sangam MN"/>
        <color theme="1"/>
        <sz val="10.0"/>
      </rPr>
      <t>စိုင်းေအာင်ြမင့်ဦး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</si>
  <si>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</si>
  <si>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၂၀၂၄၇</t>
    </r>
  </si>
  <si>
    <r>
      <rPr>
        <rFont val="Myanmar Sangam MN"/>
        <color theme="1"/>
        <sz val="9.0"/>
      </rPr>
      <t>၄၄၆၆</t>
    </r>
  </si>
  <si>
    <r>
      <rPr>
        <rFont val="Myanmar Sangam MN"/>
        <color theme="1"/>
        <sz val="10.0"/>
      </rPr>
      <t>၂၄၇၁၃</t>
    </r>
  </si>
  <si>
    <r>
      <rPr>
        <rFont val="Myanmar Sangam MN"/>
        <b/>
        <color theme="1"/>
        <sz val="9.0"/>
      </rPr>
      <t>၄.၁၁%</t>
    </r>
  </si>
  <si>
    <r>
      <rPr>
        <rFont val="Myanmar Sangam MN"/>
        <color theme="1"/>
        <sz val="10.0"/>
      </rPr>
      <t>ေဒါက်တာဦးခွန်လှေမာင်</t>
    </r>
  </si>
  <si>
    <r>
      <rPr>
        <rFont val="Myanmar Sangam MN"/>
        <color theme="1"/>
        <sz val="9.0"/>
      </rPr>
      <t>ြပည်ေထာင်စုပအိုဝ်းအမျးသားအဖွဲချပ်ပါတီ</t>
    </r>
  </si>
  <si>
    <r>
      <rPr>
        <rFont val="Myanmar Sangam MN"/>
        <color theme="1"/>
        <sz val="9.0"/>
      </rPr>
      <t>၁၉၉၂၃</t>
    </r>
  </si>
  <si>
    <r>
      <rPr>
        <rFont val="Myanmar Sangam MN"/>
        <color theme="1"/>
        <sz val="9.0"/>
      </rPr>
      <t>၃၉၃၂</t>
    </r>
  </si>
  <si>
    <r>
      <rPr>
        <rFont val="Myanmar Sangam MN"/>
        <color theme="1"/>
        <sz val="10.0"/>
      </rPr>
      <t>၂၃၈၅၅</t>
    </r>
  </si>
  <si>
    <r>
      <rPr>
        <rFont val="Myanmar Sangam MN"/>
        <b/>
        <color theme="1"/>
        <sz val="9.0"/>
      </rPr>
      <t>၃.၉၇%</t>
    </r>
  </si>
  <si>
    <r>
      <rPr>
        <rFont val="Myanmar Sangam MN"/>
        <color theme="1"/>
        <sz val="10.0"/>
      </rPr>
      <t>မူဘရစ်ဂျစ်</t>
    </r>
  </si>
  <si>
    <r>
      <rPr>
        <rFont val="Myanmar Sangam MN"/>
        <color theme="1"/>
        <sz val="10.0"/>
      </rPr>
      <t>ကယန်းအမျးိ သားပါတီ</t>
    </r>
  </si>
  <si>
    <r>
      <rPr>
        <rFont val="Myanmar Sangam MN"/>
        <color theme="1"/>
        <sz val="10.0"/>
      </rPr>
      <t>၁၂၅၁၄</t>
    </r>
  </si>
  <si>
    <r>
      <rPr>
        <rFont val="Myanmar Sangam MN"/>
        <color theme="1"/>
        <sz val="10.0"/>
      </rPr>
      <t>၁၉၈၈</t>
    </r>
  </si>
  <si>
    <r>
      <rPr>
        <rFont val="Myanmar Sangam MN"/>
        <color theme="1"/>
        <sz val="10.0"/>
      </rPr>
      <t>၁၄၅၀၂</t>
    </r>
  </si>
  <si>
    <r>
      <rPr>
        <rFont val="Myanmar Sangam MN"/>
        <b/>
        <color theme="1"/>
        <sz val="9.0"/>
      </rPr>
      <t>၂.၄၁%</t>
    </r>
  </si>
  <si>
    <r>
      <rPr>
        <rFont val="Myanmar Sangam MN"/>
        <color theme="1"/>
        <sz val="10.0"/>
      </rPr>
      <t>ဦးဝင်းြမင့်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</si>
  <si>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</si>
  <si>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၅၈၅၃</t>
    </r>
  </si>
  <si>
    <r>
      <rPr>
        <rFont val="Myanmar Sangam MN"/>
        <color theme="1"/>
        <sz val="10.0"/>
      </rPr>
      <t>၂၃၂၉</t>
    </r>
  </si>
  <si>
    <r>
      <rPr>
        <rFont val="Myanmar Sangam MN"/>
        <color theme="1"/>
        <sz val="10.0"/>
      </rPr>
      <t>၈၁၈၂</t>
    </r>
  </si>
  <si>
    <r>
      <rPr>
        <rFont val="Myanmar Sangam MN"/>
        <b/>
        <color theme="1"/>
        <sz val="9.0"/>
      </rPr>
      <t>၁.၃၆%</t>
    </r>
  </si>
  <si>
    <r>
      <rPr>
        <rFont val="Myanmar Sangam MN"/>
        <color theme="1"/>
        <sz val="10.0"/>
      </rPr>
      <t>ဦးြမင့်ေဆွ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</si>
  <si>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</si>
  <si>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၅၃၆၅</t>
    </r>
  </si>
  <si>
    <r>
      <rPr>
        <rFont val="Myanmar Sangam MN"/>
        <color theme="1"/>
        <sz val="10.0"/>
      </rPr>
      <t>၂၀၆၅</t>
    </r>
  </si>
  <si>
    <r>
      <rPr>
        <rFont val="Myanmar Sangam MN"/>
        <color theme="1"/>
        <sz val="10.0"/>
      </rPr>
      <t>၇၄၃၀</t>
    </r>
  </si>
  <si>
    <r>
      <rPr>
        <rFont val="Myanmar Sangam MN"/>
        <b/>
        <color theme="1"/>
        <sz val="9.0"/>
      </rPr>
      <t>၁.၂၄%</t>
    </r>
  </si>
  <si>
    <r>
      <rPr>
        <rFont val="Myanmar Sangam MN"/>
        <color theme="1"/>
        <sz val="10.0"/>
      </rPr>
      <t>ဦးစိုင်းေကျာ်ေဇာသန်း</t>
    </r>
  </si>
  <si>
    <r>
      <rPr>
        <rFont val="Myanmar Sangam MN"/>
        <color theme="1"/>
        <sz val="10.0"/>
      </rPr>
      <t>ဖက်ဒရယ်ြပည်ေထာင်စုပါတီ</t>
    </r>
  </si>
  <si>
    <r>
      <rPr>
        <rFont val="Myanmar Sangam MN"/>
        <color theme="1"/>
        <sz val="10.0"/>
      </rPr>
      <t>၃၅၀၉</t>
    </r>
  </si>
  <si>
    <r>
      <rPr>
        <rFont val="Myanmar Sangam MN"/>
        <color theme="1"/>
        <sz val="10.0"/>
      </rPr>
      <t>၁၂၅၇</t>
    </r>
  </si>
  <si>
    <r>
      <rPr>
        <rFont val="Myanmar Sangam MN"/>
        <color theme="1"/>
        <sz val="10.0"/>
      </rPr>
      <t>၄၇၆၆</t>
    </r>
  </si>
  <si>
    <r>
      <rPr>
        <rFont val="Myanmar Sangam MN"/>
        <b/>
        <color theme="1"/>
        <sz val="9.0"/>
      </rPr>
      <t>၀.၇၉%</t>
    </r>
  </si>
  <si>
    <r>
      <rPr>
        <rFont val="Myanmar Sangam MN"/>
        <color theme="1"/>
        <sz val="10.0"/>
      </rPr>
      <t>ဦးေမာင်ေမာင်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</si>
  <si>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</si>
  <si>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၁၆၅၅</t>
    </r>
  </si>
  <si>
    <r>
      <rPr>
        <rFont val="Myanmar Sangam MN"/>
        <color theme="1"/>
        <sz val="10.0"/>
      </rPr>
      <t>၇၉၄</t>
    </r>
  </si>
  <si>
    <r>
      <rPr>
        <rFont val="Myanmar Sangam MN"/>
        <color theme="1"/>
        <sz val="10.0"/>
      </rPr>
      <t>၂၄၄၉</t>
    </r>
  </si>
  <si>
    <r>
      <rPr>
        <rFont val="Myanmar Sangam MN"/>
        <b/>
        <color theme="1"/>
        <sz val="9.0"/>
      </rPr>
      <t>၀.၄၀%</t>
    </r>
  </si>
  <si>
    <r>
      <rPr>
        <rFont val="Myanmar Sangam MN"/>
        <b/>
        <color theme="1"/>
        <sz val="10.0"/>
      </rPr>
      <t>၁၄၂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</si>
  <si>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</si>
  <si>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၃၃၀၅၃၂</t>
    </r>
  </si>
  <si>
    <r>
      <rPr>
        <rFont val="Myanmar Sangam MN"/>
        <b/>
        <color theme="1"/>
        <sz val="10.0"/>
      </rPr>
      <t>၁၄၂၈၆၄</t>
    </r>
  </si>
  <si>
    <r>
      <rPr>
        <rFont val="Myanmar Sangam MN"/>
        <b/>
        <color theme="1"/>
        <sz val="10.0"/>
      </rPr>
      <t>၄၄၇၁၁</t>
    </r>
  </si>
  <si>
    <r>
      <rPr>
        <rFont val="Myanmar Sangam MN"/>
        <b/>
        <color theme="1"/>
        <sz val="10.0"/>
      </rPr>
      <t>၁၈၇၅၇၅</t>
    </r>
  </si>
  <si>
    <r>
      <rPr>
        <rFont val="Myanmar Sangam MN"/>
        <b/>
        <color theme="1"/>
        <sz val="10.0"/>
      </rPr>
      <t>၅၆.၇၅</t>
    </r>
  </si>
  <si>
    <r>
      <rPr>
        <rFont val="Myanmar Sangam MN"/>
        <b/>
        <color theme="1"/>
        <sz val="10.0"/>
      </rPr>
      <t>၇၇၁၃</t>
    </r>
  </si>
  <si>
    <r>
      <rPr>
        <rFont val="Myanmar Sangam MN"/>
        <b/>
        <color theme="1"/>
        <sz val="10.0"/>
      </rPr>
      <t>၈၆</t>
    </r>
  </si>
  <si>
    <r>
      <rPr>
        <rFont val="Myanmar Sangam MN"/>
        <b/>
        <color theme="1"/>
        <sz val="10.0"/>
      </rPr>
      <t>၇၇၉၉</t>
    </r>
  </si>
  <si>
    <r>
      <rPr>
        <rFont val="Myanmar Sangam MN"/>
        <b/>
        <color theme="1"/>
        <sz val="10.0"/>
      </rPr>
      <t>၁၃၆၄၈၄</t>
    </r>
  </si>
  <si>
    <r>
      <rPr>
        <rFont val="Myanmar Sangam MN"/>
        <b/>
        <color theme="1"/>
        <sz val="10.0"/>
      </rPr>
      <t>၄၃၂၉၂</t>
    </r>
  </si>
  <si>
    <r>
      <rPr>
        <rFont val="Myanmar Sangam MN"/>
        <b/>
        <color theme="1"/>
        <sz val="10.0"/>
      </rPr>
      <t>၁၇၉၇၇၆</t>
    </r>
  </si>
  <si>
    <r>
      <rPr>
        <rFont val="Myanmar Sangam MN"/>
        <color theme="1"/>
        <sz val="10.0"/>
      </rPr>
      <t>ဦးအိုက်မွန်း</t>
    </r>
  </si>
  <si>
    <r>
      <rPr>
        <rFont val="Myanmar Sangam MN"/>
        <color theme="1"/>
        <sz val="10.0"/>
      </rPr>
      <t>တအာင်း(ပေလာင်)အမျးိ သားပါတီ</t>
    </r>
  </si>
  <si>
    <r>
      <rPr>
        <rFont val="Myanmar Sangam MN"/>
        <color theme="1"/>
        <sz val="10.0"/>
      </rPr>
      <t>၄၀၇၀၅</t>
    </r>
  </si>
  <si>
    <r>
      <rPr>
        <rFont val="Myanmar Sangam MN"/>
        <color theme="1"/>
        <sz val="10.0"/>
      </rPr>
      <t>၈၅၁၆</t>
    </r>
  </si>
  <si>
    <r>
      <rPr>
        <rFont val="Myanmar Sangam MN"/>
        <color theme="1"/>
        <sz val="10.0"/>
      </rPr>
      <t>၄၉၂၂၁</t>
    </r>
  </si>
  <si>
    <r>
      <rPr>
        <rFont val="Myanmar Sangam MN"/>
        <b/>
        <color theme="1"/>
        <sz val="9.0"/>
      </rPr>
      <t>၂၇.၃၈%</t>
    </r>
  </si>
  <si>
    <r>
      <rPr>
        <rFont val="Myanmar Sangam MN"/>
        <color theme="1"/>
        <sz val="10.0"/>
      </rPr>
      <t>ဦးေမာ်ထွန်းေအာင်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</si>
  <si>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</si>
  <si>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၃၅၁၄၄</t>
    </r>
  </si>
  <si>
    <r>
      <rPr>
        <rFont val="Myanmar Sangam MN"/>
        <color theme="1"/>
        <sz val="9.0"/>
      </rPr>
      <t>၁၁၀၂၅</t>
    </r>
  </si>
  <si>
    <r>
      <rPr>
        <rFont val="Myanmar Sangam MN"/>
        <color theme="1"/>
        <sz val="10.0"/>
      </rPr>
      <t>၄၆၁၆၉</t>
    </r>
  </si>
  <si>
    <r>
      <rPr>
        <rFont val="Myanmar Sangam MN"/>
        <b/>
        <color theme="1"/>
        <sz val="9.0"/>
      </rPr>
      <t>၂၅.၆၈%</t>
    </r>
  </si>
  <si>
    <r>
      <rPr>
        <rFont val="Myanmar Sangam MN"/>
        <color theme="1"/>
        <sz val="10.0"/>
      </rPr>
      <t>ဦးေအာင်ရင်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</si>
  <si>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</si>
  <si>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၂၃၁၁၁</t>
    </r>
  </si>
  <si>
    <r>
      <rPr>
        <rFont val="Myanmar Sangam MN"/>
        <color theme="1"/>
        <sz val="10.0"/>
      </rPr>
      <t>၁၃၂၈၉</t>
    </r>
  </si>
  <si>
    <r>
      <rPr>
        <rFont val="Myanmar Sangam MN"/>
        <color theme="1"/>
        <sz val="10.0"/>
      </rPr>
      <t>၃၆၄၀၀</t>
    </r>
  </si>
  <si>
    <r>
      <rPr>
        <rFont val="Myanmar Sangam MN"/>
        <b/>
        <color theme="1"/>
        <sz val="9.0"/>
      </rPr>
      <t>၂၀.၂၅%</t>
    </r>
  </si>
  <si>
    <r>
      <rPr>
        <rFont val="Myanmar Sangam MN"/>
        <color theme="1"/>
        <sz val="10.0"/>
      </rPr>
      <t>ဦးဇေဇာင်း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</si>
  <si>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</si>
  <si>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၁၇၀၇၇</t>
    </r>
  </si>
  <si>
    <r>
      <rPr>
        <rFont val="Myanmar Sangam MN"/>
        <color theme="1"/>
        <sz val="10.0"/>
      </rPr>
      <t>၄၇၆၆</t>
    </r>
  </si>
  <si>
    <r>
      <rPr>
        <rFont val="Myanmar Sangam MN"/>
        <color theme="1"/>
        <sz val="10.0"/>
      </rPr>
      <t>၂၁၈၄၃</t>
    </r>
  </si>
  <si>
    <r>
      <rPr>
        <rFont val="Myanmar Sangam MN"/>
        <b/>
        <color theme="1"/>
        <sz val="9.0"/>
      </rPr>
      <t>၁၂.၁၅%</t>
    </r>
  </si>
  <si>
    <r>
      <rPr>
        <rFont val="Myanmar Sangam MN"/>
        <color theme="1"/>
        <sz val="10.0"/>
      </rPr>
      <t>ေဒနန်းေငွေငွ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</si>
  <si>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</si>
  <si>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၁၂၄၃၀</t>
    </r>
  </si>
  <si>
    <r>
      <rPr>
        <rFont val="Myanmar Sangam MN"/>
        <color theme="1"/>
        <sz val="10.0"/>
      </rPr>
      <t>၃၆၀၄</t>
    </r>
  </si>
  <si>
    <r>
      <rPr>
        <rFont val="Myanmar Sangam MN"/>
        <color theme="1"/>
        <sz val="10.0"/>
      </rPr>
      <t>၁၆၀၃၄</t>
    </r>
  </si>
  <si>
    <r>
      <rPr>
        <rFont val="Myanmar Sangam MN"/>
        <b/>
        <color theme="1"/>
        <sz val="9.0"/>
      </rPr>
      <t>၈.၉၂%</t>
    </r>
  </si>
  <si>
    <r>
      <rPr>
        <rFont val="Myanmar Sangam MN"/>
        <color theme="1"/>
        <sz val="10.0"/>
      </rPr>
      <t>ေဒအမ်နန်ေရာင်</t>
    </r>
  </si>
  <si>
    <r>
      <rPr>
        <rFont val="Myanmar Sangam MN"/>
        <color theme="1"/>
        <sz val="10.0"/>
      </rPr>
      <t>ကချင်အမျးိ သားပါတီ</t>
    </r>
  </si>
  <si>
    <r>
      <rPr>
        <rFont val="Myanmar Sangam MN"/>
        <color theme="1"/>
        <sz val="10.0"/>
      </rPr>
      <t>၅၀၉၂</t>
    </r>
  </si>
  <si>
    <r>
      <rPr>
        <rFont val="Myanmar Sangam MN"/>
        <color theme="1"/>
        <sz val="10.0"/>
      </rPr>
      <t>၁၂၇၃</t>
    </r>
  </si>
  <si>
    <r>
      <rPr>
        <rFont val="Myanmar Sangam MN"/>
        <color theme="1"/>
        <sz val="10.0"/>
      </rPr>
      <t>၆၃၆၅</t>
    </r>
  </si>
  <si>
    <r>
      <rPr>
        <rFont val="Myanmar Sangam MN"/>
        <b/>
        <color theme="1"/>
        <sz val="9.0"/>
      </rPr>
      <t>၃.၅၄%</t>
    </r>
  </si>
  <si>
    <r>
      <rPr>
        <rFont val="Myanmar Sangam MN"/>
        <color theme="1"/>
        <sz val="10.0"/>
      </rPr>
      <t>ေဒခင်သိမ့်သိမ့်ထွန်း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</si>
  <si>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</si>
  <si>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၂၉၂၅</t>
    </r>
  </si>
  <si>
    <r>
      <rPr>
        <rFont val="Myanmar Sangam MN"/>
        <color theme="1"/>
        <sz val="10.0"/>
      </rPr>
      <t>၈၁၉</t>
    </r>
  </si>
  <si>
    <r>
      <rPr>
        <rFont val="Myanmar Sangam MN"/>
        <color theme="1"/>
        <sz val="10.0"/>
      </rPr>
      <t>၃၇၄၄</t>
    </r>
  </si>
  <si>
    <r>
      <rPr>
        <rFont val="Myanmar Sangam MN"/>
        <b/>
        <color theme="1"/>
        <sz val="9.0"/>
      </rPr>
      <t>၂.၀၈%</t>
    </r>
  </si>
  <si>
    <r>
      <rPr>
        <rFont val="Myanmar Sangam MN"/>
        <b/>
        <color theme="1"/>
        <sz val="10.0"/>
      </rPr>
      <t>၁၄၃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</si>
  <si>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</si>
  <si>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၄၅၇၆၇၃</t>
    </r>
  </si>
  <si>
    <r>
      <rPr>
        <rFont val="Myanmar Sangam MN"/>
        <b/>
        <color theme="1"/>
        <sz val="10.0"/>
      </rPr>
      <t>၂၀၅၃၀၀</t>
    </r>
  </si>
  <si>
    <r>
      <rPr>
        <rFont val="Myanmar Sangam MN"/>
        <b/>
        <color theme="1"/>
        <sz val="10.0"/>
      </rPr>
      <t>၅၄၀၆၅</t>
    </r>
  </si>
  <si>
    <r>
      <rPr>
        <rFont val="Myanmar Sangam MN"/>
        <b/>
        <color theme="1"/>
        <sz val="10.0"/>
      </rPr>
      <t>၂၅၉၃၆၅</t>
    </r>
  </si>
  <si>
    <r>
      <rPr>
        <rFont val="Myanmar Sangam MN"/>
        <b/>
        <color theme="1"/>
        <sz val="10.0"/>
      </rPr>
      <t>၅၆.၆၇</t>
    </r>
  </si>
  <si>
    <r>
      <rPr>
        <rFont val="Myanmar Sangam MN"/>
        <b/>
        <color theme="1"/>
        <sz val="10.0"/>
      </rPr>
      <t>၁၄၈၃၆</t>
    </r>
  </si>
  <si>
    <r>
      <rPr>
        <rFont val="Myanmar Sangam MN"/>
        <b/>
        <color theme="1"/>
        <sz val="10.0"/>
      </rPr>
      <t>၅၅၁</t>
    </r>
  </si>
  <si>
    <r>
      <rPr>
        <rFont val="Myanmar Sangam MN"/>
        <b/>
        <color theme="1"/>
        <sz val="10.0"/>
      </rPr>
      <t>၁၅၃၈၇</t>
    </r>
  </si>
  <si>
    <r>
      <rPr>
        <rFont val="Myanmar Sangam MN"/>
        <b/>
        <color theme="1"/>
        <sz val="10.0"/>
      </rPr>
      <t>၁၉၀၈၈၉</t>
    </r>
  </si>
  <si>
    <r>
      <rPr>
        <rFont val="Myanmar Sangam MN"/>
        <b/>
        <color theme="1"/>
        <sz val="10.0"/>
      </rPr>
      <t>၅၃၀၈၉</t>
    </r>
  </si>
  <si>
    <r>
      <rPr>
        <rFont val="Myanmar Sangam MN"/>
        <b/>
        <color theme="1"/>
        <sz val="10.0"/>
      </rPr>
      <t>၂၄၃၉၇၈</t>
    </r>
  </si>
  <si>
    <r>
      <rPr>
        <rFont val="Myanmar Sangam MN"/>
        <color theme="1"/>
        <sz val="10.0"/>
      </rPr>
      <t>နန်းမွန်းစိန်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</si>
  <si>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</si>
  <si>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၆၉၁၈၈</t>
    </r>
  </si>
  <si>
    <r>
      <rPr>
        <rFont val="Myanmar Sangam MN"/>
        <color theme="1"/>
        <sz val="9.0"/>
      </rPr>
      <t>၁၂၇၆၃</t>
    </r>
  </si>
  <si>
    <r>
      <rPr>
        <rFont val="Myanmar Sangam MN"/>
        <color theme="1"/>
        <sz val="10.0"/>
      </rPr>
      <t>၈၁၉၅၁</t>
    </r>
  </si>
  <si>
    <r>
      <rPr>
        <rFont val="Myanmar Sangam MN"/>
        <b/>
        <color theme="1"/>
        <sz val="9.0"/>
      </rPr>
      <t>၃၃.၅၉%</t>
    </r>
  </si>
  <si>
    <r>
      <rPr>
        <rFont val="Myanmar Sangam MN"/>
        <color theme="1"/>
        <sz val="10.0"/>
      </rPr>
      <t>ဦးစိုင်းွန ်ေမာင်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</si>
  <si>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</si>
  <si>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၄၅၇၆၆</t>
    </r>
  </si>
  <si>
    <r>
      <rPr>
        <rFont val="Myanmar Sangam MN"/>
        <color theme="1"/>
        <sz val="10.0"/>
      </rPr>
      <t>၂၁၆၇၉</t>
    </r>
  </si>
  <si>
    <r>
      <rPr>
        <rFont val="Myanmar Sangam MN"/>
        <color theme="1"/>
        <sz val="10.0"/>
      </rPr>
      <t>၆၇၄၄၅</t>
    </r>
  </si>
  <si>
    <r>
      <rPr>
        <rFont val="Myanmar Sangam MN"/>
        <b/>
        <color theme="1"/>
        <sz val="9.0"/>
      </rPr>
      <t>၂၇.၆၄%</t>
    </r>
  </si>
  <si>
    <r>
      <rPr>
        <rFont val="Myanmar Sangam MN"/>
        <color rgb="FF000000"/>
        <sz val="10.0"/>
      </rPr>
      <t xml:space="preserve">နန်းွမ်းမုိ(ခ)
</t>
    </r>
    <r>
      <rPr>
        <rFont val="Myanmar Sangam MN"/>
        <color rgb="FF000000"/>
        <sz val="10.0"/>
      </rPr>
      <t>ေဒနန်းကည်ြမင့်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</si>
  <si>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</si>
  <si>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၅၃၀၀၂</t>
    </r>
  </si>
  <si>
    <r>
      <rPr>
        <rFont val="Myanmar Sangam MN"/>
        <color theme="1"/>
        <sz val="10.0"/>
      </rPr>
      <t>၁၂၇၈၀</t>
    </r>
  </si>
  <si>
    <r>
      <rPr>
        <rFont val="Myanmar Sangam MN"/>
        <color theme="1"/>
        <sz val="10.0"/>
      </rPr>
      <t>၆၅၇၈၂</t>
    </r>
  </si>
  <si>
    <r>
      <rPr>
        <rFont val="Myanmar Sangam MN"/>
        <b/>
        <color theme="1"/>
        <sz val="9.0"/>
      </rPr>
      <t>၂၆.၉၆%</t>
    </r>
  </si>
  <si>
    <r>
      <rPr>
        <rFont val="Myanmar Sangam MN"/>
        <color theme="1"/>
        <sz val="10.0"/>
      </rPr>
      <t>စိုင်းေအာင်ြမတ်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</si>
  <si>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</si>
  <si>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၁၀၃၈၅</t>
    </r>
  </si>
  <si>
    <r>
      <rPr>
        <rFont val="Myanmar Sangam MN"/>
        <color theme="1"/>
        <sz val="10.0"/>
      </rPr>
      <t>၂၇၄၈</t>
    </r>
  </si>
  <si>
    <r>
      <rPr>
        <rFont val="Myanmar Sangam MN"/>
        <color theme="1"/>
        <sz val="10.0"/>
      </rPr>
      <t>၁၃၁၃၃</t>
    </r>
  </si>
  <si>
    <r>
      <rPr>
        <rFont val="Myanmar Sangam MN"/>
        <b/>
        <color theme="1"/>
        <sz val="9.0"/>
      </rPr>
      <t>၅.၃၈%</t>
    </r>
  </si>
  <si>
    <r>
      <rPr>
        <rFont val="Myanmar Sangam MN"/>
        <color theme="1"/>
        <sz val="10.0"/>
      </rPr>
      <t>ေဒေစာနန်းလုံ</t>
    </r>
  </si>
  <si>
    <r>
      <rPr>
        <rFont val="Myanmar Sangam MN"/>
        <color theme="1"/>
        <sz val="10.0"/>
      </rPr>
      <t>'ဝ' အမျးိ သားပါတီ</t>
    </r>
  </si>
  <si>
    <r>
      <rPr>
        <rFont val="Myanmar Sangam MN"/>
        <color theme="1"/>
        <sz val="10.0"/>
      </rPr>
      <t>၃၈၇၇</t>
    </r>
  </si>
  <si>
    <r>
      <rPr>
        <rFont val="Myanmar Sangam MN"/>
        <color theme="1"/>
        <sz val="10.0"/>
      </rPr>
      <t>၁၁၁၁</t>
    </r>
  </si>
  <si>
    <r>
      <rPr>
        <rFont val="Myanmar Sangam MN"/>
        <color theme="1"/>
        <sz val="10.0"/>
      </rPr>
      <t>၄၉၈၈</t>
    </r>
  </si>
  <si>
    <r>
      <rPr>
        <rFont val="Myanmar Sangam MN"/>
        <b/>
        <color theme="1"/>
        <sz val="9.0"/>
      </rPr>
      <t>၂.၀၅%</t>
    </r>
  </si>
  <si>
    <r>
      <rPr>
        <rFont val="Myanmar Sangam MN"/>
        <color theme="1"/>
        <sz val="10.0"/>
      </rPr>
      <t>ဦးေအာင်မင်း</t>
    </r>
  </si>
  <si>
    <r>
      <rPr>
        <rFont val="Myanmar Sangam MN"/>
        <color theme="1"/>
        <sz val="10.0"/>
      </rPr>
      <t>တအာင်း(ပေလာင်)အမျးိ သားပါတီ</t>
    </r>
  </si>
  <si>
    <r>
      <rPr>
        <rFont val="Myanmar Sangam MN"/>
        <color theme="1"/>
        <sz val="10.0"/>
      </rPr>
      <t>၃၇၆၅</t>
    </r>
  </si>
  <si>
    <r>
      <rPr>
        <rFont val="Myanmar Sangam MN"/>
        <color theme="1"/>
        <sz val="10.0"/>
      </rPr>
      <t>၅၄၁</t>
    </r>
  </si>
  <si>
    <r>
      <rPr>
        <rFont val="Myanmar Sangam MN"/>
        <color theme="1"/>
        <sz val="10.0"/>
      </rPr>
      <t>၄၃၀၆</t>
    </r>
  </si>
  <si>
    <r>
      <rPr>
        <rFont val="Myanmar Sangam MN"/>
        <b/>
        <color theme="1"/>
        <sz val="9.0"/>
      </rPr>
      <t>၁.၇၆%</t>
    </r>
  </si>
  <si>
    <r>
      <rPr>
        <rFont val="Myanmar Sangam MN"/>
        <color theme="1"/>
        <sz val="10.0"/>
      </rPr>
      <t>ဦးေကျာ်လွင်</t>
    </r>
  </si>
  <si>
    <r>
      <rPr>
        <rFont val="Myanmar Sangam MN"/>
        <color rgb="FF000000"/>
        <sz val="9.0"/>
      </rPr>
      <t xml:space="preserve">ြမန်မာိုင်ငံေတာင်သူလယ်သမားအလုပ်သမား
</t>
    </r>
    <r>
      <rPr>
        <rFont val="Myanmar Sangam MN"/>
        <color rgb="FF000000"/>
        <sz val="9.0"/>
      </rPr>
      <t>ြပည်သူ ပါတီ</t>
    </r>
  </si>
  <si>
    <r>
      <rPr>
        <rFont val="Myanmar Sangam MN"/>
        <color theme="1"/>
        <sz val="9.0"/>
      </rPr>
      <t>၂၆၃၄</t>
    </r>
  </si>
  <si>
    <r>
      <rPr>
        <rFont val="Myanmar Sangam MN"/>
        <color theme="1"/>
        <sz val="9.0"/>
      </rPr>
      <t>၈၂၉</t>
    </r>
  </si>
  <si>
    <r>
      <rPr>
        <rFont val="Myanmar Sangam MN"/>
        <color theme="1"/>
        <sz val="10.0"/>
      </rPr>
      <t>၃၄၆၃</t>
    </r>
  </si>
  <si>
    <r>
      <rPr>
        <rFont val="Myanmar Sangam MN"/>
        <b/>
        <color theme="1"/>
        <sz val="9.0"/>
      </rPr>
      <t>၁.၄၂%</t>
    </r>
  </si>
  <si>
    <r>
      <rPr>
        <rFont val="Myanmar Sangam MN"/>
        <color theme="1"/>
        <sz val="10.0"/>
      </rPr>
      <t>ဦးေသာင်းေဌး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</si>
  <si>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</si>
  <si>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၁၄၂၉</t>
    </r>
  </si>
  <si>
    <r>
      <rPr>
        <rFont val="Myanmar Sangam MN"/>
        <color theme="1"/>
        <sz val="10.0"/>
      </rPr>
      <t>၃၇၉</t>
    </r>
  </si>
  <si>
    <r>
      <rPr>
        <rFont val="Myanmar Sangam MN"/>
        <color theme="1"/>
        <sz val="10.0"/>
      </rPr>
      <t>၁၈၀၈</t>
    </r>
  </si>
  <si>
    <r>
      <rPr>
        <rFont val="Myanmar Sangam MN"/>
        <b/>
        <color theme="1"/>
        <sz val="9.0"/>
      </rPr>
      <t>၀.၇၅%</t>
    </r>
  </si>
  <si>
    <r>
      <rPr>
        <rFont val="Myanmar Sangam MN"/>
        <color theme="1"/>
        <sz val="10.0"/>
      </rPr>
      <t>ဦးဟန်ြမင့်ေအာင်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</si>
  <si>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</si>
  <si>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၈၄၃</t>
    </r>
  </si>
  <si>
    <r>
      <rPr>
        <rFont val="Myanmar Sangam MN"/>
        <color theme="1"/>
        <sz val="10.0"/>
      </rPr>
      <t>၂၅၉</t>
    </r>
  </si>
  <si>
    <r>
      <rPr>
        <rFont val="Myanmar Sangam MN"/>
        <color theme="1"/>
        <sz val="10.0"/>
      </rPr>
      <t>၁၁၀၂</t>
    </r>
  </si>
  <si>
    <r>
      <rPr>
        <rFont val="Myanmar Sangam MN"/>
        <b/>
        <color theme="1"/>
        <sz val="9.0"/>
      </rPr>
      <t>၀.၄၅%</t>
    </r>
  </si>
  <si>
    <r>
      <rPr>
        <rFont val="Myanmar Sangam MN"/>
        <b/>
        <color theme="1"/>
        <sz val="10.0"/>
      </rPr>
      <t>၁၄၄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</si>
  <si>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</si>
  <si>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၄၇၆၁၆၄</t>
    </r>
  </si>
  <si>
    <r>
      <rPr>
        <rFont val="Myanmar Sangam MN"/>
        <b/>
        <color theme="1"/>
        <sz val="10.0"/>
      </rPr>
      <t>၂၀၉၀၂၈</t>
    </r>
  </si>
  <si>
    <r>
      <rPr>
        <rFont val="Myanmar Sangam MN"/>
        <b/>
        <color theme="1"/>
        <sz val="10.0"/>
      </rPr>
      <t>၆၄၉၈၂</t>
    </r>
  </si>
  <si>
    <r>
      <rPr>
        <rFont val="Myanmar Sangam MN"/>
        <b/>
        <color theme="1"/>
        <sz val="10.0"/>
      </rPr>
      <t>၂၇၄၀၁၀</t>
    </r>
  </si>
  <si>
    <r>
      <rPr>
        <rFont val="Myanmar Sangam MN"/>
        <b/>
        <color theme="1"/>
        <sz val="10.0"/>
      </rPr>
      <t>၅၇.၅၅</t>
    </r>
  </si>
  <si>
    <r>
      <rPr>
        <rFont val="Myanmar Sangam MN"/>
        <b/>
        <color theme="1"/>
        <sz val="10.0"/>
      </rPr>
      <t>၂၀၁၀၅</t>
    </r>
  </si>
  <si>
    <r>
      <rPr>
        <rFont val="Myanmar Sangam MN"/>
        <b/>
        <color theme="1"/>
        <sz val="10.0"/>
      </rPr>
      <t>၂၂၅</t>
    </r>
  </si>
  <si>
    <r>
      <rPr>
        <rFont val="Myanmar Sangam MN"/>
        <b/>
        <color theme="1"/>
        <sz val="10.0"/>
      </rPr>
      <t>၂၀၃၃၀</t>
    </r>
  </si>
  <si>
    <r>
      <rPr>
        <rFont val="Myanmar Sangam MN"/>
        <b/>
        <color theme="1"/>
        <sz val="10.0"/>
      </rPr>
      <t>၁၉၃၄၃၄</t>
    </r>
  </si>
  <si>
    <r>
      <rPr>
        <rFont val="Myanmar Sangam MN"/>
        <b/>
        <color theme="1"/>
        <sz val="10.0"/>
      </rPr>
      <t>၆၀၂၄၆</t>
    </r>
  </si>
  <si>
    <r>
      <rPr>
        <rFont val="Myanmar Sangam MN"/>
        <b/>
        <color theme="1"/>
        <sz val="10.0"/>
      </rPr>
      <t>၂၅၃၆၈၀</t>
    </r>
  </si>
  <si>
    <r>
      <rPr>
        <rFont val="Myanmar Sangam MN"/>
        <color theme="1"/>
        <sz val="10.0"/>
      </rPr>
      <t>စိုင်းဝင်းေအး(ခ) စိုင်းထွန်းေအး</t>
    </r>
  </si>
  <si>
    <r>
      <rPr>
        <rFont val="Myanmar Sangam MN"/>
        <color theme="1"/>
        <sz val="9.0"/>
      </rPr>
      <t>ရှမ်းတိုင်းရင်းသားများဒီမိုကေရစီအဖွဲချပ်ပါတီ</t>
    </r>
  </si>
  <si>
    <r>
      <rPr>
        <rFont val="Myanmar Sangam MN"/>
        <color theme="1"/>
        <sz val="9.0"/>
      </rPr>
      <t>၈၇၈၁၂</t>
    </r>
  </si>
  <si>
    <r>
      <rPr>
        <rFont val="Myanmar Sangam MN"/>
        <color theme="1"/>
        <sz val="9.0"/>
      </rPr>
      <t>၂၀၅၈၆</t>
    </r>
  </si>
  <si>
    <r>
      <rPr>
        <rFont val="Myanmar Sangam MN"/>
        <color theme="1"/>
        <sz val="10.0"/>
      </rPr>
      <t>၁၀၈၃၉၈</t>
    </r>
  </si>
  <si>
    <r>
      <rPr>
        <rFont val="Myanmar Sangam MN"/>
        <b/>
        <color theme="1"/>
        <sz val="9.0"/>
      </rPr>
      <t>၄၂.၇၃%</t>
    </r>
  </si>
  <si>
    <r>
      <rPr>
        <rFont val="Myanmar Sangam MN"/>
        <color theme="1"/>
        <sz val="10.0"/>
      </rPr>
      <t>ဦးစိုင်းဆာလူ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</si>
  <si>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</si>
  <si>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၄၈၅၆၅</t>
    </r>
  </si>
  <si>
    <r>
      <rPr>
        <rFont val="Myanmar Sangam MN"/>
        <color theme="1"/>
        <sz val="10.0"/>
      </rPr>
      <t>၂၂၂၁၁</t>
    </r>
  </si>
  <si>
    <r>
      <rPr>
        <rFont val="Myanmar Sangam MN"/>
        <color theme="1"/>
        <sz val="10.0"/>
      </rPr>
      <t>၇၀၇၇၆</t>
    </r>
  </si>
  <si>
    <r>
      <rPr>
        <rFont val="Myanmar Sangam MN"/>
        <b/>
        <color theme="1"/>
        <sz val="9.0"/>
      </rPr>
      <t>၂၇.၉၀%</t>
    </r>
  </si>
  <si>
    <r>
      <rPr>
        <rFont val="Myanmar Sangam MN"/>
        <color theme="1"/>
        <sz val="10.0"/>
      </rPr>
      <t>ဦးစိုင်းစံလင်း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</si>
  <si>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</si>
  <si>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၃၃၄၇၀</t>
    </r>
  </si>
  <si>
    <r>
      <rPr>
        <rFont val="Myanmar Sangam MN"/>
        <color theme="1"/>
        <sz val="10.0"/>
      </rPr>
      <t>၉၉၁၉</t>
    </r>
  </si>
  <si>
    <r>
      <rPr>
        <rFont val="Myanmar Sangam MN"/>
        <color theme="1"/>
        <sz val="10.0"/>
      </rPr>
      <t>၄၃၃၈၉</t>
    </r>
  </si>
  <si>
    <r>
      <rPr>
        <rFont val="Myanmar Sangam MN"/>
        <b/>
        <color theme="1"/>
        <sz val="9.0"/>
      </rPr>
      <t>၁၇.၁၀%</t>
    </r>
  </si>
  <si>
    <r>
      <rPr>
        <rFont val="Myanmar Sangam MN"/>
        <color theme="1"/>
        <sz val="10.0"/>
      </rPr>
      <t>စိုင်းေကျာ်ဝင်း</t>
    </r>
  </si>
  <si>
    <r>
      <rPr>
        <rFont val="Myanmar Sangam MN"/>
        <color theme="1"/>
        <sz val="10.0"/>
      </rPr>
      <t>ရှမ်းတိုင်းရင်းသားများဒီမိုကရက်တစ်ပါတီ</t>
    </r>
  </si>
  <si>
    <r>
      <rPr>
        <rFont val="Myanmar Sangam MN"/>
        <color theme="1"/>
        <sz val="10.0"/>
      </rPr>
      <t>၁၅၇၂၆</t>
    </r>
  </si>
  <si>
    <r>
      <rPr>
        <rFont val="Myanmar Sangam MN"/>
        <color theme="1"/>
        <sz val="10.0"/>
      </rPr>
      <t>၅၈၂၉</t>
    </r>
  </si>
  <si>
    <r>
      <rPr>
        <rFont val="Myanmar Sangam MN"/>
        <color theme="1"/>
        <sz val="10.0"/>
      </rPr>
      <t>၂၁၅၅၅</t>
    </r>
  </si>
  <si>
    <r>
      <rPr>
        <rFont val="Myanmar Sangam MN"/>
        <b/>
        <color theme="1"/>
        <sz val="9.0"/>
      </rPr>
      <t>၈.၅၀%</t>
    </r>
  </si>
  <si>
    <r>
      <rPr>
        <rFont val="Myanmar Sangam MN"/>
        <color theme="1"/>
        <sz val="10.0"/>
      </rPr>
      <t>မိုင်းုမ်ဟန်</t>
    </r>
  </si>
  <si>
    <r>
      <rPr>
        <rFont val="Myanmar Sangam MN"/>
        <color theme="1"/>
        <sz val="10.0"/>
      </rPr>
      <t>တအာင်း(ပေလာင်)အမျးိ သားပါတီ</t>
    </r>
  </si>
  <si>
    <r>
      <rPr>
        <rFont val="Myanmar Sangam MN"/>
        <color theme="1"/>
        <sz val="10.0"/>
      </rPr>
      <t>၅၈၂၆</t>
    </r>
  </si>
  <si>
    <r>
      <rPr>
        <rFont val="Myanmar Sangam MN"/>
        <color theme="1"/>
        <sz val="10.0"/>
      </rPr>
      <t>၉၆၂</t>
    </r>
  </si>
  <si>
    <r>
      <rPr>
        <rFont val="Myanmar Sangam MN"/>
        <color theme="1"/>
        <sz val="10.0"/>
      </rPr>
      <t>၆၇၈၈</t>
    </r>
  </si>
  <si>
    <r>
      <rPr>
        <rFont val="Myanmar Sangam MN"/>
        <b/>
        <color theme="1"/>
        <sz val="9.0"/>
      </rPr>
      <t>၂.၆၈%</t>
    </r>
  </si>
  <si>
    <r>
      <rPr>
        <rFont val="Myanmar Sangam MN"/>
        <color theme="1"/>
        <sz val="10.0"/>
      </rPr>
      <t>ေဒခင်ခင်ချိ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</si>
  <si>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</si>
  <si>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၂၀၃၅</t>
    </r>
  </si>
  <si>
    <r>
      <rPr>
        <rFont val="Myanmar Sangam MN"/>
        <color theme="1"/>
        <sz val="10.0"/>
      </rPr>
      <t>၇၃၉</t>
    </r>
  </si>
  <si>
    <r>
      <rPr>
        <rFont val="Myanmar Sangam MN"/>
        <color theme="1"/>
        <sz val="10.0"/>
      </rPr>
      <t>၂၇၇၄</t>
    </r>
  </si>
  <si>
    <r>
      <rPr>
        <rFont val="Myanmar Sangam MN"/>
        <b/>
        <color theme="1"/>
        <sz val="9.0"/>
      </rPr>
      <t>၁.၀၉%</t>
    </r>
  </si>
  <si>
    <r>
      <rPr>
        <rFont val="Myanmar Sangam MN"/>
        <b/>
        <color theme="1"/>
        <sz val="10.0"/>
      </rPr>
      <t>၁၄၅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</si>
  <si>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</si>
  <si>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၆၄၇၈၁</t>
    </r>
  </si>
  <si>
    <r>
      <rPr>
        <rFont val="Myanmar Sangam MN"/>
        <b/>
        <color theme="1"/>
        <sz val="10.0"/>
      </rPr>
      <t>၃၁၅၂၁</t>
    </r>
  </si>
  <si>
    <r>
      <rPr>
        <rFont val="Myanmar Sangam MN"/>
        <b/>
        <color theme="1"/>
        <sz val="10.0"/>
      </rPr>
      <t>၇၈၉၀</t>
    </r>
  </si>
  <si>
    <r>
      <rPr>
        <rFont val="Myanmar Sangam MN"/>
        <b/>
        <color theme="1"/>
        <sz val="10.0"/>
      </rPr>
      <t>၃၉၄၁၁</t>
    </r>
  </si>
  <si>
    <r>
      <rPr>
        <rFont val="Myanmar Sangam MN"/>
        <b/>
        <color theme="1"/>
        <sz val="10.0"/>
      </rPr>
      <t>၆၀.၈၄</t>
    </r>
  </si>
  <si>
    <r>
      <rPr>
        <rFont val="Myanmar Sangam MN"/>
        <b/>
        <color theme="1"/>
        <sz val="10.0"/>
      </rPr>
      <t>၂၃၂၄</t>
    </r>
  </si>
  <si>
    <r>
      <rPr>
        <rFont val="Myanmar Sangam MN"/>
        <b/>
        <color theme="1"/>
        <sz val="10.0"/>
      </rPr>
      <t>၂၃</t>
    </r>
  </si>
  <si>
    <r>
      <rPr>
        <rFont val="Myanmar Sangam MN"/>
        <b/>
        <color theme="1"/>
        <sz val="10.0"/>
      </rPr>
      <t>၂၃၄၇</t>
    </r>
  </si>
  <si>
    <r>
      <rPr>
        <rFont val="Myanmar Sangam MN"/>
        <b/>
        <color theme="1"/>
        <sz val="10.0"/>
      </rPr>
      <t>၂၉၄၆၂</t>
    </r>
  </si>
  <si>
    <r>
      <rPr>
        <rFont val="Myanmar Sangam MN"/>
        <b/>
        <color theme="1"/>
        <sz val="10.0"/>
      </rPr>
      <t>၇၆၀၂</t>
    </r>
  </si>
  <si>
    <r>
      <rPr>
        <rFont val="Myanmar Sangam MN"/>
        <b/>
        <color theme="1"/>
        <sz val="10.0"/>
      </rPr>
      <t>၃၇၀၆၄</t>
    </r>
  </si>
  <si>
    <r>
      <rPr>
        <rFont val="Myanmar Sangam MN"/>
        <color theme="1"/>
        <sz val="10.0"/>
      </rPr>
      <t>ဦးေမာင်ခိုင်(ခ) ဦးအုန်းခိုင်</t>
    </r>
  </si>
  <si>
    <r>
      <rPr>
        <rFont val="Myanmar Sangam MN"/>
        <color theme="1"/>
        <sz val="10.0"/>
      </rPr>
      <t>တအာင်း(ပေလာင်)အမျးိ သားပါတီ</t>
    </r>
  </si>
  <si>
    <r>
      <rPr>
        <rFont val="Myanmar Sangam MN"/>
        <color theme="1"/>
        <sz val="10.0"/>
      </rPr>
      <t>၁၉၇၂၅</t>
    </r>
  </si>
  <si>
    <r>
      <rPr>
        <rFont val="Myanmar Sangam MN"/>
        <color theme="1"/>
        <sz val="10.0"/>
      </rPr>
      <t>၄၅၄၂</t>
    </r>
  </si>
  <si>
    <r>
      <rPr>
        <rFont val="Myanmar Sangam MN"/>
        <color theme="1"/>
        <sz val="10.0"/>
      </rPr>
      <t>၂၄၂၆၇</t>
    </r>
  </si>
  <si>
    <r>
      <rPr>
        <rFont val="Myanmar Sangam MN"/>
        <b/>
        <color theme="1"/>
        <sz val="9.0"/>
      </rPr>
      <t>၆၅.၄၇%</t>
    </r>
  </si>
  <si>
    <r>
      <rPr>
        <rFont val="Myanmar Sangam MN"/>
        <color theme="1"/>
        <sz val="10.0"/>
      </rPr>
      <t>ဦးဘိုးစိန်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</si>
  <si>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</si>
  <si>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၅၅၁၈</t>
    </r>
  </si>
  <si>
    <r>
      <rPr>
        <rFont val="Myanmar Sangam MN"/>
        <color theme="1"/>
        <sz val="10.0"/>
      </rPr>
      <t>၁၄၂၀</t>
    </r>
  </si>
  <si>
    <r>
      <rPr>
        <rFont val="Myanmar Sangam MN"/>
        <color theme="1"/>
        <sz val="10.0"/>
      </rPr>
      <t>၆၉၃၈</t>
    </r>
  </si>
  <si>
    <r>
      <rPr>
        <rFont val="Myanmar Sangam MN"/>
        <b/>
        <color theme="1"/>
        <sz val="9.0"/>
      </rPr>
      <t>၁၈.၇၂%</t>
    </r>
  </si>
  <si>
    <r>
      <rPr>
        <rFont val="Myanmar Sangam MN"/>
        <color theme="1"/>
        <sz val="10.0"/>
      </rPr>
      <t>ေဒေရ ဟန်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</si>
  <si>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</si>
  <si>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၄၂၁၉</t>
    </r>
  </si>
  <si>
    <r>
      <rPr>
        <rFont val="Myanmar Sangam MN"/>
        <color theme="1"/>
        <sz val="10.0"/>
      </rPr>
      <t>၁၆၄၀</t>
    </r>
  </si>
  <si>
    <r>
      <rPr>
        <rFont val="Myanmar Sangam MN"/>
        <color theme="1"/>
        <sz val="10.0"/>
      </rPr>
      <t>၅၈၅၉</t>
    </r>
  </si>
  <si>
    <r>
      <rPr>
        <rFont val="Myanmar Sangam MN"/>
        <b/>
        <color theme="1"/>
        <sz val="9.0"/>
      </rPr>
      <t>၁၅.၈၁%</t>
    </r>
  </si>
  <si>
    <r>
      <rPr>
        <rFont val="Myanmar Sangam MN"/>
        <b/>
        <color theme="1"/>
        <sz val="10.0"/>
      </rPr>
      <t>၁၄၆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</si>
  <si>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</si>
  <si>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၁၂၃၁၂၄</t>
    </r>
  </si>
  <si>
    <r>
      <rPr>
        <rFont val="Myanmar Sangam MN"/>
        <b/>
        <color theme="1"/>
        <sz val="10.0"/>
      </rPr>
      <t>၈၉၈၁၁</t>
    </r>
  </si>
  <si>
    <r>
      <rPr>
        <rFont val="Myanmar Sangam MN"/>
        <b/>
        <color theme="1"/>
        <sz val="10.0"/>
      </rPr>
      <t>၂၂၆၃၃</t>
    </r>
  </si>
  <si>
    <r>
      <rPr>
        <rFont val="Myanmar Sangam MN"/>
        <b/>
        <color theme="1"/>
        <sz val="10.0"/>
      </rPr>
      <t>၁၁၂၄၄၄</t>
    </r>
  </si>
  <si>
    <r>
      <rPr>
        <rFont val="Myanmar Sangam MN"/>
        <b/>
        <color theme="1"/>
        <sz val="10.0"/>
      </rPr>
      <t>၉၁.၃၃</t>
    </r>
  </si>
  <si>
    <r>
      <rPr>
        <rFont val="Myanmar Sangam MN"/>
        <b/>
        <color theme="1"/>
        <sz val="10.0"/>
      </rPr>
      <t>၃၅၆၅</t>
    </r>
  </si>
  <si>
    <r>
      <rPr>
        <rFont val="Myanmar Sangam MN"/>
        <b/>
        <color theme="1"/>
        <sz val="10.0"/>
      </rPr>
      <t>၁၃၆</t>
    </r>
  </si>
  <si>
    <r>
      <rPr>
        <rFont val="Myanmar Sangam MN"/>
        <b/>
        <color theme="1"/>
        <sz val="10.0"/>
      </rPr>
      <t>၃၇၀၁</t>
    </r>
  </si>
  <si>
    <r>
      <rPr>
        <rFont val="Myanmar Sangam MN"/>
        <b/>
        <color theme="1"/>
        <sz val="10.0"/>
      </rPr>
      <t>၈၆၃၀၈</t>
    </r>
  </si>
  <si>
    <r>
      <rPr>
        <rFont val="Myanmar Sangam MN"/>
        <b/>
        <color theme="1"/>
        <sz val="10.0"/>
      </rPr>
      <t>၂၂၄၃၅</t>
    </r>
  </si>
  <si>
    <r>
      <rPr>
        <rFont val="Myanmar Sangam MN"/>
        <b/>
        <color theme="1"/>
        <sz val="10.0"/>
      </rPr>
      <t>၁၀၈၇၄၃</t>
    </r>
  </si>
  <si>
    <r>
      <rPr>
        <rFont val="Myanmar Sangam MN"/>
        <color theme="1"/>
        <sz val="10.0"/>
      </rPr>
      <t>ေဒမမေလး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</si>
  <si>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</si>
  <si>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၄၃၉၀၁</t>
    </r>
  </si>
  <si>
    <r>
      <rPr>
        <rFont val="Myanmar Sangam MN"/>
        <color theme="1"/>
        <sz val="10.0"/>
      </rPr>
      <t>၁၀၃၃၀</t>
    </r>
  </si>
  <si>
    <r>
      <rPr>
        <rFont val="Myanmar Sangam MN"/>
        <color theme="1"/>
        <sz val="10.0"/>
      </rPr>
      <t>၅၄၂၃၁</t>
    </r>
  </si>
  <si>
    <r>
      <rPr>
        <rFont val="Myanmar Sangam MN"/>
        <b/>
        <color theme="1"/>
        <sz val="9.0"/>
      </rPr>
      <t>၄၉.၈၇%</t>
    </r>
  </si>
  <si>
    <r>
      <rPr>
        <rFont val="Myanmar Sangam MN"/>
        <color theme="1"/>
        <sz val="10.0"/>
      </rPr>
      <t>ဦးစဝ်ေအာင်ြမတ်(ခ) ဦးေအာင်ြမတ်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</si>
  <si>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</si>
  <si>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၂၆၆၆၂</t>
    </r>
  </si>
  <si>
    <r>
      <rPr>
        <rFont val="Myanmar Sangam MN"/>
        <color theme="1"/>
        <sz val="10.0"/>
      </rPr>
      <t>၇၄၄၆</t>
    </r>
  </si>
  <si>
    <r>
      <rPr>
        <rFont val="Myanmar Sangam MN"/>
        <color theme="1"/>
        <sz val="10.0"/>
      </rPr>
      <t>၃၄၁၀၈</t>
    </r>
  </si>
  <si>
    <r>
      <rPr>
        <rFont val="Myanmar Sangam MN"/>
        <b/>
        <color theme="1"/>
        <sz val="9.0"/>
      </rPr>
      <t>၃၁.၃၇%</t>
    </r>
  </si>
  <si>
    <r>
      <rPr>
        <rFont val="Myanmar Sangam MN"/>
        <color theme="1"/>
        <sz val="10.0"/>
      </rPr>
      <t>ဦးမင်းလွင်ဦး</t>
    </r>
  </si>
  <si>
    <r>
      <rPr>
        <rFont val="Myanmar Sangam MN"/>
        <color theme="1"/>
        <sz val="10.0"/>
      </rPr>
      <t>ဓုတိုင်းရင်းသားလူမျးိ များဒီမိုကေရစီပါတီ</t>
    </r>
  </si>
  <si>
    <r>
      <rPr>
        <rFont val="Myanmar Sangam MN"/>
        <color theme="1"/>
        <sz val="10.0"/>
      </rPr>
      <t>၁၂၅၀၆</t>
    </r>
  </si>
  <si>
    <r>
      <rPr>
        <rFont val="Myanmar Sangam MN"/>
        <color theme="1"/>
        <sz val="10.0"/>
      </rPr>
      <t>၃၃၀၈</t>
    </r>
  </si>
  <si>
    <r>
      <rPr>
        <rFont val="Myanmar Sangam MN"/>
        <color theme="1"/>
        <sz val="10.0"/>
      </rPr>
      <t>၁၅၈၁၄</t>
    </r>
  </si>
  <si>
    <r>
      <rPr>
        <rFont val="Myanmar Sangam MN"/>
        <b/>
        <color theme="1"/>
        <sz val="9.0"/>
      </rPr>
      <t>၁၄.၅၄%</t>
    </r>
  </si>
  <si>
    <r>
      <rPr>
        <rFont val="Myanmar Sangam MN"/>
        <color theme="1"/>
        <sz val="10.0"/>
      </rPr>
      <t>ဦးေကျာ်ဒင်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</si>
  <si>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</si>
  <si>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၂၀၁၂</t>
    </r>
  </si>
  <si>
    <r>
      <rPr>
        <rFont val="Myanmar Sangam MN"/>
        <color theme="1"/>
        <sz val="10.0"/>
      </rPr>
      <t>၆၅၂</t>
    </r>
  </si>
  <si>
    <r>
      <rPr>
        <rFont val="Myanmar Sangam MN"/>
        <color theme="1"/>
        <sz val="10.0"/>
      </rPr>
      <t>၂၆၆၄</t>
    </r>
  </si>
  <si>
    <r>
      <rPr>
        <rFont val="Myanmar Sangam MN"/>
        <b/>
        <color theme="1"/>
        <sz val="9.0"/>
      </rPr>
      <t>၂.၄၅%</t>
    </r>
  </si>
  <si>
    <r>
      <rPr>
        <rFont val="Myanmar Sangam MN"/>
        <color theme="1"/>
        <sz val="10.0"/>
      </rPr>
      <t>ဦးနန်းထိုက်ေဇာ်</t>
    </r>
  </si>
  <si>
    <r>
      <rPr>
        <rFont val="Myanmar Sangam MN"/>
        <color theme="1"/>
        <sz val="10.0"/>
      </rPr>
      <t>အမျးိ သားဒီမိုကေရစီအင်အားစုပါတီ</t>
    </r>
  </si>
  <si>
    <r>
      <rPr>
        <rFont val="Myanmar Sangam MN"/>
        <color theme="1"/>
        <sz val="10.0"/>
      </rPr>
      <t>၆၉၂</t>
    </r>
  </si>
  <si>
    <r>
      <rPr>
        <rFont val="Myanmar Sangam MN"/>
        <color theme="1"/>
        <sz val="10.0"/>
      </rPr>
      <t>၄၁၇</t>
    </r>
  </si>
  <si>
    <r>
      <rPr>
        <rFont val="Myanmar Sangam MN"/>
        <color theme="1"/>
        <sz val="10.0"/>
      </rPr>
      <t>၁၁၀၉</t>
    </r>
  </si>
  <si>
    <r>
      <rPr>
        <rFont val="Myanmar Sangam MN"/>
        <b/>
        <color theme="1"/>
        <sz val="9.0"/>
      </rPr>
      <t>၁.၀၂%</t>
    </r>
  </si>
  <si>
    <r>
      <rPr>
        <rFont val="Myanmar Sangam MN"/>
        <color theme="1"/>
        <sz val="10.0"/>
      </rPr>
      <t>ဦးဝင်းြမတ်</t>
    </r>
  </si>
  <si>
    <r>
      <rPr>
        <rFont val="Myanmar Sangam MN"/>
        <color theme="1"/>
        <sz val="10.0"/>
      </rPr>
      <t>ဓုအမျးိ သားများအဖွဲချပ်ပါတီ</t>
    </r>
  </si>
  <si>
    <r>
      <rPr>
        <rFont val="Myanmar Sangam MN"/>
        <color theme="1"/>
        <sz val="10.0"/>
      </rPr>
      <t>၅၃၅</t>
    </r>
  </si>
  <si>
    <r>
      <rPr>
        <rFont val="Myanmar Sangam MN"/>
        <color theme="1"/>
        <sz val="10.0"/>
      </rPr>
      <t>၂၈၂</t>
    </r>
  </si>
  <si>
    <r>
      <rPr>
        <rFont val="Myanmar Sangam MN"/>
        <color theme="1"/>
        <sz val="10.0"/>
      </rPr>
      <t>၈၁၇</t>
    </r>
  </si>
  <si>
    <r>
      <rPr>
        <rFont val="Myanmar Sangam MN"/>
        <b/>
        <color theme="1"/>
        <sz val="9.0"/>
      </rPr>
      <t>၀.၇၅%</t>
    </r>
  </si>
  <si>
    <r>
      <rPr>
        <rFont val="Myanmar Sangam MN"/>
        <b/>
        <color theme="1"/>
        <sz val="10.0"/>
      </rPr>
      <t>၁၄၇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</si>
  <si>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</si>
  <si>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၃၂၂၀၃၈</t>
    </r>
  </si>
  <si>
    <r>
      <rPr>
        <rFont val="Myanmar Sangam MN"/>
        <b/>
        <color theme="1"/>
        <sz val="10.0"/>
      </rPr>
      <t>၂၁၃၂၉၆</t>
    </r>
  </si>
  <si>
    <r>
      <rPr>
        <rFont val="Myanmar Sangam MN"/>
        <b/>
        <color theme="1"/>
        <sz val="10.0"/>
      </rPr>
      <t>၄၁၀၉၁</t>
    </r>
  </si>
  <si>
    <r>
      <rPr>
        <rFont val="Myanmar Sangam MN"/>
        <b/>
        <color theme="1"/>
        <sz val="10.0"/>
      </rPr>
      <t>၂၅၄၃၈၇</t>
    </r>
  </si>
  <si>
    <r>
      <rPr>
        <rFont val="Myanmar Sangam MN"/>
        <b/>
        <color theme="1"/>
        <sz val="10.0"/>
      </rPr>
      <t>၇၈.၉၉</t>
    </r>
  </si>
  <si>
    <r>
      <rPr>
        <rFont val="Myanmar Sangam MN"/>
        <b/>
        <color theme="1"/>
        <sz val="10.0"/>
      </rPr>
      <t>၁၈၄၃၀</t>
    </r>
  </si>
  <si>
    <r>
      <rPr>
        <rFont val="Myanmar Sangam MN"/>
        <b/>
        <color theme="1"/>
        <sz val="10.0"/>
      </rPr>
      <t>၈၄၀</t>
    </r>
  </si>
  <si>
    <r>
      <rPr>
        <rFont val="Myanmar Sangam MN"/>
        <b/>
        <color theme="1"/>
        <sz val="10.0"/>
      </rPr>
      <t>၁၉၂၇၀</t>
    </r>
  </si>
  <si>
    <r>
      <rPr>
        <rFont val="Myanmar Sangam MN"/>
        <b/>
        <color theme="1"/>
        <sz val="10.0"/>
      </rPr>
      <t>၁၉၅၄၇၉</t>
    </r>
  </si>
  <si>
    <r>
      <rPr>
        <rFont val="Myanmar Sangam MN"/>
        <b/>
        <color theme="1"/>
        <sz val="10.0"/>
      </rPr>
      <t>၃၉၆၃၈</t>
    </r>
  </si>
  <si>
    <r>
      <rPr>
        <rFont val="Myanmar Sangam MN"/>
        <b/>
        <color theme="1"/>
        <sz val="10.0"/>
      </rPr>
      <t>၂၃၅၁၁၇</t>
    </r>
  </si>
  <si>
    <r>
      <rPr>
        <rFont val="Myanmar Sangam MN"/>
        <color theme="1"/>
        <sz val="10.0"/>
      </rPr>
      <t>ခွန်ေအာင်ေကျာ်</t>
    </r>
  </si>
  <si>
    <r>
      <rPr>
        <rFont val="Myanmar Sangam MN"/>
        <color theme="1"/>
        <sz val="10.0"/>
      </rPr>
      <t>ပအိုဝ်းအမျးိ သားအဖွဲချပ်ပါတီ</t>
    </r>
  </si>
  <si>
    <r>
      <rPr>
        <rFont val="Myanmar Sangam MN"/>
        <color theme="1"/>
        <sz val="10.0"/>
      </rPr>
      <t>၁၃၇၅၇၈</t>
    </r>
  </si>
  <si>
    <r>
      <rPr>
        <rFont val="Myanmar Sangam MN"/>
        <color theme="1"/>
        <sz val="10.0"/>
      </rPr>
      <t>၂၅၃၅၄</t>
    </r>
  </si>
  <si>
    <r>
      <rPr>
        <rFont val="Myanmar Sangam MN"/>
        <color theme="1"/>
        <sz val="10.0"/>
      </rPr>
      <t>၁၆၂၉၃၂</t>
    </r>
  </si>
  <si>
    <r>
      <rPr>
        <rFont val="Myanmar Sangam MN"/>
        <b/>
        <color theme="1"/>
        <sz val="9.0"/>
      </rPr>
      <t>၆၉.၃၀%</t>
    </r>
  </si>
  <si>
    <r>
      <rPr>
        <rFont val="Myanmar Sangam MN"/>
        <color theme="1"/>
        <sz val="10.0"/>
      </rPr>
      <t>ေဒနန်းြမဆွဲ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</si>
  <si>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</si>
  <si>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၃၇၁၄၆</t>
    </r>
  </si>
  <si>
    <r>
      <rPr>
        <rFont val="Myanmar Sangam MN"/>
        <color theme="1"/>
        <sz val="10.0"/>
      </rPr>
      <t>၉၆၃၀</t>
    </r>
  </si>
  <si>
    <r>
      <rPr>
        <rFont val="Myanmar Sangam MN"/>
        <color theme="1"/>
        <sz val="10.0"/>
      </rPr>
      <t>၄၆၇၇၆</t>
    </r>
  </si>
  <si>
    <r>
      <rPr>
        <rFont val="Myanmar Sangam MN"/>
        <b/>
        <color theme="1"/>
        <sz val="9.0"/>
      </rPr>
      <t>၁၉.၈၉%</t>
    </r>
  </si>
  <si>
    <r>
      <rPr>
        <rFont val="Myanmar Sangam MN"/>
        <color theme="1"/>
        <sz val="10.0"/>
      </rPr>
      <t>ဦးသီဟစိုး</t>
    </r>
  </si>
  <si>
    <r>
      <rPr>
        <rFont val="Myanmar Sangam MN"/>
        <color theme="1"/>
        <sz val="9.0"/>
      </rPr>
      <t>ြပည်ေထာင်စုပအိုဝ်းအမျးသားအဖွဲချပ်ပါတီ</t>
    </r>
  </si>
  <si>
    <r>
      <rPr>
        <rFont val="Myanmar Sangam MN"/>
        <color theme="1"/>
        <sz val="9.0"/>
      </rPr>
      <t>၁၆၈၃၁</t>
    </r>
  </si>
  <si>
    <r>
      <rPr>
        <rFont val="Myanmar Sangam MN"/>
        <color theme="1"/>
        <sz val="9.0"/>
      </rPr>
      <t>၃၆၁၆</t>
    </r>
  </si>
  <si>
    <r>
      <rPr>
        <rFont val="Myanmar Sangam MN"/>
        <color theme="1"/>
        <sz val="10.0"/>
      </rPr>
      <t>၂၀၄၄၇</t>
    </r>
  </si>
  <si>
    <r>
      <rPr>
        <rFont val="Myanmar Sangam MN"/>
        <b/>
        <color theme="1"/>
        <sz val="9.0"/>
      </rPr>
      <t>၈.၇၀%</t>
    </r>
  </si>
  <si>
    <r>
      <rPr>
        <rFont val="Myanmar Sangam MN"/>
        <color theme="1"/>
        <sz val="10.0"/>
      </rPr>
      <t>ေဒနန်းသူဇာ</t>
    </r>
  </si>
  <si>
    <r>
      <rPr>
        <rFont val="Myanmar Sangam MN"/>
        <color theme="1"/>
        <sz val="10.0"/>
      </rPr>
      <t>အမျးိ သားိုင်ငံေရးဒီမိုကရက်တစ်ပါတီ</t>
    </r>
  </si>
  <si>
    <r>
      <rPr>
        <rFont val="Myanmar Sangam MN"/>
        <color theme="1"/>
        <sz val="10.0"/>
      </rPr>
      <t>၃၉၂၄</t>
    </r>
  </si>
  <si>
    <r>
      <rPr>
        <rFont val="Myanmar Sangam MN"/>
        <color theme="1"/>
        <sz val="10.0"/>
      </rPr>
      <t>၁၀၃၈</t>
    </r>
  </si>
  <si>
    <r>
      <rPr>
        <rFont val="Myanmar Sangam MN"/>
        <color theme="1"/>
        <sz val="10.0"/>
      </rPr>
      <t>၄၉၆၂</t>
    </r>
  </si>
  <si>
    <r>
      <rPr>
        <rFont val="Myanmar Sangam MN"/>
        <b/>
        <color theme="1"/>
        <sz val="9.0"/>
      </rPr>
      <t>၂.၁၁%</t>
    </r>
  </si>
  <si>
    <r>
      <rPr>
        <rFont val="Myanmar Sangam MN"/>
        <b/>
        <color theme="1"/>
        <sz val="10.0"/>
      </rPr>
      <t>၁၄၈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</si>
  <si>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</si>
  <si>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၃၄၂၂၅</t>
    </r>
  </si>
  <si>
    <r>
      <rPr>
        <rFont val="Myanmar Sangam MN"/>
        <b/>
        <color theme="1"/>
        <sz val="10.0"/>
      </rPr>
      <t>၁၈၂၉၂</t>
    </r>
  </si>
  <si>
    <r>
      <rPr>
        <rFont val="Myanmar Sangam MN"/>
        <b/>
        <color theme="1"/>
        <sz val="10.0"/>
      </rPr>
      <t>၅၂၂၁</t>
    </r>
  </si>
  <si>
    <r>
      <rPr>
        <rFont val="Myanmar Sangam MN"/>
        <b/>
        <color theme="1"/>
        <sz val="10.0"/>
      </rPr>
      <t>၂၃၅၁၃</t>
    </r>
  </si>
  <si>
    <r>
      <rPr>
        <rFont val="Myanmar Sangam MN"/>
        <b/>
        <color theme="1"/>
        <sz val="10.0"/>
      </rPr>
      <t>၆၈.၇၀</t>
    </r>
  </si>
  <si>
    <r>
      <rPr>
        <rFont val="Myanmar Sangam MN"/>
        <b/>
        <color theme="1"/>
        <sz val="10.0"/>
      </rPr>
      <t>၂၁၀၃</t>
    </r>
  </si>
  <si>
    <r>
      <rPr>
        <rFont val="Myanmar Sangam MN"/>
        <b/>
        <color theme="1"/>
        <sz val="10.0"/>
      </rPr>
      <t>၂၁</t>
    </r>
  </si>
  <si>
    <r>
      <rPr>
        <rFont val="Myanmar Sangam MN"/>
        <b/>
        <color theme="1"/>
        <sz val="10.0"/>
      </rPr>
      <t>၂၁၂၄</t>
    </r>
  </si>
  <si>
    <r>
      <rPr>
        <rFont val="Myanmar Sangam MN"/>
        <b/>
        <color theme="1"/>
        <sz val="10.0"/>
      </rPr>
      <t>၁၆၅၁၄</t>
    </r>
  </si>
  <si>
    <r>
      <rPr>
        <rFont val="Myanmar Sangam MN"/>
        <b/>
        <color theme="1"/>
        <sz val="10.0"/>
      </rPr>
      <t>၄၈၇၅</t>
    </r>
  </si>
  <si>
    <r>
      <rPr>
        <rFont val="Myanmar Sangam MN"/>
        <b/>
        <color theme="1"/>
        <sz val="10.0"/>
      </rPr>
      <t>၂၁၃၈၉</t>
    </r>
  </si>
  <si>
    <r>
      <rPr>
        <rFont val="Myanmar Sangam MN"/>
        <color theme="1"/>
        <sz val="10.0"/>
      </rPr>
      <t>ဦးအိုက်နပ်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</si>
  <si>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</si>
  <si>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၈၇၅၂</t>
    </r>
  </si>
  <si>
    <r>
      <rPr>
        <rFont val="Myanmar Sangam MN"/>
        <color theme="1"/>
        <sz val="10.0"/>
      </rPr>
      <t>၂၃၃၂</t>
    </r>
  </si>
  <si>
    <r>
      <rPr>
        <rFont val="Myanmar Sangam MN"/>
        <color theme="1"/>
        <sz val="10.0"/>
      </rPr>
      <t>၁၁၀၈၄</t>
    </r>
  </si>
  <si>
    <r>
      <rPr>
        <rFont val="Myanmar Sangam MN"/>
        <b/>
        <color theme="1"/>
        <sz val="9.0"/>
      </rPr>
      <t>၅၁.၈၂%</t>
    </r>
  </si>
  <si>
    <r>
      <rPr>
        <rFont val="Myanmar Sangam MN"/>
        <color theme="1"/>
        <sz val="10.0"/>
      </rPr>
      <t>ဦးဆိုင်ေပါင်းနပ်</t>
    </r>
  </si>
  <si>
    <r>
      <rPr>
        <rFont val="Myanmar Sangam MN"/>
        <color theme="1"/>
        <sz val="10.0"/>
      </rPr>
      <t>'ဝ' အမျးိ သားပါတီ</t>
    </r>
  </si>
  <si>
    <r>
      <rPr>
        <rFont val="Myanmar Sangam MN"/>
        <color theme="1"/>
        <sz val="10.0"/>
      </rPr>
      <t>၅၀၉၁</t>
    </r>
  </si>
  <si>
    <r>
      <rPr>
        <rFont val="Myanmar Sangam MN"/>
        <color theme="1"/>
        <sz val="10.0"/>
      </rPr>
      <t>၁၆၁၂</t>
    </r>
  </si>
  <si>
    <r>
      <rPr>
        <rFont val="Myanmar Sangam MN"/>
        <color theme="1"/>
        <sz val="10.0"/>
      </rPr>
      <t>၆၇၀၃</t>
    </r>
  </si>
  <si>
    <r>
      <rPr>
        <rFont val="Myanmar Sangam MN"/>
        <b/>
        <color theme="1"/>
        <sz val="9.0"/>
      </rPr>
      <t>၃၁.၃၄%</t>
    </r>
  </si>
  <si>
    <r>
      <rPr>
        <rFont val="Myanmar Sangam MN"/>
        <color theme="1"/>
        <sz val="10.0"/>
      </rPr>
      <t>ဦးစိုင်းဆိုင်လင်း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</si>
  <si>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</si>
  <si>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၂၆၇၁</t>
    </r>
  </si>
  <si>
    <r>
      <rPr>
        <rFont val="Myanmar Sangam MN"/>
        <color theme="1"/>
        <sz val="10.0"/>
      </rPr>
      <t>၉၃၁</t>
    </r>
  </si>
  <si>
    <r>
      <rPr>
        <rFont val="Myanmar Sangam MN"/>
        <color theme="1"/>
        <sz val="10.0"/>
      </rPr>
      <t>၃၆၀၂</t>
    </r>
  </si>
  <si>
    <r>
      <rPr>
        <rFont val="Myanmar Sangam MN"/>
        <b/>
        <color theme="1"/>
        <sz val="9.0"/>
      </rPr>
      <t>၁၆.၈၄%</t>
    </r>
  </si>
  <si>
    <r>
      <rPr>
        <rFont val="Myanmar Sangam MN"/>
        <b/>
        <color theme="1"/>
        <sz val="10.0"/>
      </rPr>
      <t>၁၄၉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</si>
  <si>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</si>
  <si>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၈၃၆၆၃</t>
    </r>
  </si>
  <si>
    <r>
      <rPr>
        <rFont val="Myanmar Sangam MN"/>
        <b/>
        <color theme="1"/>
        <sz val="10.0"/>
      </rPr>
      <t>၂၁၅၁၇</t>
    </r>
  </si>
  <si>
    <r>
      <rPr>
        <rFont val="Myanmar Sangam MN"/>
        <b/>
        <color theme="1"/>
        <sz val="10.0"/>
      </rPr>
      <t>၆၈၈၉</t>
    </r>
  </si>
  <si>
    <r>
      <rPr>
        <rFont val="Myanmar Sangam MN"/>
        <b/>
        <color theme="1"/>
        <sz val="10.0"/>
      </rPr>
      <t>၂၈၄၀၆</t>
    </r>
  </si>
  <si>
    <r>
      <rPr>
        <rFont val="Myanmar Sangam MN"/>
        <b/>
        <color theme="1"/>
        <sz val="10.0"/>
      </rPr>
      <t>၃၃.၉၅</t>
    </r>
  </si>
  <si>
    <r>
      <rPr>
        <rFont val="Myanmar Sangam MN"/>
        <b/>
        <color theme="1"/>
        <sz val="10.0"/>
      </rPr>
      <t>၃၀၄၇</t>
    </r>
  </si>
  <si>
    <r>
      <rPr>
        <rFont val="Myanmar Sangam MN"/>
        <b/>
        <color theme="1"/>
        <sz val="10.0"/>
      </rPr>
      <t>၆၄</t>
    </r>
  </si>
  <si>
    <r>
      <rPr>
        <rFont val="Myanmar Sangam MN"/>
        <b/>
        <color theme="1"/>
        <sz val="10.0"/>
      </rPr>
      <t>၃၁၁၁</t>
    </r>
  </si>
  <si>
    <r>
      <rPr>
        <rFont val="Myanmar Sangam MN"/>
        <b/>
        <color theme="1"/>
        <sz val="10.0"/>
      </rPr>
      <t>၁၈၄၃၂</t>
    </r>
  </si>
  <si>
    <r>
      <rPr>
        <rFont val="Myanmar Sangam MN"/>
        <b/>
        <color theme="1"/>
        <sz val="10.0"/>
      </rPr>
      <t>၆၈၆၃</t>
    </r>
  </si>
  <si>
    <r>
      <rPr>
        <rFont val="Myanmar Sangam MN"/>
        <b/>
        <color theme="1"/>
        <sz val="10.0"/>
      </rPr>
      <t>၂၅၂၉၅</t>
    </r>
  </si>
  <si>
    <r>
      <rPr>
        <rFont val="Myanmar Sangam MN"/>
        <color theme="1"/>
        <sz val="10.0"/>
      </rPr>
      <t>ဦးေအာင်သန်းထွဋ်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</si>
  <si>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</si>
  <si>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၁၆၄၁၇</t>
    </r>
  </si>
  <si>
    <r>
      <rPr>
        <rFont val="Myanmar Sangam MN"/>
        <color theme="1"/>
        <sz val="10.0"/>
      </rPr>
      <t>၆၅၆၈</t>
    </r>
  </si>
  <si>
    <r>
      <rPr>
        <rFont val="Myanmar Sangam MN"/>
        <b/>
        <color theme="1"/>
        <sz val="10.0"/>
      </rPr>
      <t>၂၂၉၈၅</t>
    </r>
  </si>
  <si>
    <r>
      <rPr>
        <rFont val="Myanmar Sangam MN"/>
        <b/>
        <color theme="1"/>
        <sz val="9.0"/>
      </rPr>
      <t>၉၀.၈၇%</t>
    </r>
  </si>
  <si>
    <r>
      <rPr>
        <rFont val="Myanmar Sangam MN"/>
        <color theme="1"/>
        <sz val="10.0"/>
      </rPr>
      <t>ဦးေကျာ်သူ</t>
    </r>
  </si>
  <si>
    <r>
      <rPr>
        <rFont val="Myanmar Sangam MN"/>
        <color theme="1"/>
        <sz val="10.0"/>
      </rPr>
      <t>ရှမ်းြပည်ကိုးကန ်ဒီမိုကရက်တစ်ပါတီ</t>
    </r>
  </si>
  <si>
    <r>
      <rPr>
        <rFont val="Myanmar Sangam MN"/>
        <color theme="1"/>
        <sz val="10.0"/>
      </rPr>
      <t>၂၀၁၅</t>
    </r>
  </si>
  <si>
    <r>
      <rPr>
        <rFont val="Myanmar Sangam MN"/>
        <color theme="1"/>
        <sz val="10.0"/>
      </rPr>
      <t>၂၉၅</t>
    </r>
  </si>
  <si>
    <r>
      <rPr>
        <rFont val="Myanmar Sangam MN"/>
        <b/>
        <color theme="1"/>
        <sz val="10.0"/>
      </rPr>
      <t>၂၃၁၀</t>
    </r>
  </si>
  <si>
    <r>
      <rPr>
        <rFont val="Myanmar Sangam MN"/>
        <b/>
        <color theme="1"/>
        <sz val="9.0"/>
      </rPr>
      <t>၉.၁၃%</t>
    </r>
  </si>
  <si>
    <r>
      <rPr>
        <rFont val="Myanmar Sangam MN"/>
        <b/>
        <color theme="1"/>
        <sz val="10.0"/>
      </rPr>
      <t>ဧရာဝတီတိုင်းေဒသကီး</t>
    </r>
  </si>
  <si>
    <r>
      <rPr>
        <rFont val="Myanmar Sangam MN"/>
        <b/>
        <color theme="1"/>
        <sz val="10.0"/>
      </rPr>
      <t>၄၆၈၁၁၅၂</t>
    </r>
  </si>
  <si>
    <r>
      <rPr>
        <rFont val="Myanmar Sangam MN"/>
        <b/>
        <color theme="1"/>
        <sz val="10.0"/>
      </rPr>
      <t>၂၇၄၁၈၉၃</t>
    </r>
  </si>
  <si>
    <r>
      <rPr>
        <rFont val="Myanmar Sangam MN"/>
        <b/>
        <color theme="1"/>
        <sz val="10.0"/>
      </rPr>
      <t>၈၀၂၃၉၆</t>
    </r>
  </si>
  <si>
    <r>
      <rPr>
        <rFont val="Myanmar Sangam MN"/>
        <b/>
        <color theme="1"/>
        <sz val="10.0"/>
      </rPr>
      <t>၃၅၄၄၂၈၉</t>
    </r>
  </si>
  <si>
    <r>
      <rPr>
        <rFont val="Myanmar Sangam MN"/>
        <b/>
        <color theme="1"/>
        <sz val="10.0"/>
      </rPr>
      <t>၇၅.၇၁</t>
    </r>
  </si>
  <si>
    <r>
      <rPr>
        <rFont val="Myanmar Sangam MN"/>
        <b/>
        <color theme="1"/>
        <sz val="10.0"/>
      </rPr>
      <t>၈၈၈၂၄</t>
    </r>
  </si>
  <si>
    <r>
      <rPr>
        <rFont val="Myanmar Sangam MN"/>
        <b/>
        <color theme="1"/>
        <sz val="10.0"/>
      </rPr>
      <t>၂၀၂၅</t>
    </r>
  </si>
  <si>
    <r>
      <rPr>
        <rFont val="Myanmar Sangam MN"/>
        <b/>
        <color theme="1"/>
        <sz val="10.0"/>
      </rPr>
      <t>၉၀၈၄၉</t>
    </r>
  </si>
  <si>
    <r>
      <rPr>
        <rFont val="Myanmar Sangam MN"/>
        <b/>
        <color theme="1"/>
        <sz val="10.0"/>
      </rPr>
      <t>၂၆၅၈၂၇၇</t>
    </r>
  </si>
  <si>
    <r>
      <rPr>
        <rFont val="Myanmar Sangam MN"/>
        <b/>
        <color theme="1"/>
        <sz val="10.0"/>
      </rPr>
      <t>၇၉၅၁၆၃</t>
    </r>
  </si>
  <si>
    <r>
      <rPr>
        <rFont val="Myanmar Sangam MN"/>
        <b/>
        <color theme="1"/>
        <sz val="10.0"/>
      </rPr>
      <t>၃၄၅၃၄၄၀</t>
    </r>
  </si>
  <si>
    <r>
      <rPr>
        <rFont val="Myanmar Sangam MN"/>
        <b/>
        <color theme="1"/>
        <sz val="10.0"/>
      </rPr>
      <t>၁၅၀</t>
    </r>
  </si>
  <si>
    <r>
      <rPr>
        <rFont val="Myanmar Sangam MN"/>
        <b/>
        <color theme="1"/>
        <sz val="10.0"/>
      </rPr>
      <t>မဲဆနယ်အမှတ်(၁)</t>
    </r>
  </si>
  <si>
    <r>
      <rPr>
        <rFont val="Myanmar Sangam MN"/>
        <b/>
        <color theme="1"/>
        <sz val="10.0"/>
      </rPr>
      <t>၃၈၀၇၈၈</t>
    </r>
  </si>
  <si>
    <r>
      <rPr>
        <rFont val="Myanmar Sangam MN"/>
        <b/>
        <color theme="1"/>
        <sz val="10.0"/>
      </rPr>
      <t>၂၃၈၃၇၅</t>
    </r>
  </si>
  <si>
    <r>
      <rPr>
        <rFont val="Myanmar Sangam MN"/>
        <b/>
        <color theme="1"/>
        <sz val="10.0"/>
      </rPr>
      <t>၆၆၂၅၉</t>
    </r>
  </si>
  <si>
    <r>
      <rPr>
        <rFont val="Myanmar Sangam MN"/>
        <b/>
        <color theme="1"/>
        <sz val="10.0"/>
      </rPr>
      <t>၃၀၄၆၃၄</t>
    </r>
  </si>
  <si>
    <r>
      <rPr>
        <rFont val="Myanmar Sangam MN"/>
        <b/>
        <color theme="1"/>
        <sz val="10.0"/>
      </rPr>
      <t>၈၀.၀၀</t>
    </r>
  </si>
  <si>
    <r>
      <rPr>
        <rFont val="Myanmar Sangam MN"/>
        <b/>
        <color theme="1"/>
        <sz val="10.0"/>
      </rPr>
      <t>၈၁၀၅</t>
    </r>
  </si>
  <si>
    <r>
      <rPr>
        <rFont val="Myanmar Sangam MN"/>
        <b/>
        <color theme="1"/>
        <sz val="10.0"/>
      </rPr>
      <t>၄၅၂</t>
    </r>
  </si>
  <si>
    <r>
      <rPr>
        <rFont val="Myanmar Sangam MN"/>
        <b/>
        <color theme="1"/>
        <sz val="10.0"/>
      </rPr>
      <t>၈၅၅၇</t>
    </r>
  </si>
  <si>
    <r>
      <rPr>
        <rFont val="Myanmar Sangam MN"/>
        <b/>
        <color theme="1"/>
        <sz val="10.0"/>
      </rPr>
      <t>၂၃၀၈၅၂</t>
    </r>
  </si>
  <si>
    <r>
      <rPr>
        <rFont val="Myanmar Sangam MN"/>
        <b/>
        <color theme="1"/>
        <sz val="10.0"/>
      </rPr>
      <t>၆၅၂၂၅</t>
    </r>
  </si>
  <si>
    <r>
      <rPr>
        <rFont val="Myanmar Sangam MN"/>
        <b/>
        <color theme="1"/>
        <sz val="10.0"/>
      </rPr>
      <t>၂၉၆၀၇၇</t>
    </r>
  </si>
  <si>
    <r>
      <rPr>
        <rFont val="Myanmar Sangam MN"/>
        <color theme="1"/>
        <sz val="10.0"/>
      </rPr>
      <t>ဦးေအာင်ေကျာ်မိုး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</si>
  <si>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</si>
  <si>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၁၃၆၉၇၈</t>
    </r>
  </si>
  <si>
    <r>
      <rPr>
        <rFont val="Myanmar Sangam MN"/>
        <color theme="1"/>
        <sz val="10.0"/>
      </rPr>
      <t>၃၇၁၉၇</t>
    </r>
  </si>
  <si>
    <r>
      <rPr>
        <rFont val="Myanmar Sangam MN"/>
        <color theme="1"/>
        <sz val="10.0"/>
      </rPr>
      <t>၁၇၄၁၇၅</t>
    </r>
  </si>
  <si>
    <r>
      <rPr>
        <rFont val="Myanmar Sangam MN"/>
        <b/>
        <color theme="1"/>
        <sz val="9.0"/>
      </rPr>
      <t>၅၈.၈၃%</t>
    </r>
  </si>
  <si>
    <r>
      <rPr>
        <rFont val="Myanmar Sangam MN"/>
        <color theme="1"/>
        <sz val="10.0"/>
      </rPr>
      <t>ဦးစိုးဝင်း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</si>
  <si>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</si>
  <si>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၈၆၉၉၂</t>
    </r>
  </si>
  <si>
    <r>
      <rPr>
        <rFont val="Myanmar Sangam MN"/>
        <color theme="1"/>
        <sz val="10.0"/>
      </rPr>
      <t>၂၅၇၉၄</t>
    </r>
  </si>
  <si>
    <r>
      <rPr>
        <rFont val="Myanmar Sangam MN"/>
        <color theme="1"/>
        <sz val="10.0"/>
      </rPr>
      <t>၁၁၂၇၈၆</t>
    </r>
  </si>
  <si>
    <r>
      <rPr>
        <rFont val="Myanmar Sangam MN"/>
        <b/>
        <color theme="1"/>
        <sz val="9.0"/>
      </rPr>
      <t>၃၈.၀၉%</t>
    </r>
  </si>
  <si>
    <r>
      <rPr>
        <rFont val="Myanmar Sangam MN"/>
        <color theme="1"/>
        <sz val="10.0"/>
      </rPr>
      <t>ဦးေအာင်သက်ခိုင်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</si>
  <si>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</si>
  <si>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၆၈၈၂</t>
    </r>
  </si>
  <si>
    <r>
      <rPr>
        <rFont val="Myanmar Sangam MN"/>
        <color theme="1"/>
        <sz val="10.0"/>
      </rPr>
      <t>၂၂၃၄</t>
    </r>
  </si>
  <si>
    <r>
      <rPr>
        <rFont val="Myanmar Sangam MN"/>
        <color theme="1"/>
        <sz val="10.0"/>
      </rPr>
      <t>၉၁၁၆</t>
    </r>
  </si>
  <si>
    <r>
      <rPr>
        <rFont val="Myanmar Sangam MN"/>
        <b/>
        <color theme="1"/>
        <sz val="9.0"/>
      </rPr>
      <t>၃.၀၈%</t>
    </r>
  </si>
  <si>
    <r>
      <rPr>
        <rFont val="Myanmar Sangam MN"/>
        <b/>
        <color theme="1"/>
        <sz val="10.0"/>
      </rPr>
      <t>၁၅၁</t>
    </r>
  </si>
  <si>
    <r>
      <rPr>
        <rFont val="Myanmar Sangam MN"/>
        <b/>
        <color theme="1"/>
        <sz val="10.0"/>
      </rPr>
      <t>မဲဆနယ်အမှတ်(၂)</t>
    </r>
  </si>
  <si>
    <r>
      <rPr>
        <rFont val="Myanmar Sangam MN"/>
        <b/>
        <color theme="1"/>
        <sz val="10.0"/>
      </rPr>
      <t>၃၄၇၉၆၈</t>
    </r>
  </si>
  <si>
    <r>
      <rPr>
        <rFont val="Myanmar Sangam MN"/>
        <b/>
        <color theme="1"/>
        <sz val="10.0"/>
      </rPr>
      <t>၁၉၅၈၀၉</t>
    </r>
  </si>
  <si>
    <r>
      <rPr>
        <rFont val="Myanmar Sangam MN"/>
        <b/>
        <color theme="1"/>
        <sz val="10.0"/>
      </rPr>
      <t>၇၀၆၉၄</t>
    </r>
  </si>
  <si>
    <r>
      <rPr>
        <rFont val="Myanmar Sangam MN"/>
        <b/>
        <color theme="1"/>
        <sz val="10.0"/>
      </rPr>
      <t>၂၆၆၅၀၃</t>
    </r>
  </si>
  <si>
    <r>
      <rPr>
        <rFont val="Myanmar Sangam MN"/>
        <b/>
        <color theme="1"/>
        <sz val="10.0"/>
      </rPr>
      <t>၇၆.၅၉</t>
    </r>
  </si>
  <si>
    <r>
      <rPr>
        <rFont val="Myanmar Sangam MN"/>
        <b/>
        <color theme="1"/>
        <sz val="10.0"/>
      </rPr>
      <t>၆၀၇၇</t>
    </r>
  </si>
  <si>
    <r>
      <rPr>
        <rFont val="Myanmar Sangam MN"/>
        <b/>
        <color theme="1"/>
        <sz val="10.0"/>
      </rPr>
      <t>၄၆၆</t>
    </r>
  </si>
  <si>
    <r>
      <rPr>
        <rFont val="Myanmar Sangam MN"/>
        <b/>
        <color theme="1"/>
        <sz val="10.0"/>
      </rPr>
      <t>၆၅၄၃</t>
    </r>
  </si>
  <si>
    <r>
      <rPr>
        <rFont val="Myanmar Sangam MN"/>
        <b/>
        <color theme="1"/>
        <sz val="10.0"/>
      </rPr>
      <t>၁၉၀၂၁၇</t>
    </r>
  </si>
  <si>
    <r>
      <rPr>
        <rFont val="Myanmar Sangam MN"/>
        <b/>
        <color theme="1"/>
        <sz val="10.0"/>
      </rPr>
      <t>၆၉၇၄၃</t>
    </r>
  </si>
  <si>
    <r>
      <rPr>
        <rFont val="Myanmar Sangam MN"/>
        <b/>
        <color theme="1"/>
        <sz val="10.0"/>
      </rPr>
      <t>၂၅၉၉၆၀</t>
    </r>
  </si>
  <si>
    <r>
      <rPr>
        <rFont val="Myanmar Sangam MN"/>
        <color theme="1"/>
        <sz val="10.0"/>
      </rPr>
      <t>ဦးေဂျာ်နီ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</si>
  <si>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</si>
  <si>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၁၃၅၀၃၅</t>
    </r>
  </si>
  <si>
    <r>
      <rPr>
        <rFont val="Myanmar Sangam MN"/>
        <color theme="1"/>
        <sz val="10.0"/>
      </rPr>
      <t>၄၇၉၉၂</t>
    </r>
  </si>
  <si>
    <r>
      <rPr>
        <rFont val="Myanmar Sangam MN"/>
        <color theme="1"/>
        <sz val="10.0"/>
      </rPr>
      <t>၁၈၃၀၂၇</t>
    </r>
  </si>
  <si>
    <r>
      <rPr>
        <rFont val="Myanmar Sangam MN"/>
        <b/>
        <color theme="1"/>
        <sz val="9.0"/>
      </rPr>
      <t>၇၀.၄၁%</t>
    </r>
  </si>
  <si>
    <r>
      <rPr>
        <rFont val="Myanmar Sangam MN"/>
        <color theme="1"/>
        <sz val="10.0"/>
      </rPr>
      <t>ဦးေကျာ်ေကျာ်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</si>
  <si>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</si>
  <si>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၅၂၃၀၇</t>
    </r>
  </si>
  <si>
    <r>
      <rPr>
        <rFont val="Myanmar Sangam MN"/>
        <color theme="1"/>
        <sz val="10.0"/>
      </rPr>
      <t>၂၀၂၆၇</t>
    </r>
  </si>
  <si>
    <r>
      <rPr>
        <rFont val="Myanmar Sangam MN"/>
        <color theme="1"/>
        <sz val="10.0"/>
      </rPr>
      <t>၇၂၅၇၄</t>
    </r>
  </si>
  <si>
    <r>
      <rPr>
        <rFont val="Myanmar Sangam MN"/>
        <b/>
        <color theme="1"/>
        <sz val="9.0"/>
      </rPr>
      <t>၂၇.၉၂%</t>
    </r>
  </si>
  <si>
    <r>
      <rPr>
        <rFont val="Myanmar Sangam MN"/>
        <color theme="1"/>
        <sz val="10.0"/>
      </rPr>
      <t>နန ်သန်းြမင့်ကည်</t>
    </r>
  </si>
  <si>
    <r>
      <rPr>
        <rFont val="Myanmar Sangam MN"/>
        <color rgb="FF000000"/>
        <sz val="10.0"/>
      </rPr>
      <t xml:space="preserve">ြမန်မာိုင်ငံေတာင်သူလယ်သမားအလုပ်သမား
</t>
    </r>
    <r>
      <rPr>
        <rFont val="Myanmar Sangam MN"/>
        <color rgb="FF000000"/>
        <sz val="10.0"/>
      </rPr>
      <t>ြပည်သူ ပါတီ</t>
    </r>
  </si>
  <si>
    <r>
      <rPr>
        <rFont val="Myanmar Sangam MN"/>
        <color theme="1"/>
        <sz val="10.0"/>
      </rPr>
      <t>၁၆၀၉</t>
    </r>
  </si>
  <si>
    <r>
      <rPr>
        <rFont val="Myanmar Sangam MN"/>
        <color theme="1"/>
        <sz val="10.0"/>
      </rPr>
      <t>၇၈၁</t>
    </r>
  </si>
  <si>
    <r>
      <rPr>
        <rFont val="Myanmar Sangam MN"/>
        <color theme="1"/>
        <sz val="10.0"/>
      </rPr>
      <t>၂၃၉၀</t>
    </r>
  </si>
  <si>
    <r>
      <rPr>
        <rFont val="Myanmar Sangam MN"/>
        <b/>
        <color theme="1"/>
        <sz val="9.0"/>
      </rPr>
      <t>၀.၉၂%</t>
    </r>
  </si>
  <si>
    <r>
      <rPr>
        <rFont val="Myanmar Sangam MN"/>
        <color theme="1"/>
        <sz val="10.0"/>
      </rPr>
      <t>ဦးသန်းလွင်(ခ) ဦးသိန်းေဇာ်(ေရ လီဦး)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</si>
  <si>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</si>
  <si>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၁၂၆၆</t>
    </r>
  </si>
  <si>
    <r>
      <rPr>
        <rFont val="Myanmar Sangam MN"/>
        <color theme="1"/>
        <sz val="10.0"/>
      </rPr>
      <t>၇၀၃</t>
    </r>
  </si>
  <si>
    <r>
      <rPr>
        <rFont val="Myanmar Sangam MN"/>
        <color theme="1"/>
        <sz val="10.0"/>
      </rPr>
      <t>၁၉၆၉</t>
    </r>
  </si>
  <si>
    <r>
      <rPr>
        <rFont val="Myanmar Sangam MN"/>
        <b/>
        <color theme="1"/>
        <sz val="9.0"/>
      </rPr>
      <t>၀.၇၅%</t>
    </r>
  </si>
  <si>
    <r>
      <rPr>
        <rFont val="Myanmar Sangam MN"/>
        <b/>
        <color theme="1"/>
        <sz val="10.0"/>
      </rPr>
      <t>၁၅၂</t>
    </r>
  </si>
  <si>
    <r>
      <rPr>
        <rFont val="Myanmar Sangam MN"/>
        <b/>
        <color theme="1"/>
        <sz val="10.0"/>
      </rPr>
      <t>မဲဆနယ်အမှတ်(၃)</t>
    </r>
  </si>
  <si>
    <r>
      <rPr>
        <rFont val="Myanmar Sangam MN"/>
        <b/>
        <color theme="1"/>
        <sz val="10.0"/>
      </rPr>
      <t>၅၁၃၃၉၂</t>
    </r>
  </si>
  <si>
    <r>
      <rPr>
        <rFont val="Myanmar Sangam MN"/>
        <b/>
        <color theme="1"/>
        <sz val="10.0"/>
      </rPr>
      <t>၂၈၉၈၃၀</t>
    </r>
  </si>
  <si>
    <r>
      <rPr>
        <rFont val="Myanmar Sangam MN"/>
        <b/>
        <color theme="1"/>
        <sz val="10.0"/>
      </rPr>
      <t>၈၅၈၆၉</t>
    </r>
  </si>
  <si>
    <r>
      <rPr>
        <rFont val="Myanmar Sangam MN"/>
        <b/>
        <color theme="1"/>
        <sz val="10.0"/>
      </rPr>
      <t>၃၇၅၆၉၉</t>
    </r>
  </si>
  <si>
    <r>
      <rPr>
        <rFont val="Myanmar Sangam MN"/>
        <b/>
        <color theme="1"/>
        <sz val="10.0"/>
      </rPr>
      <t>၇၃.၁၈</t>
    </r>
  </si>
  <si>
    <r>
      <rPr>
        <rFont val="Myanmar Sangam MN"/>
        <b/>
        <color theme="1"/>
        <sz val="10.0"/>
      </rPr>
      <t>၉၄၁၂</t>
    </r>
  </si>
  <si>
    <r>
      <rPr>
        <rFont val="Myanmar Sangam MN"/>
        <b/>
        <color theme="1"/>
        <sz val="10.0"/>
      </rPr>
      <t>၁၄၅</t>
    </r>
  </si>
  <si>
    <r>
      <rPr>
        <rFont val="Myanmar Sangam MN"/>
        <b/>
        <color theme="1"/>
        <sz val="10.0"/>
      </rPr>
      <t>၉၅၅၇</t>
    </r>
  </si>
  <si>
    <r>
      <rPr>
        <rFont val="Myanmar Sangam MN"/>
        <b/>
        <color theme="1"/>
        <sz val="10.0"/>
      </rPr>
      <t>၂၈၀၃၀၆</t>
    </r>
  </si>
  <si>
    <r>
      <rPr>
        <rFont val="Myanmar Sangam MN"/>
        <b/>
        <color theme="1"/>
        <sz val="10.0"/>
      </rPr>
      <t>၈၅၈၃၆</t>
    </r>
  </si>
  <si>
    <r>
      <rPr>
        <rFont val="Myanmar Sangam MN"/>
        <b/>
        <color theme="1"/>
        <sz val="10.0"/>
      </rPr>
      <t>၃၆၆၁၄၂</t>
    </r>
  </si>
  <si>
    <r>
      <rPr>
        <rFont val="Myanmar Sangam MN"/>
        <color theme="1"/>
        <sz val="10.0"/>
      </rPr>
      <t>ဦးတင်ထွဋ်လင်း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</si>
  <si>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</si>
  <si>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၁၈၃၀၅၃</t>
    </r>
  </si>
  <si>
    <r>
      <rPr>
        <rFont val="Myanmar Sangam MN"/>
        <color theme="1"/>
        <sz val="10.0"/>
      </rPr>
      <t>၅၂၉၁၅</t>
    </r>
  </si>
  <si>
    <r>
      <rPr>
        <rFont val="Myanmar Sangam MN"/>
        <color theme="1"/>
        <sz val="10.0"/>
      </rPr>
      <t>၂၃၅၉၆၈</t>
    </r>
  </si>
  <si>
    <r>
      <rPr>
        <rFont val="Myanmar Sangam MN"/>
        <b/>
        <color theme="1"/>
        <sz val="9.0"/>
      </rPr>
      <t>၆၄.၄၅%</t>
    </r>
  </si>
  <si>
    <r>
      <rPr>
        <rFont val="Myanmar Sangam MN"/>
        <color theme="1"/>
        <sz val="10.0"/>
      </rPr>
      <t>ဦးေအာင်ြမင့်သိန်း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</si>
  <si>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</si>
  <si>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၈၈၈၀၀</t>
    </r>
  </si>
  <si>
    <r>
      <rPr>
        <rFont val="Myanmar Sangam MN"/>
        <color theme="1"/>
        <sz val="10.0"/>
      </rPr>
      <t>၃၀၀၉၀</t>
    </r>
  </si>
  <si>
    <r>
      <rPr>
        <rFont val="Myanmar Sangam MN"/>
        <color theme="1"/>
        <sz val="10.0"/>
      </rPr>
      <t>၁၁၈၈၉၀</t>
    </r>
  </si>
  <si>
    <r>
      <rPr>
        <rFont val="Myanmar Sangam MN"/>
        <b/>
        <color theme="1"/>
        <sz val="9.0"/>
      </rPr>
      <t>၃၂.၄၇%</t>
    </r>
  </si>
  <si>
    <r>
      <rPr>
        <rFont val="Myanmar Sangam MN"/>
        <color theme="1"/>
        <sz val="10.0"/>
      </rPr>
      <t>ဦးေအးဟန်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</si>
  <si>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</si>
  <si>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၅၃၈၄</t>
    </r>
  </si>
  <si>
    <r>
      <rPr>
        <rFont val="Myanmar Sangam MN"/>
        <color theme="1"/>
        <sz val="10.0"/>
      </rPr>
      <t>၁၈၁၃</t>
    </r>
  </si>
  <si>
    <r>
      <rPr>
        <rFont val="Myanmar Sangam MN"/>
        <color theme="1"/>
        <sz val="10.0"/>
      </rPr>
      <t>၇၁၉၇</t>
    </r>
  </si>
  <si>
    <r>
      <rPr>
        <rFont val="Myanmar Sangam MN"/>
        <b/>
        <color theme="1"/>
        <sz val="9.0"/>
      </rPr>
      <t>၁.၉၆%</t>
    </r>
  </si>
  <si>
    <r>
      <rPr>
        <rFont val="Myanmar Sangam MN"/>
        <color theme="1"/>
        <sz val="10.0"/>
      </rPr>
      <t>ဦးြမတ်သူလင်း</t>
    </r>
  </si>
  <si>
    <r>
      <rPr>
        <rFont val="Myanmar Sangam MN"/>
        <color theme="1"/>
        <sz val="10.0"/>
      </rPr>
      <t>ြပည်သူ ေရှေဆာင်ပါတီ</t>
    </r>
  </si>
  <si>
    <r>
      <rPr>
        <rFont val="Myanmar Sangam MN"/>
        <color theme="1"/>
        <sz val="10.0"/>
      </rPr>
      <t>၃၀၆၉</t>
    </r>
  </si>
  <si>
    <r>
      <rPr>
        <rFont val="Myanmar Sangam MN"/>
        <color theme="1"/>
        <sz val="10.0"/>
      </rPr>
      <t>၁၀၁၈</t>
    </r>
  </si>
  <si>
    <r>
      <rPr>
        <rFont val="Myanmar Sangam MN"/>
        <color theme="1"/>
        <sz val="10.0"/>
      </rPr>
      <t>၄၀၈၇</t>
    </r>
  </si>
  <si>
    <r>
      <rPr>
        <rFont val="Myanmar Sangam MN"/>
        <b/>
        <color theme="1"/>
        <sz val="9.0"/>
      </rPr>
      <t>၁.၁၂%</t>
    </r>
  </si>
  <si>
    <r>
      <rPr>
        <rFont val="Myanmar Sangam MN"/>
        <b/>
        <color theme="1"/>
        <sz val="10.0"/>
      </rPr>
      <t>၁၅၃</t>
    </r>
  </si>
  <si>
    <r>
      <rPr>
        <rFont val="Myanmar Sangam MN"/>
        <b/>
        <color theme="1"/>
        <sz val="10.0"/>
      </rPr>
      <t>မဲဆနယ်အမှတ်(၄)</t>
    </r>
  </si>
  <si>
    <r>
      <rPr>
        <rFont val="Myanmar Sangam MN"/>
        <b/>
        <color theme="1"/>
        <sz val="10.0"/>
      </rPr>
      <t>၃၅၃၅၈၂</t>
    </r>
  </si>
  <si>
    <r>
      <rPr>
        <rFont val="Myanmar Sangam MN"/>
        <b/>
        <color theme="1"/>
        <sz val="10.0"/>
      </rPr>
      <t>၂၁၀၆၉၃</t>
    </r>
  </si>
  <si>
    <r>
      <rPr>
        <rFont val="Myanmar Sangam MN"/>
        <b/>
        <color theme="1"/>
        <sz val="10.0"/>
      </rPr>
      <t>၅၀၆၆၀</t>
    </r>
  </si>
  <si>
    <r>
      <rPr>
        <rFont val="Myanmar Sangam MN"/>
        <b/>
        <color theme="1"/>
        <sz val="10.0"/>
      </rPr>
      <t>၂၆၁၃၅၃</t>
    </r>
  </si>
  <si>
    <r>
      <rPr>
        <rFont val="Myanmar Sangam MN"/>
        <b/>
        <color theme="1"/>
        <sz val="10.0"/>
      </rPr>
      <t>၇၃.၉၂</t>
    </r>
  </si>
  <si>
    <r>
      <rPr>
        <rFont val="Myanmar Sangam MN"/>
        <b/>
        <color theme="1"/>
        <sz val="10.0"/>
      </rPr>
      <t>၆၃၉၄</t>
    </r>
  </si>
  <si>
    <r>
      <rPr>
        <rFont val="Myanmar Sangam MN"/>
        <b/>
        <color theme="1"/>
        <sz val="10.0"/>
      </rPr>
      <t>၉၆</t>
    </r>
  </si>
  <si>
    <r>
      <rPr>
        <rFont val="Myanmar Sangam MN"/>
        <b/>
        <color theme="1"/>
        <sz val="10.0"/>
      </rPr>
      <t>၆၄၉၀</t>
    </r>
  </si>
  <si>
    <r>
      <rPr>
        <rFont val="Myanmar Sangam MN"/>
        <b/>
        <color theme="1"/>
        <sz val="10.0"/>
      </rPr>
      <t>၂၀၄၆၄၈</t>
    </r>
  </si>
  <si>
    <r>
      <rPr>
        <rFont val="Myanmar Sangam MN"/>
        <b/>
        <color theme="1"/>
        <sz val="10.0"/>
      </rPr>
      <t>၅၀၂၁၅</t>
    </r>
  </si>
  <si>
    <r>
      <rPr>
        <rFont val="Myanmar Sangam MN"/>
        <b/>
        <color theme="1"/>
        <sz val="10.0"/>
      </rPr>
      <t>၂၅၄၈၆၃</t>
    </r>
  </si>
  <si>
    <r>
      <rPr>
        <rFont val="Myanmar Sangam MN"/>
        <color theme="1"/>
        <sz val="10.0"/>
      </rPr>
      <t>ေဒေမသန်းွဲ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</si>
  <si>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</si>
  <si>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၁၂၁၄၇၆</t>
    </r>
  </si>
  <si>
    <r>
      <rPr>
        <rFont val="Myanmar Sangam MN"/>
        <color theme="1"/>
        <sz val="10.0"/>
      </rPr>
      <t>၂၉၂၄၀</t>
    </r>
  </si>
  <si>
    <r>
      <rPr>
        <rFont val="Myanmar Sangam MN"/>
        <color theme="1"/>
        <sz val="10.0"/>
      </rPr>
      <t>၁၅၀၇၁၆</t>
    </r>
  </si>
  <si>
    <r>
      <rPr>
        <rFont val="Myanmar Sangam MN"/>
        <b/>
        <color theme="1"/>
        <sz val="9.0"/>
      </rPr>
      <t>၅၉.၁၄%</t>
    </r>
  </si>
  <si>
    <r>
      <rPr>
        <rFont val="Myanmar Sangam MN"/>
        <color theme="1"/>
        <sz val="10.0"/>
      </rPr>
      <t>ဦးစန်းေမာင်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</si>
  <si>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</si>
  <si>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၈၀၈၀၈</t>
    </r>
  </si>
  <si>
    <r>
      <rPr>
        <rFont val="Myanmar Sangam MN"/>
        <color theme="1"/>
        <sz val="10.0"/>
      </rPr>
      <t>၂၀၁၂၀</t>
    </r>
  </si>
  <si>
    <r>
      <rPr>
        <rFont val="Myanmar Sangam MN"/>
        <color theme="1"/>
        <sz val="10.0"/>
      </rPr>
      <t>၁၀၀၉၂၈</t>
    </r>
  </si>
  <si>
    <r>
      <rPr>
        <rFont val="Myanmar Sangam MN"/>
        <b/>
        <color theme="1"/>
        <sz val="9.0"/>
      </rPr>
      <t>၃၉.၆၀%</t>
    </r>
  </si>
  <si>
    <r>
      <rPr>
        <rFont val="Myanmar Sangam MN"/>
        <color theme="1"/>
        <sz val="10.0"/>
      </rPr>
      <t>ဦးေကျာ်ဆင့်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</si>
  <si>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</si>
  <si>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၂၃၆၄</t>
    </r>
  </si>
  <si>
    <r>
      <rPr>
        <rFont val="Myanmar Sangam MN"/>
        <color theme="1"/>
        <sz val="10.0"/>
      </rPr>
      <t>၈၅၅</t>
    </r>
  </si>
  <si>
    <r>
      <rPr>
        <rFont val="Myanmar Sangam MN"/>
        <color theme="1"/>
        <sz val="10.0"/>
      </rPr>
      <t>၃၂၁၉</t>
    </r>
  </si>
  <si>
    <r>
      <rPr>
        <rFont val="Myanmar Sangam MN"/>
        <b/>
        <color theme="1"/>
        <sz val="9.0"/>
      </rPr>
      <t>၁.၂၆%</t>
    </r>
  </si>
  <si>
    <r>
      <rPr>
        <rFont val="Myanmar Sangam MN"/>
        <b/>
        <color theme="1"/>
        <sz val="10.0"/>
      </rPr>
      <t>၁၅၄</t>
    </r>
  </si>
  <si>
    <r>
      <rPr>
        <rFont val="Myanmar Sangam MN"/>
        <b/>
        <color theme="1"/>
        <sz val="10.0"/>
      </rPr>
      <t>မဲဆနယ်အမှတ်(၅)</t>
    </r>
  </si>
  <si>
    <r>
      <rPr>
        <rFont val="Myanmar Sangam MN"/>
        <b/>
        <color theme="1"/>
        <sz val="10.0"/>
      </rPr>
      <t>၃၆၇၃၂၄</t>
    </r>
  </si>
  <si>
    <r>
      <rPr>
        <rFont val="Myanmar Sangam MN"/>
        <b/>
        <color theme="1"/>
        <sz val="10.0"/>
      </rPr>
      <t>၂၀၂၇၁၆</t>
    </r>
  </si>
  <si>
    <r>
      <rPr>
        <rFont val="Myanmar Sangam MN"/>
        <b/>
        <color theme="1"/>
        <sz val="10.0"/>
      </rPr>
      <t>၅၄၇၀၉</t>
    </r>
  </si>
  <si>
    <r>
      <rPr>
        <rFont val="Myanmar Sangam MN"/>
        <b/>
        <color theme="1"/>
        <sz val="10.0"/>
      </rPr>
      <t>၂၅၇၄၂၅</t>
    </r>
  </si>
  <si>
    <r>
      <rPr>
        <rFont val="Myanmar Sangam MN"/>
        <b/>
        <color theme="1"/>
        <sz val="10.0"/>
      </rPr>
      <t>၇၀.၀၈</t>
    </r>
  </si>
  <si>
    <r>
      <rPr>
        <rFont val="Myanmar Sangam MN"/>
        <b/>
        <color theme="1"/>
        <sz val="10.0"/>
      </rPr>
      <t>၆၈၇၈</t>
    </r>
  </si>
  <si>
    <r>
      <rPr>
        <rFont val="Myanmar Sangam MN"/>
        <b/>
        <color theme="1"/>
        <sz val="10.0"/>
      </rPr>
      <t>၁၁၅</t>
    </r>
  </si>
  <si>
    <r>
      <rPr>
        <rFont val="Myanmar Sangam MN"/>
        <b/>
        <color theme="1"/>
        <sz val="10.0"/>
      </rPr>
      <t>၆၉၉၃</t>
    </r>
  </si>
  <si>
    <r>
      <rPr>
        <rFont val="Myanmar Sangam MN"/>
        <b/>
        <color theme="1"/>
        <sz val="10.0"/>
      </rPr>
      <t>၁၉၆၁၁၉</t>
    </r>
  </si>
  <si>
    <r>
      <rPr>
        <rFont val="Myanmar Sangam MN"/>
        <b/>
        <color theme="1"/>
        <sz val="10.0"/>
      </rPr>
      <t>၅၄၃၁၃</t>
    </r>
  </si>
  <si>
    <r>
      <rPr>
        <rFont val="Myanmar Sangam MN"/>
        <b/>
        <color theme="1"/>
        <sz val="10.0"/>
      </rPr>
      <t>၂၅၀၄၃၂</t>
    </r>
  </si>
  <si>
    <r>
      <rPr>
        <rFont val="Myanmar Sangam MN"/>
        <color theme="1"/>
        <sz val="10.0"/>
      </rPr>
      <t>ဦးသန်းေဆာင်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</si>
  <si>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</si>
  <si>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၁၃၁၂၉၂</t>
    </r>
  </si>
  <si>
    <r>
      <rPr>
        <rFont val="Myanmar Sangam MN"/>
        <color theme="1"/>
        <sz val="10.0"/>
      </rPr>
      <t>၃၄၅၀၅</t>
    </r>
  </si>
  <si>
    <r>
      <rPr>
        <rFont val="Myanmar Sangam MN"/>
        <color theme="1"/>
        <sz val="10.0"/>
      </rPr>
      <t>၁၆၅၇၉၇</t>
    </r>
  </si>
  <si>
    <r>
      <rPr>
        <rFont val="Myanmar Sangam MN"/>
        <b/>
        <color theme="1"/>
        <sz val="9.0"/>
      </rPr>
      <t>၆၆.၂၁%</t>
    </r>
  </si>
  <si>
    <r>
      <rPr>
        <rFont val="Myanmar Sangam MN"/>
        <color rgb="FF000000"/>
        <sz val="8.0"/>
      </rPr>
      <t xml:space="preserve">ေဒါက်တာြမတ်ြမတ်အုန်းခင်
</t>
    </r>
    <r>
      <rPr>
        <rFont val="Myanmar Sangam MN"/>
        <color rgb="FF000000"/>
        <sz val="8.0"/>
      </rPr>
      <t>(ခ)ေဘဘီအုန်း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</si>
  <si>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</si>
  <si>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၆၂၈၅၄</t>
    </r>
  </si>
  <si>
    <r>
      <rPr>
        <rFont val="Myanmar Sangam MN"/>
        <color theme="1"/>
        <sz val="10.0"/>
      </rPr>
      <t>၁၉၁၆၇</t>
    </r>
  </si>
  <si>
    <r>
      <rPr>
        <rFont val="Myanmar Sangam MN"/>
        <color theme="1"/>
        <sz val="10.0"/>
      </rPr>
      <t>၈၂၀၂၁</t>
    </r>
  </si>
  <si>
    <r>
      <rPr>
        <rFont val="Myanmar Sangam MN"/>
        <b/>
        <color theme="1"/>
        <sz val="9.0"/>
      </rPr>
      <t>၃၂.၇၅%</t>
    </r>
  </si>
  <si>
    <r>
      <rPr>
        <rFont val="Myanmar Sangam MN"/>
        <color theme="1"/>
        <sz val="10.0"/>
      </rPr>
      <t>ဦးလင်မျးိ 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</si>
  <si>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</si>
  <si>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၁၉၇၃</t>
    </r>
  </si>
  <si>
    <r>
      <rPr>
        <rFont val="Myanmar Sangam MN"/>
        <color theme="1"/>
        <sz val="10.0"/>
      </rPr>
      <t>၆၄၁</t>
    </r>
  </si>
  <si>
    <r>
      <rPr>
        <rFont val="Myanmar Sangam MN"/>
        <color theme="1"/>
        <sz val="10.0"/>
      </rPr>
      <t>၂၆၁၄</t>
    </r>
  </si>
  <si>
    <r>
      <rPr>
        <rFont val="Myanmar Sangam MN"/>
        <b/>
        <color theme="1"/>
        <sz val="9.0"/>
      </rPr>
      <t>၁.၀၄%</t>
    </r>
  </si>
  <si>
    <r>
      <rPr>
        <rFont val="Myanmar Sangam MN"/>
        <b/>
        <color theme="1"/>
        <sz val="10.0"/>
      </rPr>
      <t>၁၅၅</t>
    </r>
  </si>
  <si>
    <r>
      <rPr>
        <rFont val="Myanmar Sangam MN"/>
        <b/>
        <color theme="1"/>
        <sz val="10.0"/>
      </rPr>
      <t>မဲဆနယ်အမှတ်(၆)</t>
    </r>
  </si>
  <si>
    <r>
      <rPr>
        <rFont val="Myanmar Sangam MN"/>
        <b/>
        <color theme="1"/>
        <sz val="10.0"/>
      </rPr>
      <t>၄၁၈၀၁၂</t>
    </r>
  </si>
  <si>
    <r>
      <rPr>
        <rFont val="Myanmar Sangam MN"/>
        <b/>
        <color theme="1"/>
        <sz val="10.0"/>
      </rPr>
      <t>၂၅၃၈၃၆</t>
    </r>
  </si>
  <si>
    <r>
      <rPr>
        <rFont val="Myanmar Sangam MN"/>
        <b/>
        <color theme="1"/>
        <sz val="10.0"/>
      </rPr>
      <t>၆၇၄၃၁</t>
    </r>
  </si>
  <si>
    <r>
      <rPr>
        <rFont val="Myanmar Sangam MN"/>
        <b/>
        <color theme="1"/>
        <sz val="10.0"/>
      </rPr>
      <t>၃၂၁၂၆၇</t>
    </r>
  </si>
  <si>
    <r>
      <rPr>
        <rFont val="Myanmar Sangam MN"/>
        <b/>
        <color theme="1"/>
        <sz val="10.0"/>
      </rPr>
      <t>၇၆.၈၆</t>
    </r>
  </si>
  <si>
    <r>
      <rPr>
        <rFont val="Myanmar Sangam MN"/>
        <b/>
        <color theme="1"/>
        <sz val="10.0"/>
      </rPr>
      <t>၆၂၃၃</t>
    </r>
  </si>
  <si>
    <r>
      <rPr>
        <rFont val="Myanmar Sangam MN"/>
        <b/>
        <color theme="1"/>
        <sz val="10.0"/>
      </rPr>
      <t>၁၈၂</t>
    </r>
  </si>
  <si>
    <r>
      <rPr>
        <rFont val="Myanmar Sangam MN"/>
        <b/>
        <color theme="1"/>
        <sz val="10.0"/>
      </rPr>
      <t>၆၄၁၅</t>
    </r>
  </si>
  <si>
    <r>
      <rPr>
        <rFont val="Myanmar Sangam MN"/>
        <b/>
        <color theme="1"/>
        <sz val="10.0"/>
      </rPr>
      <t>၂၄၇၅၇၄</t>
    </r>
  </si>
  <si>
    <r>
      <rPr>
        <rFont val="Myanmar Sangam MN"/>
        <b/>
        <color theme="1"/>
        <sz val="10.0"/>
      </rPr>
      <t>၆၇၂၇၈</t>
    </r>
  </si>
  <si>
    <r>
      <rPr>
        <rFont val="Myanmar Sangam MN"/>
        <b/>
        <color theme="1"/>
        <sz val="10.0"/>
      </rPr>
      <t>၃၁၄၈၅၂</t>
    </r>
  </si>
  <si>
    <r>
      <rPr>
        <rFont val="Myanmar Sangam MN"/>
        <color theme="1"/>
        <sz val="10.0"/>
      </rPr>
      <t>ဦးစည်သူေအာင်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</si>
  <si>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</si>
  <si>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၁၅၆၆၇၆</t>
    </r>
  </si>
  <si>
    <r>
      <rPr>
        <rFont val="Myanmar Sangam MN"/>
        <color theme="1"/>
        <sz val="10.0"/>
      </rPr>
      <t>၄၀၉၈၇</t>
    </r>
  </si>
  <si>
    <r>
      <rPr>
        <rFont val="Myanmar Sangam MN"/>
        <color theme="1"/>
        <sz val="10.0"/>
      </rPr>
      <t>၁၉၇၆၆၃</t>
    </r>
  </si>
  <si>
    <r>
      <rPr>
        <rFont val="Myanmar Sangam MN"/>
        <b/>
        <color theme="1"/>
        <sz val="9.0"/>
      </rPr>
      <t>၆၂.၇၈%</t>
    </r>
  </si>
  <si>
    <r>
      <rPr>
        <rFont val="Myanmar Sangam MN"/>
        <color theme="1"/>
        <sz val="10.0"/>
      </rPr>
      <t>ဦးသက်လင်း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</si>
  <si>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</si>
  <si>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၈၈၂၄၀</t>
    </r>
  </si>
  <si>
    <r>
      <rPr>
        <rFont val="Myanmar Sangam MN"/>
        <color theme="1"/>
        <sz val="10.0"/>
      </rPr>
      <t>၂၅၃၂၈</t>
    </r>
  </si>
  <si>
    <r>
      <rPr>
        <rFont val="Myanmar Sangam MN"/>
        <color theme="1"/>
        <sz val="10.0"/>
      </rPr>
      <t>၁၁၃၅၆၈</t>
    </r>
  </si>
  <si>
    <r>
      <rPr>
        <rFont val="Myanmar Sangam MN"/>
        <b/>
        <color theme="1"/>
        <sz val="9.0"/>
      </rPr>
      <t>၃၆.၀၇%</t>
    </r>
  </si>
  <si>
    <r>
      <rPr>
        <rFont val="Myanmar Sangam MN"/>
        <color theme="1"/>
        <sz val="10.0"/>
      </rPr>
      <t>ဦးဝင်းကိင်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</si>
  <si>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</si>
  <si>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၂၆၅၈</t>
    </r>
  </si>
  <si>
    <r>
      <rPr>
        <rFont val="Myanmar Sangam MN"/>
        <color theme="1"/>
        <sz val="10.0"/>
      </rPr>
      <t>၉၆၃</t>
    </r>
  </si>
  <si>
    <r>
      <rPr>
        <rFont val="Myanmar Sangam MN"/>
        <color theme="1"/>
        <sz val="10.0"/>
      </rPr>
      <t>၃၆၂၁</t>
    </r>
  </si>
  <si>
    <r>
      <rPr>
        <rFont val="Myanmar Sangam MN"/>
        <b/>
        <color theme="1"/>
        <sz val="9.0"/>
      </rPr>
      <t>၁.၁၅%</t>
    </r>
  </si>
  <si>
    <r>
      <rPr>
        <rFont val="Myanmar Sangam MN"/>
        <b/>
        <color theme="1"/>
        <sz val="10.0"/>
      </rPr>
      <t>၁၅၆</t>
    </r>
  </si>
  <si>
    <r>
      <rPr>
        <rFont val="Myanmar Sangam MN"/>
        <b/>
        <color theme="1"/>
        <sz val="10.0"/>
      </rPr>
      <t>မဲဆနယ်အမှတ်(၇)</t>
    </r>
  </si>
  <si>
    <r>
      <rPr>
        <rFont val="Myanmar Sangam MN"/>
        <b/>
        <color theme="1"/>
        <sz val="10.0"/>
      </rPr>
      <t>၃၄၇၃၄၀</t>
    </r>
  </si>
  <si>
    <r>
      <rPr>
        <rFont val="Myanmar Sangam MN"/>
        <b/>
        <color theme="1"/>
        <sz val="10.0"/>
      </rPr>
      <t>၂၀၇၁၁၉</t>
    </r>
  </si>
  <si>
    <r>
      <rPr>
        <rFont val="Myanmar Sangam MN"/>
        <b/>
        <color theme="1"/>
        <sz val="10.0"/>
      </rPr>
      <t>၆၅၅၄၄</t>
    </r>
  </si>
  <si>
    <r>
      <rPr>
        <rFont val="Myanmar Sangam MN"/>
        <b/>
        <color theme="1"/>
        <sz val="10.0"/>
      </rPr>
      <t>၂၇၂၆၆၃</t>
    </r>
  </si>
  <si>
    <r>
      <rPr>
        <rFont val="Myanmar Sangam MN"/>
        <b/>
        <color theme="1"/>
        <sz val="10.0"/>
      </rPr>
      <t>၇၈.၅၀</t>
    </r>
  </si>
  <si>
    <r>
      <rPr>
        <rFont val="Myanmar Sangam MN"/>
        <b/>
        <color theme="1"/>
        <sz val="10.0"/>
      </rPr>
      <t>၇၃၁၆</t>
    </r>
  </si>
  <si>
    <r>
      <rPr>
        <rFont val="Myanmar Sangam MN"/>
        <b/>
        <color theme="1"/>
        <sz val="10.0"/>
      </rPr>
      <t>၆၃</t>
    </r>
  </si>
  <si>
    <r>
      <rPr>
        <rFont val="Myanmar Sangam MN"/>
        <b/>
        <color theme="1"/>
        <sz val="10.0"/>
      </rPr>
      <t>၇၃၇၉</t>
    </r>
  </si>
  <si>
    <r>
      <rPr>
        <rFont val="Myanmar Sangam MN"/>
        <b/>
        <color theme="1"/>
        <sz val="10.0"/>
      </rPr>
      <t>၂၀၀၇၁၆</t>
    </r>
  </si>
  <si>
    <r>
      <rPr>
        <rFont val="Myanmar Sangam MN"/>
        <b/>
        <color theme="1"/>
        <sz val="10.0"/>
      </rPr>
      <t>၆၄၅၆၈</t>
    </r>
  </si>
  <si>
    <r>
      <rPr>
        <rFont val="Myanmar Sangam MN"/>
        <b/>
        <color theme="1"/>
        <sz val="10.0"/>
      </rPr>
      <t>၂၆၅၂၈၄</t>
    </r>
  </si>
  <si>
    <r>
      <rPr>
        <rFont val="Myanmar Sangam MN"/>
        <color theme="1"/>
        <sz val="10.0"/>
      </rPr>
      <t>ဦးသန်းထွန်း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</si>
  <si>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</si>
  <si>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၁၂၉၅၀၄</t>
    </r>
  </si>
  <si>
    <r>
      <rPr>
        <rFont val="Myanmar Sangam MN"/>
        <color theme="1"/>
        <sz val="10.0"/>
      </rPr>
      <t>၃၉၉၉၆</t>
    </r>
  </si>
  <si>
    <r>
      <rPr>
        <rFont val="Myanmar Sangam MN"/>
        <color theme="1"/>
        <sz val="10.0"/>
      </rPr>
      <t>၁၆၉၅၀၀</t>
    </r>
  </si>
  <si>
    <r>
      <rPr>
        <rFont val="Myanmar Sangam MN"/>
        <b/>
        <color theme="1"/>
        <sz val="9.0"/>
      </rPr>
      <t>၆၃.၉၀%</t>
    </r>
  </si>
  <si>
    <r>
      <rPr>
        <rFont val="Myanmar Sangam MN"/>
        <color theme="1"/>
        <sz val="10.0"/>
      </rPr>
      <t>ဦးဝင်းသိန်း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</si>
  <si>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</si>
  <si>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၆၆၅၇၆</t>
    </r>
  </si>
  <si>
    <r>
      <rPr>
        <rFont val="Myanmar Sangam MN"/>
        <color theme="1"/>
        <sz val="10.0"/>
      </rPr>
      <t>၂၂၇၃၀</t>
    </r>
  </si>
  <si>
    <r>
      <rPr>
        <rFont val="Myanmar Sangam MN"/>
        <color theme="1"/>
        <sz val="10.0"/>
      </rPr>
      <t>၈၉၃၀၆</t>
    </r>
  </si>
  <si>
    <r>
      <rPr>
        <rFont val="Myanmar Sangam MN"/>
        <b/>
        <color theme="1"/>
        <sz val="9.0"/>
      </rPr>
      <t>၃၃.၆၆%</t>
    </r>
  </si>
  <si>
    <r>
      <rPr>
        <rFont val="Myanmar Sangam MN"/>
        <color theme="1"/>
        <sz val="10.0"/>
      </rPr>
      <t>ဦးေဇာ်မင်း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</si>
  <si>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</si>
  <si>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၄၆၃၆</t>
    </r>
  </si>
  <si>
    <r>
      <rPr>
        <rFont val="Myanmar Sangam MN"/>
        <color theme="1"/>
        <sz val="10.0"/>
      </rPr>
      <t>၁၈၄၂</t>
    </r>
  </si>
  <si>
    <r>
      <rPr>
        <rFont val="Myanmar Sangam MN"/>
        <color theme="1"/>
        <sz val="10.0"/>
      </rPr>
      <t>၆၄၇၈</t>
    </r>
  </si>
  <si>
    <r>
      <rPr>
        <rFont val="Myanmar Sangam MN"/>
        <b/>
        <color theme="1"/>
        <sz val="9.0"/>
      </rPr>
      <t>၂.၄၄%</t>
    </r>
  </si>
  <si>
    <r>
      <rPr>
        <rFont val="Myanmar Sangam MN"/>
        <b/>
        <color theme="1"/>
        <sz val="10.0"/>
      </rPr>
      <t>၁၅၇</t>
    </r>
  </si>
  <si>
    <r>
      <rPr>
        <rFont val="Myanmar Sangam MN"/>
        <b/>
        <color theme="1"/>
        <sz val="10.0"/>
      </rPr>
      <t>မဲဆနယ်အမှတ်(၈)</t>
    </r>
  </si>
  <si>
    <r>
      <rPr>
        <rFont val="Myanmar Sangam MN"/>
        <b/>
        <color theme="1"/>
        <sz val="10.0"/>
      </rPr>
      <t>၂၂၅၉၀၃</t>
    </r>
  </si>
  <si>
    <r>
      <rPr>
        <rFont val="Myanmar Sangam MN"/>
        <b/>
        <color theme="1"/>
        <sz val="10.0"/>
      </rPr>
      <t>၁၃၈၂၃၃</t>
    </r>
  </si>
  <si>
    <r>
      <rPr>
        <rFont val="Myanmar Sangam MN"/>
        <b/>
        <color theme="1"/>
        <sz val="10.0"/>
      </rPr>
      <t>၃၃၈၇၆</t>
    </r>
  </si>
  <si>
    <r>
      <rPr>
        <rFont val="Myanmar Sangam MN"/>
        <b/>
        <color theme="1"/>
        <sz val="10.0"/>
      </rPr>
      <t>၁၇၂၁၀၉</t>
    </r>
  </si>
  <si>
    <r>
      <rPr>
        <rFont val="Myanmar Sangam MN"/>
        <b/>
        <color theme="1"/>
        <sz val="10.0"/>
      </rPr>
      <t>၇၆.၁၉</t>
    </r>
  </si>
  <si>
    <r>
      <rPr>
        <rFont val="Myanmar Sangam MN"/>
        <b/>
        <color theme="1"/>
        <sz val="10.0"/>
      </rPr>
      <t>၅၀၁၀</t>
    </r>
  </si>
  <si>
    <r>
      <rPr>
        <rFont val="Myanmar Sangam MN"/>
        <b/>
        <color theme="1"/>
        <sz val="10.0"/>
      </rPr>
      <t>၉၃</t>
    </r>
  </si>
  <si>
    <r>
      <rPr>
        <rFont val="Myanmar Sangam MN"/>
        <b/>
        <color theme="1"/>
        <sz val="10.0"/>
      </rPr>
      <t>၅၁၀၃</t>
    </r>
  </si>
  <si>
    <r>
      <rPr>
        <rFont val="Myanmar Sangam MN"/>
        <b/>
        <color theme="1"/>
        <sz val="10.0"/>
      </rPr>
      <t>၁၃၃၁၆၈</t>
    </r>
  </si>
  <si>
    <r>
      <rPr>
        <rFont val="Myanmar Sangam MN"/>
        <b/>
        <color theme="1"/>
        <sz val="10.0"/>
      </rPr>
      <t>၃၃၈၃၈</t>
    </r>
  </si>
  <si>
    <r>
      <rPr>
        <rFont val="Myanmar Sangam MN"/>
        <b/>
        <color theme="1"/>
        <sz val="10.0"/>
      </rPr>
      <t>၁၆၇၀၀၆</t>
    </r>
  </si>
  <si>
    <r>
      <rPr>
        <rFont val="Myanmar Sangam MN"/>
        <color theme="1"/>
        <sz val="10.0"/>
      </rPr>
      <t>ဦးမန်းထွန်းကိင်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</si>
  <si>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</si>
  <si>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၈၁၃၄၂</t>
    </r>
  </si>
  <si>
    <r>
      <rPr>
        <rFont val="Myanmar Sangam MN"/>
        <color theme="1"/>
        <sz val="10.0"/>
      </rPr>
      <t>၁၉၃၁၉</t>
    </r>
  </si>
  <si>
    <r>
      <rPr>
        <rFont val="Myanmar Sangam MN"/>
        <color theme="1"/>
        <sz val="10.0"/>
      </rPr>
      <t>၁၀၀၆၆၁</t>
    </r>
  </si>
  <si>
    <r>
      <rPr>
        <rFont val="Myanmar Sangam MN"/>
        <b/>
        <color theme="1"/>
        <sz val="9.0"/>
      </rPr>
      <t>၆၀.၂၇%</t>
    </r>
  </si>
  <si>
    <r>
      <rPr>
        <rFont val="Myanmar Sangam MN"/>
        <color theme="1"/>
        <sz val="10.0"/>
      </rPr>
      <t>ဦးဝင်းကိုကို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</si>
  <si>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</si>
  <si>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၃၈၆၂၀</t>
    </r>
  </si>
  <si>
    <r>
      <rPr>
        <rFont val="Myanmar Sangam MN"/>
        <color theme="1"/>
        <sz val="10.0"/>
      </rPr>
      <t>၁၁၁၆၅</t>
    </r>
  </si>
  <si>
    <r>
      <rPr>
        <rFont val="Myanmar Sangam MN"/>
        <color theme="1"/>
        <sz val="10.0"/>
      </rPr>
      <t>၄၉၇၈၅</t>
    </r>
  </si>
  <si>
    <r>
      <rPr>
        <rFont val="Myanmar Sangam MN"/>
        <b/>
        <color theme="1"/>
        <sz val="9.0"/>
      </rPr>
      <t>၂၉.၈၁%</t>
    </r>
  </si>
  <si>
    <r>
      <rPr>
        <rFont val="Myanmar Sangam MN"/>
        <color theme="1"/>
        <sz val="10.0"/>
      </rPr>
      <t>ေဒါက်တာေစာစယ်ထူး</t>
    </r>
  </si>
  <si>
    <r>
      <rPr>
        <rFont val="Myanmar Sangam MN"/>
        <color theme="1"/>
        <sz val="10.0"/>
      </rPr>
      <t>ကရင်ြပည်သူ ပါတီ</t>
    </r>
  </si>
  <si>
    <r>
      <rPr>
        <rFont val="Myanmar Sangam MN"/>
        <color theme="1"/>
        <sz val="10.0"/>
      </rPr>
      <t>၁၁၄၃၃</t>
    </r>
  </si>
  <si>
    <r>
      <rPr>
        <rFont val="Myanmar Sangam MN"/>
        <color theme="1"/>
        <sz val="10.0"/>
      </rPr>
      <t>၂၇၄၅</t>
    </r>
  </si>
  <si>
    <r>
      <rPr>
        <rFont val="Myanmar Sangam MN"/>
        <color theme="1"/>
        <sz val="10.0"/>
      </rPr>
      <t>၁၄၁၇၈</t>
    </r>
  </si>
  <si>
    <r>
      <rPr>
        <rFont val="Myanmar Sangam MN"/>
        <b/>
        <color theme="1"/>
        <sz val="9.0"/>
      </rPr>
      <t>၈.၄၉%</t>
    </r>
  </si>
  <si>
    <r>
      <rPr>
        <rFont val="Myanmar Sangam MN"/>
        <color theme="1"/>
        <sz val="10.0"/>
      </rPr>
      <t>ေစာရိချတ်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</si>
  <si>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</si>
  <si>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၁၂၇၁</t>
    </r>
  </si>
  <si>
    <r>
      <rPr>
        <rFont val="Myanmar Sangam MN"/>
        <color theme="1"/>
        <sz val="10.0"/>
      </rPr>
      <t>၃၈၇</t>
    </r>
  </si>
  <si>
    <r>
      <rPr>
        <rFont val="Myanmar Sangam MN"/>
        <color theme="1"/>
        <sz val="10.0"/>
      </rPr>
      <t>၁၆၅၈</t>
    </r>
  </si>
  <si>
    <r>
      <rPr>
        <rFont val="Myanmar Sangam MN"/>
        <b/>
        <color theme="1"/>
        <sz val="9.0"/>
      </rPr>
      <t>၁.၀၀%</t>
    </r>
  </si>
  <si>
    <r>
      <rPr>
        <rFont val="Myanmar Sangam MN"/>
        <color theme="1"/>
        <sz val="10.0"/>
      </rPr>
      <t>ေစာဩဂတ်စတင်း</t>
    </r>
  </si>
  <si>
    <r>
      <rPr>
        <rFont val="Myanmar Sangam MN"/>
        <color theme="1"/>
        <sz val="10.0"/>
      </rPr>
      <t>ညီွတ်ေသာတိုင်းရင်းသားလူမျးိ များ ဒီမိုကေရစီပါတီ</t>
    </r>
  </si>
  <si>
    <r>
      <rPr>
        <rFont val="Myanmar Sangam MN"/>
        <color theme="1"/>
        <sz val="10.0"/>
      </rPr>
      <t>၅၀၂</t>
    </r>
  </si>
  <si>
    <r>
      <rPr>
        <rFont val="Myanmar Sangam MN"/>
        <color theme="1"/>
        <sz val="10.0"/>
      </rPr>
      <t>၂၂၂</t>
    </r>
  </si>
  <si>
    <r>
      <rPr>
        <rFont val="Myanmar Sangam MN"/>
        <color theme="1"/>
        <sz val="10.0"/>
      </rPr>
      <t>၇၂၄</t>
    </r>
  </si>
  <si>
    <r>
      <rPr>
        <rFont val="Myanmar Sangam MN"/>
        <b/>
        <color theme="1"/>
        <sz val="9.0"/>
      </rPr>
      <t>၀.၄၃%</t>
    </r>
  </si>
  <si>
    <r>
      <rPr>
        <rFont val="Myanmar Sangam MN"/>
        <b/>
        <color theme="1"/>
        <sz val="10.0"/>
      </rPr>
      <t>၁၅၈</t>
    </r>
  </si>
  <si>
    <r>
      <rPr>
        <rFont val="Myanmar Sangam MN"/>
        <b/>
        <color theme="1"/>
        <sz val="10.0"/>
      </rPr>
      <t>မဲဆနယ်အမှတ်(၉)</t>
    </r>
  </si>
  <si>
    <r>
      <rPr>
        <rFont val="Myanmar Sangam MN"/>
        <b/>
        <color theme="1"/>
        <sz val="10.0"/>
      </rPr>
      <t>၃၇၉၅၃၈</t>
    </r>
  </si>
  <si>
    <r>
      <rPr>
        <rFont val="Myanmar Sangam MN"/>
        <b/>
        <color theme="1"/>
        <sz val="10.0"/>
      </rPr>
      <t>၂၂၂၉၄၇</t>
    </r>
  </si>
  <si>
    <r>
      <rPr>
        <rFont val="Myanmar Sangam MN"/>
        <b/>
        <color theme="1"/>
        <sz val="10.0"/>
      </rPr>
      <t>၆၄၂၁၄</t>
    </r>
  </si>
  <si>
    <r>
      <rPr>
        <rFont val="Myanmar Sangam MN"/>
        <b/>
        <color theme="1"/>
        <sz val="10.0"/>
      </rPr>
      <t>၂၈၇၁၆၁</t>
    </r>
  </si>
  <si>
    <r>
      <rPr>
        <rFont val="Myanmar Sangam MN"/>
        <b/>
        <color theme="1"/>
        <sz val="10.0"/>
      </rPr>
      <t>၇၅.၆၆</t>
    </r>
  </si>
  <si>
    <r>
      <rPr>
        <rFont val="Myanmar Sangam MN"/>
        <b/>
        <color theme="1"/>
        <sz val="10.0"/>
      </rPr>
      <t>၉၂၂၅</t>
    </r>
  </si>
  <si>
    <r>
      <rPr>
        <rFont val="Myanmar Sangam MN"/>
        <b/>
        <color theme="1"/>
        <sz val="10.0"/>
      </rPr>
      <t>၂၇၉</t>
    </r>
  </si>
  <si>
    <r>
      <rPr>
        <rFont val="Myanmar Sangam MN"/>
        <b/>
        <color theme="1"/>
        <sz val="10.0"/>
      </rPr>
      <t>၉၅၀၄</t>
    </r>
  </si>
  <si>
    <r>
      <rPr>
        <rFont val="Myanmar Sangam MN"/>
        <b/>
        <color theme="1"/>
        <sz val="10.0"/>
      </rPr>
      <t>၂၁၃၄၅၅</t>
    </r>
  </si>
  <si>
    <r>
      <rPr>
        <rFont val="Myanmar Sangam MN"/>
        <b/>
        <color theme="1"/>
        <sz val="10.0"/>
      </rPr>
      <t>၆၄၂၀၂</t>
    </r>
  </si>
  <si>
    <r>
      <rPr>
        <rFont val="Myanmar Sangam MN"/>
        <b/>
        <color theme="1"/>
        <sz val="10.0"/>
      </rPr>
      <t>၂၇၇၆၅၇</t>
    </r>
  </si>
  <si>
    <r>
      <rPr>
        <rFont val="Myanmar Sangam MN"/>
        <color theme="1"/>
        <sz val="10.0"/>
      </rPr>
      <t>ေဒါက်တာြပည့်ဖိး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</si>
  <si>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</si>
  <si>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၁၃၁၉၂၆</t>
    </r>
  </si>
  <si>
    <r>
      <rPr>
        <rFont val="Myanmar Sangam MN"/>
        <color theme="1"/>
        <sz val="10.0"/>
      </rPr>
      <t>၃၉၄၉၇</t>
    </r>
  </si>
  <si>
    <r>
      <rPr>
        <rFont val="Myanmar Sangam MN"/>
        <color theme="1"/>
        <sz val="10.0"/>
      </rPr>
      <t>၁၇၁၄၂၃</t>
    </r>
  </si>
  <si>
    <r>
      <rPr>
        <rFont val="Myanmar Sangam MN"/>
        <b/>
        <color theme="1"/>
        <sz val="9.0"/>
      </rPr>
      <t>၆၁.၇၄%</t>
    </r>
  </si>
  <si>
    <r>
      <rPr>
        <rFont val="Myanmar Sangam MN"/>
        <color theme="1"/>
        <sz val="10.0"/>
      </rPr>
      <t>ဦးေအာင်ြမင့်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</si>
  <si>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</si>
  <si>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၆၉၃၁၉</t>
    </r>
  </si>
  <si>
    <r>
      <rPr>
        <rFont val="Myanmar Sangam MN"/>
        <color theme="1"/>
        <sz val="10.0"/>
      </rPr>
      <t>၂၀၇၀၂</t>
    </r>
  </si>
  <si>
    <r>
      <rPr>
        <rFont val="Myanmar Sangam MN"/>
        <color theme="1"/>
        <sz val="10.0"/>
      </rPr>
      <t>၉၀၀၂၁</t>
    </r>
  </si>
  <si>
    <r>
      <rPr>
        <rFont val="Myanmar Sangam MN"/>
        <b/>
        <color theme="1"/>
        <sz val="9.0"/>
      </rPr>
      <t>၃၂.၄၂%</t>
    </r>
  </si>
  <si>
    <r>
      <rPr>
        <rFont val="Myanmar Sangam MN"/>
        <color theme="1"/>
        <sz val="10.0"/>
      </rPr>
      <t>ဦးေကျာ်ေအာင်</t>
    </r>
  </si>
  <si>
    <r>
      <rPr>
        <rFont val="Myanmar Sangam MN"/>
        <color rgb="FF000000"/>
        <sz val="10.0"/>
      </rPr>
      <t xml:space="preserve">ြမန်မာိုင်ငံေတာင်သူလယ်သမားအလုပ်သမား
</t>
    </r>
    <r>
      <rPr>
        <rFont val="Myanmar Sangam MN"/>
        <color rgb="FF000000"/>
        <sz val="10.0"/>
      </rPr>
      <t>ြပည်သူ ပါတီ</t>
    </r>
  </si>
  <si>
    <r>
      <rPr>
        <rFont val="Myanmar Sangam MN"/>
        <color theme="1"/>
        <sz val="10.0"/>
      </rPr>
      <t>၆၆၆၀</t>
    </r>
  </si>
  <si>
    <r>
      <rPr>
        <rFont val="Myanmar Sangam MN"/>
        <color theme="1"/>
        <sz val="10.0"/>
      </rPr>
      <t>၂၀၅၃</t>
    </r>
  </si>
  <si>
    <r>
      <rPr>
        <rFont val="Myanmar Sangam MN"/>
        <color theme="1"/>
        <sz val="10.0"/>
      </rPr>
      <t>၈၇၁၃</t>
    </r>
  </si>
  <si>
    <r>
      <rPr>
        <rFont val="Myanmar Sangam MN"/>
        <b/>
        <color theme="1"/>
        <sz val="9.0"/>
      </rPr>
      <t>၃.၁၄%</t>
    </r>
  </si>
  <si>
    <r>
      <rPr>
        <rFont val="Myanmar Sangam MN"/>
        <color theme="1"/>
        <sz val="10.0"/>
      </rPr>
      <t>ဦးဝင်းသန်း(ခ) ဖဒိုမန်းဝင်းသန်း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</si>
  <si>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</si>
  <si>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၅၅၅၀</t>
    </r>
  </si>
  <si>
    <r>
      <rPr>
        <rFont val="Myanmar Sangam MN"/>
        <color theme="1"/>
        <sz val="10.0"/>
      </rPr>
      <t>၁၉၅၀</t>
    </r>
  </si>
  <si>
    <r>
      <rPr>
        <rFont val="Myanmar Sangam MN"/>
        <color theme="1"/>
        <sz val="10.0"/>
      </rPr>
      <t>၇၅၀၀</t>
    </r>
  </si>
  <si>
    <r>
      <rPr>
        <rFont val="Myanmar Sangam MN"/>
        <b/>
        <color theme="1"/>
        <sz val="9.0"/>
      </rPr>
      <t>၂.၇၀%</t>
    </r>
  </si>
  <si>
    <r>
      <rPr>
        <rFont val="Myanmar Sangam MN"/>
        <b/>
        <color theme="1"/>
        <sz val="10.0"/>
      </rPr>
      <t>၁၅၉</t>
    </r>
  </si>
  <si>
    <r>
      <rPr>
        <rFont val="Myanmar Sangam MN"/>
        <b/>
        <color theme="1"/>
        <sz val="10.0"/>
      </rPr>
      <t>မဲဆနယ်အမှတ်(၁၀)</t>
    </r>
  </si>
  <si>
    <r>
      <rPr>
        <rFont val="Myanmar Sangam MN"/>
        <b/>
        <color theme="1"/>
        <sz val="10.0"/>
      </rPr>
      <t>၄၄၆၃၈၈</t>
    </r>
  </si>
  <si>
    <r>
      <rPr>
        <rFont val="Myanmar Sangam MN"/>
        <b/>
        <color theme="1"/>
        <sz val="10.0"/>
      </rPr>
      <t>၂၅၇၄၇၅</t>
    </r>
  </si>
  <si>
    <r>
      <rPr>
        <rFont val="Myanmar Sangam MN"/>
        <b/>
        <color theme="1"/>
        <sz val="10.0"/>
      </rPr>
      <t>၆၁၂၄၀</t>
    </r>
  </si>
  <si>
    <r>
      <rPr>
        <rFont val="Myanmar Sangam MN"/>
        <b/>
        <color theme="1"/>
        <sz val="10.0"/>
      </rPr>
      <t>၃၁၈၇၁၅</t>
    </r>
  </si>
  <si>
    <r>
      <rPr>
        <rFont val="Myanmar Sangam MN"/>
        <b/>
        <color theme="1"/>
        <sz val="10.0"/>
      </rPr>
      <t>၇၁.၄၀</t>
    </r>
  </si>
  <si>
    <r>
      <rPr>
        <rFont val="Myanmar Sangam MN"/>
        <b/>
        <color theme="1"/>
        <sz val="10.0"/>
      </rPr>
      <t>၁၀၅၀၃</t>
    </r>
  </si>
  <si>
    <r>
      <rPr>
        <rFont val="Myanmar Sangam MN"/>
        <b/>
        <color theme="1"/>
        <sz val="10.0"/>
      </rPr>
      <t>-</t>
    </r>
  </si>
  <si>
    <r>
      <rPr>
        <rFont val="Myanmar Sangam MN"/>
        <b/>
        <color theme="1"/>
        <sz val="10.0"/>
      </rPr>
      <t>၁၀၅၀၃</t>
    </r>
  </si>
  <si>
    <r>
      <rPr>
        <rFont val="Myanmar Sangam MN"/>
        <b/>
        <color theme="1"/>
        <sz val="10.0"/>
      </rPr>
      <t>၂၄၈၄၀၇</t>
    </r>
  </si>
  <si>
    <r>
      <rPr>
        <rFont val="Myanmar Sangam MN"/>
        <b/>
        <color theme="1"/>
        <sz val="10.0"/>
      </rPr>
      <t>၅၉၈၀၅</t>
    </r>
  </si>
  <si>
    <r>
      <rPr>
        <rFont val="Myanmar Sangam MN"/>
        <b/>
        <color theme="1"/>
        <sz val="10.0"/>
      </rPr>
      <t>၃၀၈၂၁၂</t>
    </r>
  </si>
  <si>
    <r>
      <rPr>
        <rFont val="Myanmar Sangam MN"/>
        <color theme="1"/>
        <sz val="10.0"/>
      </rPr>
      <t>ဦးချမ်းငိမ်းေကျာ်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</si>
  <si>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</si>
  <si>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၁၅၅၉၅၇</t>
    </r>
  </si>
  <si>
    <r>
      <rPr>
        <rFont val="Myanmar Sangam MN"/>
        <color theme="1"/>
        <sz val="10.0"/>
      </rPr>
      <t>၃၆၃၂၀</t>
    </r>
  </si>
  <si>
    <r>
      <rPr>
        <rFont val="Myanmar Sangam MN"/>
        <color theme="1"/>
        <sz val="10.0"/>
      </rPr>
      <t>၁၉၂၂၇၇</t>
    </r>
  </si>
  <si>
    <r>
      <rPr>
        <rFont val="Myanmar Sangam MN"/>
        <b/>
        <color theme="1"/>
        <sz val="9.0"/>
      </rPr>
      <t>၆၂.၃၉%</t>
    </r>
  </si>
  <si>
    <r>
      <rPr>
        <rFont val="Myanmar Sangam MN"/>
        <color theme="1"/>
        <sz val="10.0"/>
      </rPr>
      <t>ဦးထိန်လင်း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</si>
  <si>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</si>
  <si>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၈၇၇၆၄</t>
    </r>
  </si>
  <si>
    <r>
      <rPr>
        <rFont val="Myanmar Sangam MN"/>
        <color theme="1"/>
        <sz val="10.0"/>
      </rPr>
      <t>၂၂၅၅၁</t>
    </r>
  </si>
  <si>
    <r>
      <rPr>
        <rFont val="Myanmar Sangam MN"/>
        <color theme="1"/>
        <sz val="10.0"/>
      </rPr>
      <t>၁၁၀၃၁၅</t>
    </r>
  </si>
  <si>
    <r>
      <rPr>
        <rFont val="Myanmar Sangam MN"/>
        <b/>
        <color theme="1"/>
        <sz val="9.0"/>
      </rPr>
      <t>၃၅.၇၉%</t>
    </r>
  </si>
  <si>
    <r>
      <rPr>
        <rFont val="Myanmar Sangam MN"/>
        <color theme="1"/>
        <sz val="10.0"/>
      </rPr>
      <t>ဦးသန ်ေဇာ်ဦး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</si>
  <si>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</si>
  <si>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၄၆၈၆</t>
    </r>
  </si>
  <si>
    <r>
      <rPr>
        <rFont val="Myanmar Sangam MN"/>
        <color theme="1"/>
        <sz val="10.0"/>
      </rPr>
      <t>၉၃၄</t>
    </r>
  </si>
  <si>
    <r>
      <rPr>
        <rFont val="Myanmar Sangam MN"/>
        <color theme="1"/>
        <sz val="10.0"/>
      </rPr>
      <t>၅၆၂၀</t>
    </r>
  </si>
  <si>
    <r>
      <rPr>
        <rFont val="Myanmar Sangam MN"/>
        <b/>
        <color theme="1"/>
        <sz val="9.0"/>
      </rPr>
      <t>၁.၈၂%</t>
    </r>
  </si>
  <si>
    <r>
      <rPr>
        <rFont val="Myanmar Sangam MN"/>
        <b/>
        <color theme="1"/>
        <sz val="10.0"/>
      </rPr>
      <t>၁၆၀</t>
    </r>
  </si>
  <si>
    <r>
      <rPr>
        <rFont val="Myanmar Sangam MN"/>
        <b/>
        <color theme="1"/>
        <sz val="10.0"/>
      </rPr>
      <t>မဲဆနယ်အမှတ်(၁၁)</t>
    </r>
  </si>
  <si>
    <r>
      <rPr>
        <rFont val="Myanmar Sangam MN"/>
        <b/>
        <color theme="1"/>
        <sz val="10.0"/>
      </rPr>
      <t>၄၁၁၃၈၂</t>
    </r>
  </si>
  <si>
    <r>
      <rPr>
        <rFont val="Myanmar Sangam MN"/>
        <b/>
        <color theme="1"/>
        <sz val="10.0"/>
      </rPr>
      <t>၂၃၈၁၉၆</t>
    </r>
  </si>
  <si>
    <r>
      <rPr>
        <rFont val="Myanmar Sangam MN"/>
        <b/>
        <color theme="1"/>
        <sz val="10.0"/>
      </rPr>
      <t>၈၇၀၇၉</t>
    </r>
  </si>
  <si>
    <r>
      <rPr>
        <rFont val="Myanmar Sangam MN"/>
        <b/>
        <color theme="1"/>
        <sz val="10.0"/>
      </rPr>
      <t>၃၂၅၂၇၅</t>
    </r>
  </si>
  <si>
    <r>
      <rPr>
        <rFont val="Myanmar Sangam MN"/>
        <b/>
        <color theme="1"/>
        <sz val="10.0"/>
      </rPr>
      <t>၇၉.၀၇</t>
    </r>
  </si>
  <si>
    <r>
      <rPr>
        <rFont val="Myanmar Sangam MN"/>
        <b/>
        <color theme="1"/>
        <sz val="10.0"/>
      </rPr>
      <t>၆၄၁၉</t>
    </r>
  </si>
  <si>
    <r>
      <rPr>
        <rFont val="Myanmar Sangam MN"/>
        <b/>
        <color theme="1"/>
        <sz val="10.0"/>
      </rPr>
      <t>၄၄</t>
    </r>
  </si>
  <si>
    <r>
      <rPr>
        <rFont val="Myanmar Sangam MN"/>
        <b/>
        <color theme="1"/>
        <sz val="10.0"/>
      </rPr>
      <t>၆၄၆၃</t>
    </r>
  </si>
  <si>
    <r>
      <rPr>
        <rFont val="Myanmar Sangam MN"/>
        <b/>
        <color theme="1"/>
        <sz val="10.0"/>
      </rPr>
      <t>၂၃၃၂၂၇</t>
    </r>
  </si>
  <si>
    <r>
      <rPr>
        <rFont val="Myanmar Sangam MN"/>
        <b/>
        <color theme="1"/>
        <sz val="10.0"/>
      </rPr>
      <t>၈၅၅၈၅</t>
    </r>
  </si>
  <si>
    <r>
      <rPr>
        <rFont val="Myanmar Sangam MN"/>
        <b/>
        <color theme="1"/>
        <sz val="10.0"/>
      </rPr>
      <t>၃၁၈၈၁၂</t>
    </r>
  </si>
  <si>
    <r>
      <rPr>
        <rFont val="Myanmar Sangam MN"/>
        <color theme="1"/>
        <sz val="10.0"/>
      </rPr>
      <t>ဦးေဇယျာေအး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</si>
  <si>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</si>
  <si>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၁၆၁၉၀၅</t>
    </r>
  </si>
  <si>
    <r>
      <rPr>
        <rFont val="Myanmar Sangam MN"/>
        <color theme="1"/>
        <sz val="10.0"/>
      </rPr>
      <t>၅၅၈၈၀</t>
    </r>
  </si>
  <si>
    <r>
      <rPr>
        <rFont val="Myanmar Sangam MN"/>
        <color theme="1"/>
        <sz val="10.0"/>
      </rPr>
      <t>၂၁၇၇၈၅</t>
    </r>
  </si>
  <si>
    <r>
      <rPr>
        <rFont val="Myanmar Sangam MN"/>
        <b/>
        <color theme="1"/>
        <sz val="9.0"/>
      </rPr>
      <t>၆၈.၃၁%</t>
    </r>
  </si>
  <si>
    <r>
      <rPr>
        <rFont val="Myanmar Sangam MN"/>
        <color theme="1"/>
        <sz val="10.0"/>
      </rPr>
      <t>ဦးမျးိ သန ်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</si>
  <si>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</si>
  <si>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၆၉၀၃၅</t>
    </r>
  </si>
  <si>
    <r>
      <rPr>
        <rFont val="Myanmar Sangam MN"/>
        <color theme="1"/>
        <sz val="10.0"/>
      </rPr>
      <t>၂၈၆၄၈</t>
    </r>
  </si>
  <si>
    <r>
      <rPr>
        <rFont val="Myanmar Sangam MN"/>
        <color theme="1"/>
        <sz val="10.0"/>
      </rPr>
      <t>၉၇၆၈၃</t>
    </r>
  </si>
  <si>
    <r>
      <rPr>
        <rFont val="Myanmar Sangam MN"/>
        <b/>
        <color theme="1"/>
        <sz val="9.0"/>
      </rPr>
      <t>၃၀.၆၄%</t>
    </r>
  </si>
  <si>
    <r>
      <rPr>
        <rFont val="Myanmar Sangam MN"/>
        <color theme="1"/>
        <sz val="10.0"/>
      </rPr>
      <t>ဦးမင်းေအာင်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</si>
  <si>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</si>
  <si>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၂၂၈၇</t>
    </r>
  </si>
  <si>
    <r>
      <rPr>
        <rFont val="Myanmar Sangam MN"/>
        <color theme="1"/>
        <sz val="10.0"/>
      </rPr>
      <t>၁၀၅၇</t>
    </r>
  </si>
  <si>
    <r>
      <rPr>
        <rFont val="Myanmar Sangam MN"/>
        <color theme="1"/>
        <sz val="10.0"/>
      </rPr>
      <t>၃၃၄၄</t>
    </r>
  </si>
  <si>
    <r>
      <rPr>
        <rFont val="Myanmar Sangam MN"/>
        <b/>
        <color theme="1"/>
        <sz val="9.0"/>
      </rPr>
      <t>၁.၀၅%</t>
    </r>
  </si>
  <si>
    <r>
      <rPr>
        <rFont val="Myanmar Sangam MN"/>
        <b/>
        <color theme="1"/>
        <sz val="10.0"/>
      </rPr>
      <t>၁၆၁</t>
    </r>
  </si>
  <si>
    <r>
      <rPr>
        <rFont val="Myanmar Sangam MN"/>
        <b/>
        <color theme="1"/>
        <sz val="10.0"/>
      </rPr>
      <t>မဲဆနယ်အမှတ်(၁၂)</t>
    </r>
  </si>
  <si>
    <r>
      <rPr>
        <rFont val="Myanmar Sangam MN"/>
        <b/>
        <color theme="1"/>
        <sz val="10.0"/>
      </rPr>
      <t>၄၈၉၅၃၅</t>
    </r>
  </si>
  <si>
    <r>
      <rPr>
        <rFont val="Myanmar Sangam MN"/>
        <b/>
        <color theme="1"/>
        <sz val="10.0"/>
      </rPr>
      <t>၂၈၆၆၆၄</t>
    </r>
  </si>
  <si>
    <r>
      <rPr>
        <rFont val="Myanmar Sangam MN"/>
        <b/>
        <color theme="1"/>
        <sz val="10.0"/>
      </rPr>
      <t>၉၄၈၂၁</t>
    </r>
  </si>
  <si>
    <r>
      <rPr>
        <rFont val="Myanmar Sangam MN"/>
        <b/>
        <color theme="1"/>
        <sz val="10.0"/>
      </rPr>
      <t>၃၈၁၄၈၅</t>
    </r>
  </si>
  <si>
    <r>
      <rPr>
        <rFont val="Myanmar Sangam MN"/>
        <b/>
        <color theme="1"/>
        <sz val="10.0"/>
      </rPr>
      <t>၇၇.၉၃</t>
    </r>
  </si>
  <si>
    <r>
      <rPr>
        <rFont val="Myanmar Sangam MN"/>
        <b/>
        <color theme="1"/>
        <sz val="10.0"/>
      </rPr>
      <t>၇၂၅၂</t>
    </r>
  </si>
  <si>
    <r>
      <rPr>
        <rFont val="Myanmar Sangam MN"/>
        <b/>
        <color theme="1"/>
        <sz val="10.0"/>
      </rPr>
      <t>၉၀</t>
    </r>
  </si>
  <si>
    <r>
      <rPr>
        <rFont val="Myanmar Sangam MN"/>
        <b/>
        <color theme="1"/>
        <sz val="10.0"/>
      </rPr>
      <t>၇၃၄၂</t>
    </r>
  </si>
  <si>
    <r>
      <rPr>
        <rFont val="Myanmar Sangam MN"/>
        <b/>
        <color theme="1"/>
        <sz val="10.0"/>
      </rPr>
      <t>၂၇၉၅၈၈</t>
    </r>
  </si>
  <si>
    <r>
      <rPr>
        <rFont val="Myanmar Sangam MN"/>
        <b/>
        <color theme="1"/>
        <sz val="10.0"/>
      </rPr>
      <t>၉၄၅၅၅</t>
    </r>
  </si>
  <si>
    <r>
      <rPr>
        <rFont val="Myanmar Sangam MN"/>
        <b/>
        <color theme="1"/>
        <sz val="10.0"/>
      </rPr>
      <t>၃၇၄၁၄၃</t>
    </r>
  </si>
  <si>
    <r>
      <rPr>
        <rFont val="Myanmar Sangam MN"/>
        <color theme="1"/>
        <sz val="10.0"/>
      </rPr>
      <t>ဦးဝိုင်းေမာင်စိုး</t>
    </r>
  </si>
  <si>
    <r>
      <rPr>
        <rFont val="Myanmar Sangam MN"/>
        <color theme="1"/>
        <sz val="10.0"/>
      </rPr>
      <t>အမျးိ သားဒီမိုကေရစီအဖွဲချပ်ပါတီ</t>
    </r>
  </si>
  <si>
    <r>
      <rPr>
        <rFont val="Myanmar Sangam MN"/>
        <color theme="1"/>
        <sz val="10.0"/>
      </rPr>
      <t>၁၈၂၈၄၈</t>
    </r>
  </si>
  <si>
    <r>
      <rPr>
        <rFont val="Myanmar Sangam MN"/>
        <color theme="1"/>
        <sz val="10.0"/>
      </rPr>
      <t>၅၉၁၉၉</t>
    </r>
  </si>
  <si>
    <r>
      <rPr>
        <rFont val="Myanmar Sangam MN"/>
        <color theme="1"/>
        <sz val="10.0"/>
      </rPr>
      <t>၂၄၂၀၄၇</t>
    </r>
  </si>
  <si>
    <r>
      <rPr>
        <rFont val="Myanmar Sangam MN"/>
        <b/>
        <color theme="1"/>
        <sz val="9.0"/>
      </rPr>
      <t>၆၄.၆၉%</t>
    </r>
  </si>
  <si>
    <r>
      <rPr>
        <rFont val="Myanmar Sangam MN"/>
        <color theme="1"/>
        <sz val="10.0"/>
      </rPr>
      <t>ဦးတင်စိုး</t>
    </r>
  </si>
  <si>
    <r>
      <rPr>
        <rFont val="Myanmar Sangam MN"/>
        <color theme="1"/>
        <sz val="10.0"/>
      </rPr>
      <t>ြပည်ေထာင်စု ကံ့ခိုင်ေရးှင့်ဖွံဖိးေရးပါတီ</t>
    </r>
  </si>
  <si>
    <r>
      <rPr>
        <rFont val="Myanmar Sangam MN"/>
        <color theme="1"/>
        <sz val="10.0"/>
      </rPr>
      <t>၈၈၆၁၀</t>
    </r>
  </si>
  <si>
    <r>
      <rPr>
        <rFont val="Myanmar Sangam MN"/>
        <color theme="1"/>
        <sz val="10.0"/>
      </rPr>
      <t>၃၂၂၆၁</t>
    </r>
  </si>
  <si>
    <r>
      <rPr>
        <rFont val="Myanmar Sangam MN"/>
        <color theme="1"/>
        <sz val="10.0"/>
      </rPr>
      <t>၁၂၀၈၇၁</t>
    </r>
  </si>
  <si>
    <r>
      <rPr>
        <rFont val="Myanmar Sangam MN"/>
        <b/>
        <color theme="1"/>
        <sz val="9.0"/>
      </rPr>
      <t>၃၂.၃၁%</t>
    </r>
  </si>
  <si>
    <r>
      <rPr>
        <rFont val="Myanmar Sangam MN"/>
        <color theme="1"/>
        <sz val="10.0"/>
      </rPr>
      <t>ဦးေအာင်ြမင့်ခိုင်</t>
    </r>
  </si>
  <si>
    <r>
      <rPr>
        <rFont val="Myanmar Sangam MN"/>
        <color theme="1"/>
        <sz val="10.0"/>
      </rPr>
      <t>ြပည်ေထာင်စုေကာင်းကျးိ ေဆာင်ပါတီ</t>
    </r>
  </si>
  <si>
    <r>
      <rPr>
        <rFont val="Myanmar Sangam MN"/>
        <color theme="1"/>
        <sz val="10.0"/>
      </rPr>
      <t>၄၄၁၉</t>
    </r>
  </si>
  <si>
    <r>
      <rPr>
        <rFont val="Myanmar Sangam MN"/>
        <color theme="1"/>
        <sz val="10.0"/>
      </rPr>
      <t>၁၂၅၇</t>
    </r>
  </si>
  <si>
    <r>
      <rPr>
        <rFont val="Myanmar Sangam MN"/>
        <color theme="1"/>
        <sz val="10.0"/>
      </rPr>
      <t>၅၆၇၆</t>
    </r>
  </si>
  <si>
    <r>
      <rPr>
        <rFont val="Myanmar Sangam MN"/>
        <b/>
        <color theme="1"/>
        <sz val="9.0"/>
      </rPr>
      <t>၁.၅၂%</t>
    </r>
  </si>
  <si>
    <r>
      <rPr>
        <rFont val="Myanmar Sangam MN"/>
        <color theme="1"/>
        <sz val="10.0"/>
      </rPr>
      <t>ဦးတင်ကွန်း</t>
    </r>
  </si>
  <si>
    <r>
      <rPr>
        <rFont val="Myanmar Sangam MN"/>
        <color theme="1"/>
        <sz val="10.0"/>
      </rPr>
      <t>တိုင်းရင်းသားစည်းလုံးညီွတ်ေရးပါတီ</t>
    </r>
  </si>
  <si>
    <r>
      <rPr>
        <rFont val="Myanmar Sangam MN"/>
        <color theme="1"/>
        <sz val="10.0"/>
      </rPr>
      <t>၁၇၇၆</t>
    </r>
  </si>
  <si>
    <r>
      <rPr>
        <rFont val="Myanmar Sangam MN"/>
        <color theme="1"/>
        <sz val="10.0"/>
      </rPr>
      <t>၁၀၄၁</t>
    </r>
  </si>
  <si>
    <r>
      <rPr>
        <rFont val="Myanmar Sangam MN"/>
        <color theme="1"/>
        <sz val="10.0"/>
      </rPr>
      <t>၂၈၁၇</t>
    </r>
  </si>
  <si>
    <r>
      <rPr>
        <rFont val="Myanmar Sangam MN"/>
        <b/>
        <color theme="1"/>
        <sz val="9.0"/>
      </rPr>
      <t>၀.၇၅%</t>
    </r>
  </si>
  <si>
    <r>
      <rPr>
        <rFont val="Myanmar Sangam MN"/>
        <color theme="1"/>
        <sz val="10.0"/>
      </rPr>
      <t>ေဒခင်ချိ</t>
    </r>
  </si>
  <si>
    <r>
      <rPr>
        <rFont val="Myanmar Sangam MN"/>
        <color theme="1"/>
        <sz val="10.0"/>
      </rPr>
      <t>ြပည်သူ ပါတီ</t>
    </r>
  </si>
  <si>
    <r>
      <rPr>
        <rFont val="Myanmar Sangam MN"/>
        <color theme="1"/>
        <sz val="10.0"/>
      </rPr>
      <t>၁၃၃၆</t>
    </r>
  </si>
  <si>
    <r>
      <rPr>
        <rFont val="Myanmar Sangam MN"/>
        <color theme="1"/>
        <sz val="10.0"/>
      </rPr>
      <t>၅၅၅</t>
    </r>
  </si>
  <si>
    <r>
      <rPr>
        <rFont val="Myanmar Sangam MN"/>
        <color theme="1"/>
        <sz val="10.0"/>
      </rPr>
      <t>၁၈၉၁</t>
    </r>
  </si>
  <si>
    <r>
      <rPr>
        <rFont val="Myanmar Sangam MN"/>
        <b/>
        <color theme="1"/>
        <sz val="9.0"/>
      </rPr>
      <t>၀.၅၁%</t>
    </r>
  </si>
  <si>
    <r>
      <rPr>
        <rFont val="Myanmar Sangam MN"/>
        <color theme="1"/>
        <sz val="10.0"/>
      </rPr>
      <t>ဦးလှထွန်းေအာင်</t>
    </r>
  </si>
  <si>
    <r>
      <rPr>
        <rFont val="Myanmar Sangam MN"/>
        <color theme="1"/>
        <sz val="10.0"/>
      </rPr>
      <t>တစ်သီးပုဂလ</t>
    </r>
  </si>
  <si>
    <r>
      <rPr>
        <rFont val="Myanmar Sangam MN"/>
        <color theme="1"/>
        <sz val="10.0"/>
      </rPr>
      <t>၅၉၉</t>
    </r>
  </si>
  <si>
    <r>
      <rPr>
        <rFont val="Myanmar Sangam MN"/>
        <color theme="1"/>
        <sz val="10.0"/>
      </rPr>
      <t>၂၄၂</t>
    </r>
  </si>
  <si>
    <r>
      <rPr>
        <rFont val="Myanmar Sangam MN"/>
        <color theme="1"/>
        <sz val="10.0"/>
      </rPr>
      <t>၈၄၁</t>
    </r>
  </si>
  <si>
    <r>
      <rPr>
        <rFont val="Myanmar Sangam MN"/>
        <b/>
        <color theme="1"/>
        <sz val="9.0"/>
      </rPr>
      <t>၀.၂၂%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</si>
</sst>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Times New Roman"/>
    </font>
    <font>
      <b/>
      <sz val="12.0"/>
      <color theme="1"/>
      <name val="Myanmar sangam mn"/>
    </font>
    <font>
      <b/>
      <sz val="10.0"/>
      <color theme="1"/>
      <name val="Myanmar sangam mn"/>
    </font>
    <font/>
    <font>
      <b/>
      <sz val="9.0"/>
      <color theme="1"/>
      <name val="Myanmar sangam mn"/>
    </font>
    <font>
      <color theme="1"/>
      <name val="Calibri"/>
    </font>
    <font>
      <sz val="10.0"/>
      <color theme="1"/>
      <name val="Myanmar sangam mn"/>
    </font>
    <font>
      <sz val="9.0"/>
      <color theme="1"/>
      <name val="Myanmar sangam mn"/>
    </font>
    <font>
      <sz val="8.0"/>
      <color theme="1"/>
      <name val="Myanmar sangam mn"/>
    </font>
  </fonts>
  <fills count="5">
    <fill>
      <patternFill patternType="none"/>
    </fill>
    <fill>
      <patternFill patternType="lightGray"/>
    </fill>
    <fill>
      <patternFill patternType="solid">
        <fgColor rgb="FFF79546"/>
        <bgColor rgb="FFF79546"/>
      </patternFill>
    </fill>
    <fill>
      <patternFill patternType="solid">
        <fgColor rgb="FF91D050"/>
        <bgColor rgb="FF91D05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top" wrapText="1"/>
    </xf>
    <xf borderId="2" fillId="0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horizontal="left" vertical="top"/>
    </xf>
    <xf borderId="4" fillId="0" fontId="3" numFmtId="0" xfId="0" applyAlignment="1" applyBorder="1" applyFont="1">
      <alignment horizontal="left" vertical="top"/>
    </xf>
    <xf borderId="1" fillId="0" fontId="4" numFmtId="0" xfId="0" applyAlignment="1" applyBorder="1" applyFont="1">
      <alignment horizontal="left" shrinkToFit="0" vertical="top" wrapText="1"/>
    </xf>
    <xf borderId="0" fillId="0" fontId="0" numFmtId="0" xfId="0" applyAlignment="1" applyFont="1">
      <alignment horizontal="left" shrinkToFit="0" vertical="center" wrapText="1"/>
    </xf>
    <xf borderId="0" fillId="0" fontId="5" numFmtId="0" xfId="0" applyAlignment="1" applyFont="1">
      <alignment horizontal="left" readingOrder="0" vertical="top"/>
    </xf>
    <xf borderId="0" fillId="0" fontId="5" numFmtId="0" xfId="0" applyAlignment="1" applyFont="1">
      <alignment horizontal="left" vertical="top"/>
    </xf>
    <xf borderId="5" fillId="0" fontId="3" numFmtId="0" xfId="0" applyAlignment="1" applyBorder="1" applyFont="1">
      <alignment horizontal="left" vertical="top"/>
    </xf>
    <xf borderId="6" fillId="0" fontId="2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right" shrinkToFit="0" vertical="top" wrapText="1"/>
    </xf>
    <xf borderId="6" fillId="2" fontId="0" numFmtId="0" xfId="0" applyAlignment="1" applyBorder="1" applyFill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top" wrapText="1"/>
    </xf>
    <xf borderId="6" fillId="2" fontId="2" numFmtId="0" xfId="0" applyAlignment="1" applyBorder="1" applyFont="1">
      <alignment horizontal="right" shrinkToFit="0" vertical="top" wrapText="1"/>
    </xf>
    <xf borderId="6" fillId="3" fontId="2" numFmtId="0" xfId="0" applyAlignment="1" applyBorder="1" applyFill="1" applyFont="1">
      <alignment horizontal="left" shrinkToFit="0" vertical="top" wrapText="1"/>
    </xf>
    <xf borderId="6" fillId="3" fontId="2" numFmtId="0" xfId="0" applyAlignment="1" applyBorder="1" applyFont="1">
      <alignment horizontal="right" shrinkToFit="0" vertical="top" wrapText="1"/>
    </xf>
    <xf borderId="6" fillId="3" fontId="0" numFmtId="0" xfId="0" applyAlignment="1" applyBorder="1" applyFont="1">
      <alignment horizontal="left" shrinkToFit="0" vertical="bottom" wrapText="1"/>
    </xf>
    <xf borderId="0" fillId="0" fontId="0" numFmtId="0" xfId="0" applyAlignment="1" applyFont="1">
      <alignment horizontal="left" shrinkToFit="0" vertical="bottom" wrapText="1"/>
    </xf>
    <xf borderId="6" fillId="0" fontId="0" numFmtId="0" xfId="0" applyAlignment="1" applyBorder="1" applyFont="1">
      <alignment horizontal="left" shrinkToFit="0" vertical="center" wrapText="1"/>
    </xf>
    <xf borderId="6" fillId="0" fontId="0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left" shrinkToFit="0" vertical="top" wrapText="1"/>
    </xf>
    <xf borderId="6" fillId="0" fontId="6" numFmtId="0" xfId="0" applyAlignment="1" applyBorder="1" applyFont="1">
      <alignment horizontal="right" shrinkToFit="0" vertical="top" wrapText="1"/>
    </xf>
    <xf borderId="6" fillId="0" fontId="4" numFmtId="0" xfId="0" applyAlignment="1" applyBorder="1" applyFont="1">
      <alignment horizontal="right" shrinkToFit="0" vertical="top" wrapText="1"/>
    </xf>
    <xf borderId="6" fillId="0" fontId="0" numFmtId="0" xfId="0" applyAlignment="1" applyBorder="1" applyFont="1">
      <alignment horizontal="left" shrinkToFit="0" vertical="bottom" wrapText="1"/>
    </xf>
    <xf borderId="6" fillId="3" fontId="0" numFmtId="0" xfId="0" applyAlignment="1" applyBorder="1" applyFont="1">
      <alignment horizontal="left" shrinkToFit="0" vertical="center" wrapText="1"/>
    </xf>
    <xf borderId="6" fillId="3" fontId="2" numFmtId="0" xfId="0" applyAlignment="1" applyBorder="1" applyFont="1">
      <alignment horizontal="center" shrinkToFit="0" vertical="top" wrapText="1"/>
    </xf>
    <xf borderId="6" fillId="0" fontId="7" numFmtId="0" xfId="0" applyAlignment="1" applyBorder="1" applyFont="1">
      <alignment horizontal="left" shrinkToFit="0" vertical="top" wrapText="1"/>
    </xf>
    <xf borderId="6" fillId="0" fontId="7" numFmtId="0" xfId="0" applyAlignment="1" applyBorder="1" applyFont="1">
      <alignment horizontal="right" shrinkToFit="0" vertical="top" wrapText="1"/>
    </xf>
    <xf borderId="6" fillId="0" fontId="4" numFmtId="0" xfId="0" applyAlignment="1" applyBorder="1" applyFont="1">
      <alignment horizontal="right" shrinkToFit="0" vertical="center" wrapText="1"/>
    </xf>
    <xf borderId="6" fillId="0" fontId="6" numFmtId="0" xfId="0" applyAlignment="1" applyBorder="1" applyFont="1">
      <alignment horizontal="left" shrinkToFit="0" vertical="center" wrapText="1"/>
    </xf>
    <xf borderId="6" fillId="0" fontId="6" numFmtId="0" xfId="0" applyAlignment="1" applyBorder="1" applyFont="1">
      <alignment horizontal="right" shrinkToFit="0" vertical="center" wrapText="1"/>
    </xf>
    <xf borderId="6" fillId="3" fontId="4" numFmtId="0" xfId="0" applyAlignment="1" applyBorder="1" applyFont="1">
      <alignment horizontal="right" shrinkToFit="0" vertical="top" wrapText="1"/>
    </xf>
    <xf borderId="6" fillId="4" fontId="0" numFmtId="0" xfId="0" applyAlignment="1" applyBorder="1" applyFill="1" applyFont="1">
      <alignment horizontal="left" shrinkToFit="0" vertical="center" wrapText="1"/>
    </xf>
    <xf borderId="6" fillId="4" fontId="6" numFmtId="0" xfId="0" applyAlignment="1" applyBorder="1" applyFont="1">
      <alignment horizontal="left" shrinkToFit="0" vertical="top" wrapText="1"/>
    </xf>
    <xf borderId="6" fillId="4" fontId="6" numFmtId="0" xfId="0" applyAlignment="1" applyBorder="1" applyFont="1">
      <alignment horizontal="right" shrinkToFit="0" vertical="top" wrapText="1"/>
    </xf>
    <xf borderId="6" fillId="4" fontId="4" numFmtId="0" xfId="0" applyAlignment="1" applyBorder="1" applyFont="1">
      <alignment horizontal="right" shrinkToFit="0" vertical="top" wrapText="1"/>
    </xf>
    <xf borderId="6" fillId="0" fontId="7" numFmtId="0" xfId="0" applyAlignment="1" applyBorder="1" applyFont="1">
      <alignment horizontal="right" shrinkToFit="0" vertical="center" wrapText="1"/>
    </xf>
    <xf borderId="6" fillId="4" fontId="7" numFmtId="0" xfId="0" applyAlignment="1" applyBorder="1" applyFont="1">
      <alignment horizontal="left" shrinkToFit="0" vertical="top" wrapText="1"/>
    </xf>
    <xf borderId="6" fillId="4" fontId="7" numFmtId="0" xfId="0" applyAlignment="1" applyBorder="1" applyFont="1">
      <alignment horizontal="right" shrinkToFit="0" vertical="top" wrapText="1"/>
    </xf>
    <xf borderId="6" fillId="4" fontId="0" numFmtId="0" xfId="0" applyAlignment="1" applyBorder="1" applyFont="1">
      <alignment horizontal="left" shrinkToFit="0" vertical="top" wrapText="1"/>
    </xf>
    <xf borderId="6" fillId="4" fontId="6" numFmtId="0" xfId="0" applyAlignment="1" applyBorder="1" applyFont="1">
      <alignment horizontal="left" shrinkToFit="0" vertical="center" wrapText="1"/>
    </xf>
    <xf borderId="6" fillId="4" fontId="6" numFmtId="0" xfId="0" applyAlignment="1" applyBorder="1" applyFont="1">
      <alignment horizontal="right" shrinkToFit="0" vertical="center" wrapText="1"/>
    </xf>
    <xf borderId="6" fillId="4" fontId="4" numFmtId="0" xfId="0" applyAlignment="1" applyBorder="1" applyFont="1">
      <alignment horizontal="right" shrinkToFit="0" vertical="center" wrapText="1"/>
    </xf>
    <xf borderId="6" fillId="3" fontId="6" numFmtId="0" xfId="0" applyAlignment="1" applyBorder="1" applyFont="1">
      <alignment horizontal="right" shrinkToFit="0" vertical="top" wrapText="1"/>
    </xf>
    <xf borderId="6" fillId="2" fontId="6" numFmtId="0" xfId="0" applyAlignment="1" applyBorder="1" applyFont="1">
      <alignment horizontal="right" shrinkToFit="0" vertical="top" wrapText="1"/>
    </xf>
    <xf borderId="6" fillId="0" fontId="8" numFmtId="0" xfId="0" applyAlignment="1" applyBorder="1" applyFont="1">
      <alignment horizontal="left" shrinkToFit="0" vertical="top" wrapText="1"/>
    </xf>
    <xf borderId="7" fillId="0" fontId="0" numFmtId="0" xfId="0" applyAlignment="1" applyBorder="1" applyFont="1">
      <alignment horizontal="left" shrinkToFit="0" vertical="bottom" wrapText="1"/>
    </xf>
    <xf borderId="7" fillId="0" fontId="6" numFmtId="0" xfId="0" applyAlignment="1" applyBorder="1" applyFont="1">
      <alignment horizontal="left" shrinkToFit="0" vertical="top" wrapText="1"/>
    </xf>
    <xf borderId="7" fillId="0" fontId="6" numFmtId="0" xfId="0" applyAlignment="1" applyBorder="1" applyFont="1">
      <alignment horizontal="right" shrinkToFit="0" vertical="top" wrapText="1"/>
    </xf>
    <xf borderId="7" fillId="0" fontId="4" numFmtId="0" xfId="0" applyAlignment="1" applyBorder="1" applyFont="1">
      <alignment horizontal="right" shrinkToFit="0" vertical="top" wrapText="1"/>
    </xf>
    <xf borderId="8" fillId="3" fontId="2" numFmtId="0" xfId="0" applyAlignment="1" applyBorder="1" applyFont="1">
      <alignment horizontal="center" shrinkToFit="0" vertical="top" wrapText="1"/>
    </xf>
    <xf borderId="8" fillId="3" fontId="2" numFmtId="0" xfId="0" applyAlignment="1" applyBorder="1" applyFont="1">
      <alignment horizontal="left" shrinkToFit="0" vertical="top" wrapText="1"/>
    </xf>
    <xf borderId="8" fillId="3" fontId="2" numFmtId="0" xfId="0" applyAlignment="1" applyBorder="1" applyFont="1">
      <alignment horizontal="right" shrinkToFit="0" vertical="top" wrapText="1"/>
    </xf>
    <xf borderId="8" fillId="3" fontId="0" numFmtId="0" xfId="0" applyAlignment="1" applyBorder="1" applyFont="1">
      <alignment horizontal="left" shrinkToFit="0" vertical="center" wrapText="1"/>
    </xf>
    <xf borderId="6" fillId="0" fontId="7" numFmtId="0" xfId="0" applyAlignment="1" applyBorder="1" applyFont="1">
      <alignment horizontal="left" shrinkToFit="0" vertical="center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right" shrinkToFit="0" vertical="top" wrapText="1"/>
    </xf>
    <xf borderId="0" fillId="0" fontId="4" numFmtId="0" xfId="0" applyAlignment="1" applyFon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23.29"/>
    <col customWidth="1" min="3" max="3" width="12.71"/>
    <col customWidth="1" min="4" max="6" width="11.57"/>
    <col customWidth="1" min="7" max="8" width="10.43"/>
    <col customWidth="1" min="9" max="9" width="8.0"/>
    <col customWidth="1" min="10" max="10" width="10.43"/>
    <col customWidth="1" min="11" max="11" width="24.43"/>
    <col customWidth="1" min="12" max="12" width="44.29"/>
    <col customWidth="1" min="13" max="13" width="11.57"/>
    <col customWidth="1" min="14" max="15" width="10.43"/>
    <col customWidth="1" min="16" max="16" width="9.29"/>
    <col customWidth="1" min="17" max="17" width="4.71"/>
    <col customWidth="1" min="18" max="19" width="8.71"/>
    <col customWidth="1" min="20" max="20" width="14.43"/>
    <col customWidth="1" min="21" max="21" width="11.86"/>
    <col customWidth="1" min="22" max="28" width="8.71"/>
    <col customWidth="1" min="29" max="29" width="17.86"/>
    <col customWidth="1" min="30" max="30" width="26.43"/>
    <col customWidth="1" min="31" max="35" width="8.71"/>
  </cols>
  <sheetData>
    <row r="1" ht="69.0" customHeight="1">
      <c r="A1" s="1" t="s">
        <v>0</v>
      </c>
    </row>
    <row r="2" ht="21.75" customHeight="1">
      <c r="A2" s="2" t="s">
        <v>1</v>
      </c>
      <c r="B2" s="2" t="s">
        <v>2</v>
      </c>
      <c r="C2" s="3" t="s">
        <v>3</v>
      </c>
      <c r="D2" s="4" t="s">
        <v>4</v>
      </c>
      <c r="E2" s="5"/>
      <c r="F2" s="6"/>
      <c r="G2" s="3" t="s">
        <v>5</v>
      </c>
      <c r="H2" s="4" t="s">
        <v>6</v>
      </c>
      <c r="I2" s="5"/>
      <c r="J2" s="6"/>
      <c r="K2" s="3" t="s">
        <v>7</v>
      </c>
      <c r="L2" s="2" t="s">
        <v>8</v>
      </c>
      <c r="M2" s="4" t="s">
        <v>9</v>
      </c>
      <c r="N2" s="5"/>
      <c r="O2" s="6"/>
      <c r="P2" s="7" t="s">
        <v>10</v>
      </c>
      <c r="Q2" s="8"/>
      <c r="S2" s="9" t="s">
        <v>11</v>
      </c>
      <c r="T2" s="9" t="s">
        <v>12</v>
      </c>
      <c r="U2" s="9" t="s">
        <v>13</v>
      </c>
      <c r="V2" s="10" t="str">
        <f>IFERROR(__xludf.DUMMYFUNCTION("GOOGLETRANSLATE(D2,""my"", ""en"")"),"The number of voters")</f>
        <v>The number of voters</v>
      </c>
      <c r="Y2" s="9" t="s">
        <v>14</v>
      </c>
      <c r="Z2" s="9" t="s">
        <v>15</v>
      </c>
      <c r="AC2" s="9" t="s">
        <v>16</v>
      </c>
      <c r="AD2" s="9" t="s">
        <v>17</v>
      </c>
      <c r="AE2" s="9" t="s">
        <v>18</v>
      </c>
      <c r="AH2" s="9" t="s">
        <v>19</v>
      </c>
    </row>
    <row r="3" ht="22.5" customHeight="1">
      <c r="A3" s="11"/>
      <c r="B3" s="11"/>
      <c r="C3" s="11"/>
      <c r="D3" s="12" t="s">
        <v>20</v>
      </c>
      <c r="E3" s="12" t="s">
        <v>21</v>
      </c>
      <c r="F3" s="12" t="s">
        <v>22</v>
      </c>
      <c r="G3" s="11"/>
      <c r="H3" s="12" t="s">
        <v>23</v>
      </c>
      <c r="I3" s="13" t="s">
        <v>24</v>
      </c>
      <c r="J3" s="12" t="s">
        <v>25</v>
      </c>
      <c r="K3" s="11"/>
      <c r="L3" s="11"/>
      <c r="M3" s="12" t="s">
        <v>26</v>
      </c>
      <c r="N3" s="13" t="s">
        <v>27</v>
      </c>
      <c r="O3" s="12" t="s">
        <v>28</v>
      </c>
      <c r="P3" s="11"/>
      <c r="Q3" s="8"/>
      <c r="V3" s="9" t="s">
        <v>29</v>
      </c>
      <c r="W3" s="9" t="s">
        <v>30</v>
      </c>
      <c r="X3" s="9" t="s">
        <v>31</v>
      </c>
      <c r="Z3" s="9" t="s">
        <v>32</v>
      </c>
      <c r="AA3" s="9" t="s">
        <v>33</v>
      </c>
      <c r="AB3" s="9" t="s">
        <v>31</v>
      </c>
      <c r="AE3" s="9" t="s">
        <v>34</v>
      </c>
      <c r="AF3" s="9" t="s">
        <v>35</v>
      </c>
      <c r="AG3" s="9" t="s">
        <v>36</v>
      </c>
    </row>
    <row r="4" ht="21.75" customHeight="1">
      <c r="A4" s="14"/>
      <c r="B4" s="15" t="s">
        <v>37</v>
      </c>
      <c r="C4" s="16" t="s">
        <v>38</v>
      </c>
      <c r="D4" s="16" t="s">
        <v>39</v>
      </c>
      <c r="E4" s="16" t="s">
        <v>40</v>
      </c>
      <c r="F4" s="16" t="s">
        <v>41</v>
      </c>
      <c r="G4" s="16" t="s">
        <v>42</v>
      </c>
      <c r="H4" s="16" t="s">
        <v>43</v>
      </c>
      <c r="I4" s="16" t="s">
        <v>44</v>
      </c>
      <c r="J4" s="16" t="s">
        <v>45</v>
      </c>
      <c r="K4" s="14"/>
      <c r="L4" s="14"/>
      <c r="M4" s="16" t="s">
        <v>46</v>
      </c>
      <c r="N4" s="16" t="s">
        <v>47</v>
      </c>
      <c r="O4" s="16" t="s">
        <v>48</v>
      </c>
      <c r="P4" s="14"/>
      <c r="Q4" s="8"/>
      <c r="T4" s="10" t="str">
        <f>IFERROR(__xludf.DUMMYFUNCTION("GOOGLETRANSLATE(B4,""my"", ""en"")"),"Kachin State")</f>
        <v>Kachin State</v>
      </c>
      <c r="U4" s="10" t="str">
        <f>IFERROR(__xludf.DUMMYFUNCTION("GOOGLETRANSLATE(C4,""my"", ""en"")"),"1150407")</f>
        <v>1150407</v>
      </c>
      <c r="V4" s="10" t="str">
        <f>IFERROR(__xludf.DUMMYFUNCTION("GOOGLETRANSLATE(D4,""my"", ""en"")"),"596510")</f>
        <v>596510</v>
      </c>
      <c r="W4" s="10" t="str">
        <f>IFERROR(__xludf.DUMMYFUNCTION("GOOGLETRANSLATE(E4,""my"", ""en"")"),"163856")</f>
        <v>163856</v>
      </c>
      <c r="X4" s="10" t="str">
        <f>IFERROR(__xludf.DUMMYFUNCTION("GOOGLETRANSLATE(F4,""my"", ""en"")"),"760366")</f>
        <v>760366</v>
      </c>
      <c r="Y4" s="10" t="str">
        <f>IFERROR(__xludf.DUMMYFUNCTION("GOOGLETRANSLATE(G4,""my"", ""en"")"),"66.10")</f>
        <v>66.10</v>
      </c>
      <c r="Z4" s="10" t="str">
        <f>IFERROR(__xludf.DUMMYFUNCTION("GOOGLETRANSLATE(H4,""my"", ""en"")"),"23520")</f>
        <v>23520</v>
      </c>
      <c r="AA4" s="10" t="str">
        <f>IFERROR(__xludf.DUMMYFUNCTION("GOOGLETRANSLATE(I4,""my"", ""en"")"),"229")</f>
        <v>229</v>
      </c>
      <c r="AB4" s="10" t="str">
        <f>IFERROR(__xludf.DUMMYFUNCTION("GOOGLETRANSLATE(J4,""my"", ""en"")"),"23749")</f>
        <v>23749</v>
      </c>
      <c r="AE4" s="10" t="str">
        <f>IFERROR(__xludf.DUMMYFUNCTION("GOOGLETRANSLATE(M4,""my"", ""en"")"),"577370")</f>
        <v>577370</v>
      </c>
      <c r="AF4" s="10" t="str">
        <f>IFERROR(__xludf.DUMMYFUNCTION("GOOGLETRANSLATE(N4,""my"", ""en"")"),"159247")</f>
        <v>159247</v>
      </c>
      <c r="AG4" s="10" t="str">
        <f>IFERROR(__xludf.DUMMYFUNCTION("GOOGLETRANSLATE(O4,""my"", ""en"")"),"736617")</f>
        <v>736617</v>
      </c>
    </row>
    <row r="5" ht="21.0" customHeight="1">
      <c r="A5" s="17" t="s">
        <v>49</v>
      </c>
      <c r="B5" s="17" t="s">
        <v>50</v>
      </c>
      <c r="C5" s="18" t="s">
        <v>51</v>
      </c>
      <c r="D5" s="18" t="s">
        <v>52</v>
      </c>
      <c r="E5" s="18" t="s">
        <v>53</v>
      </c>
      <c r="F5" s="18" t="s">
        <v>54</v>
      </c>
      <c r="G5" s="18" t="s">
        <v>55</v>
      </c>
      <c r="H5" s="18" t="s">
        <v>56</v>
      </c>
      <c r="I5" s="18" t="s">
        <v>57</v>
      </c>
      <c r="J5" s="18" t="s">
        <v>58</v>
      </c>
      <c r="K5" s="19"/>
      <c r="L5" s="19"/>
      <c r="M5" s="18" t="s">
        <v>59</v>
      </c>
      <c r="N5" s="18" t="s">
        <v>60</v>
      </c>
      <c r="O5" s="18" t="s">
        <v>61</v>
      </c>
      <c r="P5" s="19"/>
      <c r="Q5" s="20"/>
      <c r="S5" s="10" t="str">
        <f>IFERROR(__xludf.DUMMYFUNCTION("GOOGLETRANSLATE(A5,""my"", ""en"")"),"1")</f>
        <v>1</v>
      </c>
      <c r="T5" s="10" t="str">
        <f>IFERROR(__xludf.DUMMYFUNCTION("GOOGLETRANSLATE(B5,""my"", ""en"")"),"မဲဆ  No. (1)")</f>
        <v>မဲဆ  No. (1)</v>
      </c>
      <c r="U5" s="10" t="str">
        <f>IFERROR(__xludf.DUMMYFUNCTION("GOOGLETRANSLATE(C5,""my"", ""en"")"),"61764")</f>
        <v>61764</v>
      </c>
      <c r="V5" s="10" t="str">
        <f>IFERROR(__xludf.DUMMYFUNCTION("GOOGLETRANSLATE(D5,""my"", ""en"")"),"38804")</f>
        <v>38804</v>
      </c>
      <c r="W5" s="10" t="str">
        <f>IFERROR(__xludf.DUMMYFUNCTION("GOOGLETRANSLATE(E5,""my"", ""en"")"),"11137")</f>
        <v>11137</v>
      </c>
      <c r="X5" s="10" t="str">
        <f>IFERROR(__xludf.DUMMYFUNCTION("GOOGLETRANSLATE(F5,""my"", ""en"")"),"49941")</f>
        <v>49941</v>
      </c>
      <c r="Y5" s="10" t="str">
        <f>IFERROR(__xludf.DUMMYFUNCTION("GOOGLETRANSLATE(G5,""my"", ""en"")"),"80.86")</f>
        <v>80.86</v>
      </c>
      <c r="Z5" s="10" t="str">
        <f>IFERROR(__xludf.DUMMYFUNCTION("GOOGLETRANSLATE(H5,""my"", ""en"")"),"1380")</f>
        <v>1380</v>
      </c>
      <c r="AA5" s="10" t="str">
        <f>IFERROR(__xludf.DUMMYFUNCTION("GOOGLETRANSLATE(I5,""my"", ""en"")"),"9")</f>
        <v>9</v>
      </c>
      <c r="AB5" s="10" t="str">
        <f>IFERROR(__xludf.DUMMYFUNCTION("GOOGLETRANSLATE(J5,""my"", ""en"")"),"1389")</f>
        <v>1389</v>
      </c>
      <c r="AE5" s="10" t="str">
        <f>IFERROR(__xludf.DUMMYFUNCTION("GOOGLETRANSLATE(M5,""my"", ""en"")"),"37688")</f>
        <v>37688</v>
      </c>
      <c r="AF5" s="10" t="str">
        <f>IFERROR(__xludf.DUMMYFUNCTION("GOOGLETRANSLATE(N5,""my"", ""en"")"),"10864")</f>
        <v>10864</v>
      </c>
      <c r="AG5" s="10" t="str">
        <f>IFERROR(__xludf.DUMMYFUNCTION("GOOGLETRANSLATE(O5,""my"", ""en"")"),"48552")</f>
        <v>48552</v>
      </c>
    </row>
    <row r="6" ht="22.5" customHeight="1">
      <c r="A6" s="21"/>
      <c r="B6" s="21"/>
      <c r="C6" s="21"/>
      <c r="D6" s="21"/>
      <c r="E6" s="21"/>
      <c r="F6" s="21"/>
      <c r="G6" s="21"/>
      <c r="H6" s="21"/>
      <c r="I6" s="21"/>
      <c r="J6" s="21"/>
      <c r="K6" s="22" t="s">
        <v>62</v>
      </c>
      <c r="L6" s="23" t="s">
        <v>63</v>
      </c>
      <c r="M6" s="24" t="s">
        <v>64</v>
      </c>
      <c r="N6" s="24" t="s">
        <v>65</v>
      </c>
      <c r="O6" s="24" t="s">
        <v>66</v>
      </c>
      <c r="P6" s="25" t="s">
        <v>67</v>
      </c>
      <c r="Q6" s="8"/>
      <c r="AC6" s="10" t="str">
        <f>IFERROR(__xludf.DUMMYFUNCTION("GOOGLETRANSLATE(K6,""my"", ""en"")"),"Blow dust (RAKWI PUNG)")</f>
        <v>Blow dust (RAKWI PUNG)</v>
      </c>
      <c r="AD6" s="10" t="str">
        <f>IFERROR(__xludf.DUMMYFUNCTION("GOOGLETRANSLATE(L6,""my"", ""en"")"),"Local ေထာင် soap-stone strong ေရး  under development  Phil  ေရး Party")</f>
        <v>Local ေထာင် soap-stone strong ေရး  under development  Phil  ေရး Party</v>
      </c>
      <c r="AE6" s="10" t="str">
        <f>IFERROR(__xludf.DUMMYFUNCTION("GOOGLETRANSLATE(M6,""my"", ""en"")"),"10523")</f>
        <v>10523</v>
      </c>
      <c r="AF6" s="10" t="str">
        <f>IFERROR(__xludf.DUMMYFUNCTION("GOOGLETRANSLATE(N6,""my"", ""en"")"),"3973")</f>
        <v>3973</v>
      </c>
      <c r="AG6" s="10" t="str">
        <f>IFERROR(__xludf.DUMMYFUNCTION("GOOGLETRANSLATE(O6,""my"", ""en"")"),"14496")</f>
        <v>14496</v>
      </c>
      <c r="AH6" s="10" t="str">
        <f>IFERROR(__xludf.DUMMYFUNCTION("GOOGLETRANSLATE(P6,""my"", ""en"")"),"29.86%")</f>
        <v>29.86%</v>
      </c>
    </row>
    <row r="7" ht="21.0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3" t="s">
        <v>68</v>
      </c>
      <c r="L7" s="23" t="s">
        <v>69</v>
      </c>
      <c r="M7" s="24" t="s">
        <v>70</v>
      </c>
      <c r="N7" s="24" t="s">
        <v>71</v>
      </c>
      <c r="O7" s="24" t="s">
        <v>72</v>
      </c>
      <c r="P7" s="25" t="s">
        <v>73</v>
      </c>
      <c r="Q7" s="20"/>
      <c r="AC7" s="10" t="str">
        <f>IFERROR(__xludf.DUMMYFUNCTION("GOOGLETRANSLATE(K7,""my"", ""en"")"),"ငွါး ဆီေ")</f>
        <v>ငွါး ဆီေ</v>
      </c>
      <c r="AD7" s="10" t="str">
        <f>IFERROR(__xludf.DUMMYFUNCTION("GOOGLETRANSLATE(L7,""my"", ""en"")")," Game Democracy group   Pop Party")</f>
        <v> Game Democracy group   Pop Party</v>
      </c>
      <c r="AE7" s="10" t="str">
        <f>IFERROR(__xludf.DUMMYFUNCTION("GOOGLETRANSLATE(M7,""my"", ""en"")"),"11454")</f>
        <v>11454</v>
      </c>
      <c r="AF7" s="10" t="str">
        <f>IFERROR(__xludf.DUMMYFUNCTION("GOOGLETRANSLATE(N7,""my"", ""en"")"),"2772")</f>
        <v>2772</v>
      </c>
      <c r="AG7" s="10" t="str">
        <f>IFERROR(__xludf.DUMMYFUNCTION("GOOGLETRANSLATE(O7,""my"", ""en"")"),"14226")</f>
        <v>14226</v>
      </c>
      <c r="AH7" s="10" t="str">
        <f>IFERROR(__xludf.DUMMYFUNCTION("GOOGLETRANSLATE(P7,""my"", ""en"")"),"29.30%")</f>
        <v>29.30%</v>
      </c>
    </row>
    <row r="8" ht="21.75" customHeight="1">
      <c r="A8" s="21"/>
      <c r="B8" s="21"/>
      <c r="C8" s="21"/>
      <c r="D8" s="21"/>
      <c r="E8" s="21"/>
      <c r="F8" s="21"/>
      <c r="G8" s="21"/>
      <c r="H8" s="21"/>
      <c r="I8" s="21"/>
      <c r="J8" s="21"/>
      <c r="K8" s="23" t="s">
        <v>74</v>
      </c>
      <c r="L8" s="23" t="s">
        <v>75</v>
      </c>
      <c r="M8" s="24" t="s">
        <v>76</v>
      </c>
      <c r="N8" s="24" t="s">
        <v>77</v>
      </c>
      <c r="O8" s="24" t="s">
        <v>78</v>
      </c>
      <c r="P8" s="25" t="s">
        <v>79</v>
      </c>
      <c r="Q8" s="8"/>
      <c r="AC8" s="10" t="str">
        <f>IFERROR(__xludf.DUMMYFUNCTION("GOOGLETRANSLATE(K8,""my"", ""en"")")," ုိး Rein")</f>
        <v> ုိး Rein</v>
      </c>
      <c r="AD8" s="10" t="str">
        <f>IFERROR(__xludf.DUMMYFUNCTION("GOOGLETRANSLATE(L8,""my"", ""en"")"),"Kachin State party ပည်သူ")</f>
        <v>Kachin State party ပည်သူ</v>
      </c>
      <c r="AE8" s="10" t="str">
        <f>IFERROR(__xludf.DUMMYFUNCTION("GOOGLETRANSLATE(M8,""my"", ""en"")"),"6842")</f>
        <v>6842</v>
      </c>
      <c r="AF8" s="10" t="str">
        <f>IFERROR(__xludf.DUMMYFUNCTION("GOOGLETRANSLATE(N8,""my"", ""en"")"),"2036")</f>
        <v>2036</v>
      </c>
      <c r="AG8" s="10" t="str">
        <f>IFERROR(__xludf.DUMMYFUNCTION("GOOGLETRANSLATE(O8,""my"", ""en"")"),"8878")</f>
        <v>8878</v>
      </c>
      <c r="AH8" s="10" t="str">
        <f>IFERROR(__xludf.DUMMYFUNCTION("GOOGLETRANSLATE(P8,""my"", ""en"")"),"18.29%")</f>
        <v>18.29%</v>
      </c>
    </row>
    <row r="9" ht="21.7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3" t="s">
        <v>80</v>
      </c>
      <c r="L9" s="23" t="s">
        <v>81</v>
      </c>
      <c r="M9" s="24" t="s">
        <v>82</v>
      </c>
      <c r="N9" s="24" t="s">
        <v>83</v>
      </c>
      <c r="O9" s="24" t="s">
        <v>84</v>
      </c>
      <c r="P9" s="25" t="s">
        <v>85</v>
      </c>
      <c r="Q9" s="8"/>
      <c r="AC9" s="10" t="str">
        <f>IFERROR(__xludf.DUMMYFUNCTION("GOOGLETRANSLATE(K9,""my"", ""en"")"),"ေဂျေ Wu")</f>
        <v>ေဂျေ Wu</v>
      </c>
      <c r="AD9" s="10" t="str">
        <f>IFERROR(__xludf.DUMMYFUNCTION("GOOGLETRANSLATE(L9,""my"", ""en"")"),"Ethnic unity  working party ေရး")</f>
        <v>Ethnic unity  working party ေရး</v>
      </c>
      <c r="AE9" s="10" t="str">
        <f>IFERROR(__xludf.DUMMYFUNCTION("GOOGLETRANSLATE(M9,""my"", ""en"")"),"4873")</f>
        <v>4873</v>
      </c>
      <c r="AF9" s="10" t="str">
        <f>IFERROR(__xludf.DUMMYFUNCTION("GOOGLETRANSLATE(N9,""my"", ""en"")"),"1366")</f>
        <v>1366</v>
      </c>
      <c r="AG9" s="10" t="str">
        <f>IFERROR(__xludf.DUMMYFUNCTION("GOOGLETRANSLATE(O9,""my"", ""en"")"),"6239")</f>
        <v>6239</v>
      </c>
      <c r="AH9" s="10" t="str">
        <f>IFERROR(__xludf.DUMMYFUNCTION("GOOGLETRANSLATE(P9,""my"", ""en"")"),"12.85%")</f>
        <v>12.85%</v>
      </c>
    </row>
    <row r="10" ht="21.7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3" t="s">
        <v>86</v>
      </c>
      <c r="L10" s="23" t="s">
        <v>87</v>
      </c>
      <c r="M10" s="24" t="s">
        <v>88</v>
      </c>
      <c r="N10" s="24" t="s">
        <v>89</v>
      </c>
      <c r="O10" s="24" t="s">
        <v>90</v>
      </c>
      <c r="P10" s="25" t="s">
        <v>91</v>
      </c>
      <c r="Q10" s="8"/>
      <c r="AC10" s="10" t="str">
        <f>IFERROR(__xludf.DUMMYFUNCTION("GOOGLETRANSLATE(K10,""my"", ""en"")"),"ငွါး ေကျာ")</f>
        <v>ငွါး ေကျာ</v>
      </c>
      <c r="AD10" s="10" t="str">
        <f>IFERROR(__xludf.DUMMYFUNCTION("GOOGLETRANSLATE(L10,""my"", ""en"")"),"Boiling  Game Development  increased Phil  ေရး Party")</f>
        <v>Boiling  Game Development  increased Phil  ေရး Party</v>
      </c>
      <c r="AE10" s="10" t="str">
        <f>IFERROR(__xludf.DUMMYFUNCTION("GOOGLETRANSLATE(M10,""my"", ""en"")"),"3996")</f>
        <v>3996</v>
      </c>
      <c r="AF10" s="10" t="str">
        <f>IFERROR(__xludf.DUMMYFUNCTION("GOOGLETRANSLATE(N10,""my"", ""en"")"),"717")</f>
        <v>717</v>
      </c>
      <c r="AG10" s="10" t="str">
        <f>IFERROR(__xludf.DUMMYFUNCTION("GOOGLETRANSLATE(O10,""my"", ""en"")"),"4713")</f>
        <v>4713</v>
      </c>
      <c r="AH10" s="10" t="str">
        <f>IFERROR(__xludf.DUMMYFUNCTION("GOOGLETRANSLATE(P10,""my"", ""en"")"),"9.70%")</f>
        <v>9.70%</v>
      </c>
    </row>
    <row r="11" ht="21.75" customHeight="1">
      <c r="A11" s="17" t="s">
        <v>92</v>
      </c>
      <c r="B11" s="17" t="s">
        <v>93</v>
      </c>
      <c r="C11" s="18" t="s">
        <v>94</v>
      </c>
      <c r="D11" s="18" t="s">
        <v>95</v>
      </c>
      <c r="E11" s="18" t="s">
        <v>96</v>
      </c>
      <c r="F11" s="18" t="s">
        <v>97</v>
      </c>
      <c r="G11" s="18" t="s">
        <v>98</v>
      </c>
      <c r="H11" s="18" t="s">
        <v>99</v>
      </c>
      <c r="I11" s="18" t="s">
        <v>100</v>
      </c>
      <c r="J11" s="18" t="s">
        <v>101</v>
      </c>
      <c r="K11" s="27"/>
      <c r="L11" s="27"/>
      <c r="M11" s="18" t="s">
        <v>102</v>
      </c>
      <c r="N11" s="18" t="s">
        <v>103</v>
      </c>
      <c r="O11" s="18" t="s">
        <v>104</v>
      </c>
      <c r="P11" s="27"/>
      <c r="Q11" s="8"/>
      <c r="S11" s="10" t="str">
        <f>IFERROR(__xludf.DUMMYFUNCTION("GOOGLETRANSLATE(A11,""my"", ""en"")"),"2")</f>
        <v>2</v>
      </c>
      <c r="T11" s="10" t="str">
        <f>IFERROR(__xludf.DUMMYFUNCTION("GOOGLETRANSLATE(B11,""my"", ""en"")"),"မဲဆ  No. (2)")</f>
        <v>မဲဆ  No. (2)</v>
      </c>
      <c r="U11" s="10" t="str">
        <f>IFERROR(__xludf.DUMMYFUNCTION("GOOGLETRANSLATE(C11,""my"", ""en"")"),"94244")</f>
        <v>94244</v>
      </c>
      <c r="V11" s="10" t="str">
        <f>IFERROR(__xludf.DUMMYFUNCTION("GOOGLETRANSLATE(D11,""my"", ""en"")"),"52214")</f>
        <v>52214</v>
      </c>
      <c r="W11" s="10" t="str">
        <f>IFERROR(__xludf.DUMMYFUNCTION("GOOGLETRANSLATE(E11,""my"", ""en"")"),"18891")</f>
        <v>18891</v>
      </c>
      <c r="X11" s="10" t="str">
        <f>IFERROR(__xludf.DUMMYFUNCTION("GOOGLETRANSLATE(F11,""my"", ""en"")"),"71105")</f>
        <v>71105</v>
      </c>
      <c r="Y11" s="10" t="str">
        <f>IFERROR(__xludf.DUMMYFUNCTION("GOOGLETRANSLATE(G11,""my"", ""en"")"),"75.45")</f>
        <v>75.45</v>
      </c>
      <c r="Z11" s="10" t="str">
        <f>IFERROR(__xludf.DUMMYFUNCTION("GOOGLETRANSLATE(H11,""my"", ""en"")"),"1669")</f>
        <v>1669</v>
      </c>
      <c r="AA11" s="10" t="str">
        <f>IFERROR(__xludf.DUMMYFUNCTION("GOOGLETRANSLATE(I11,""my"", ""en"")"),"16")</f>
        <v>16</v>
      </c>
      <c r="AB11" s="10" t="str">
        <f>IFERROR(__xludf.DUMMYFUNCTION("GOOGLETRANSLATE(J11,""my"", ""en"")"),"1685")</f>
        <v>1685</v>
      </c>
      <c r="AE11" s="10" t="str">
        <f>IFERROR(__xludf.DUMMYFUNCTION("GOOGLETRANSLATE(M11,""my"", ""en"")"),"50857")</f>
        <v>50857</v>
      </c>
      <c r="AF11" s="10" t="str">
        <f>IFERROR(__xludf.DUMMYFUNCTION("GOOGLETRANSLATE(N11,""my"", ""en"")"),"18563")</f>
        <v>18563</v>
      </c>
      <c r="AG11" s="10" t="str">
        <f>IFERROR(__xludf.DUMMYFUNCTION("GOOGLETRANSLATE(O11,""my"", ""en"")"),"69420")</f>
        <v>69420</v>
      </c>
    </row>
    <row r="12" ht="22.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3" t="s">
        <v>105</v>
      </c>
      <c r="L12" s="23" t="s">
        <v>106</v>
      </c>
      <c r="M12" s="24" t="s">
        <v>107</v>
      </c>
      <c r="N12" s="24" t="s">
        <v>108</v>
      </c>
      <c r="O12" s="24" t="s">
        <v>109</v>
      </c>
      <c r="P12" s="25" t="s">
        <v>110</v>
      </c>
      <c r="Q12" s="8"/>
      <c r="AC12" s="10" t="str">
        <f>IFERROR(__xludf.DUMMYFUNCTION("GOOGLETRANSLATE(K12,""my"", ""en"")"),"Thein Lwin")</f>
        <v>Thein Lwin</v>
      </c>
      <c r="AD12" s="10" t="str">
        <f>IFERROR(__xludf.DUMMYFUNCTION("GOOGLETRANSLATE(L12,""my"", ""en"")")," Game Democracy group   Pop Party")</f>
        <v> Game Democracy group   Pop Party</v>
      </c>
      <c r="AE12" s="10" t="str">
        <f>IFERROR(__xludf.DUMMYFUNCTION("GOOGLETRANSLATE(M12,""my"", ""en"")"),"28524")</f>
        <v>28524</v>
      </c>
      <c r="AF12" s="10" t="str">
        <f>IFERROR(__xludf.DUMMYFUNCTION("GOOGLETRANSLATE(N12,""my"", ""en"")"),"9420")</f>
        <v>9420</v>
      </c>
      <c r="AG12" s="10" t="str">
        <f>IFERROR(__xludf.DUMMYFUNCTION("GOOGLETRANSLATE(O12,""my"", ""en"")"),"37944")</f>
        <v>37944</v>
      </c>
      <c r="AH12" s="10" t="str">
        <f>IFERROR(__xludf.DUMMYFUNCTION("GOOGLETRANSLATE(P12,""my"", ""en"")"),"54.66%")</f>
        <v>54.66%</v>
      </c>
    </row>
    <row r="13" ht="21.0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3" t="s">
        <v>111</v>
      </c>
      <c r="L13" s="23" t="s">
        <v>112</v>
      </c>
      <c r="M13" s="24" t="s">
        <v>113</v>
      </c>
      <c r="N13" s="24" t="s">
        <v>114</v>
      </c>
      <c r="O13" s="24" t="s">
        <v>115</v>
      </c>
      <c r="P13" s="25" t="s">
        <v>116</v>
      </c>
      <c r="Q13" s="20"/>
      <c r="AC13" s="10" t="str">
        <f>IFERROR(__xludf.DUMMYFUNCTION("GOOGLETRANSLATE(K13,""my"", ""en"")"),"Thet Win")</f>
        <v>Thet Win</v>
      </c>
      <c r="AD13" s="10" t="str">
        <f>IFERROR(__xludf.DUMMYFUNCTION("GOOGLETRANSLATE(L13,""my"", ""en"")"),"Local ေထာင် soap-stone strong ေရး  under development  Phil  ေရး Party")</f>
        <v>Local ေထာင် soap-stone strong ေရး  under development  Phil  ေရး Party</v>
      </c>
      <c r="AE13" s="10" t="str">
        <f>IFERROR(__xludf.DUMMYFUNCTION("GOOGLETRANSLATE(M13,""my"", ""en"")"),"11781")</f>
        <v>11781</v>
      </c>
      <c r="AF13" s="10" t="str">
        <f>IFERROR(__xludf.DUMMYFUNCTION("GOOGLETRANSLATE(N13,""my"", ""en"")"),"5056")</f>
        <v>5056</v>
      </c>
      <c r="AG13" s="10" t="str">
        <f>IFERROR(__xludf.DUMMYFUNCTION("GOOGLETRANSLATE(O13,""my"", ""en"")"),"16837")</f>
        <v>16837</v>
      </c>
      <c r="AH13" s="10" t="str">
        <f>IFERROR(__xludf.DUMMYFUNCTION("GOOGLETRANSLATE(P13,""my"", ""en"")"),"24.25%")</f>
        <v>24.25%</v>
      </c>
    </row>
    <row r="14" ht="21.0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3" t="s">
        <v>117</v>
      </c>
      <c r="L14" s="23" t="s">
        <v>118</v>
      </c>
      <c r="M14" s="24" t="s">
        <v>119</v>
      </c>
      <c r="N14" s="24" t="s">
        <v>120</v>
      </c>
      <c r="O14" s="24" t="s">
        <v>121</v>
      </c>
      <c r="P14" s="25" t="s">
        <v>122</v>
      </c>
      <c r="Q14" s="20"/>
      <c r="AC14" s="10" t="str">
        <f>IFERROR(__xludf.DUMMYFUNCTION("GOOGLETRANSLATE(K14,""my"", ""en"")"),"Alan Moon ေရှာင်")</f>
        <v>Alan Moon ေရှာင်</v>
      </c>
      <c r="AD14" s="10" t="str">
        <f>IFERROR(__xludf.DUMMYFUNCTION("GOOGLETRANSLATE(L14,""my"", ""en"")"),"Kachin State party ပည်သူ")</f>
        <v>Kachin State party ပည်သူ</v>
      </c>
      <c r="AE14" s="10" t="str">
        <f>IFERROR(__xludf.DUMMYFUNCTION("GOOGLETRANSLATE(M14,""my"", ""en"")"),"3853")</f>
        <v>3853</v>
      </c>
      <c r="AF14" s="10" t="str">
        <f>IFERROR(__xludf.DUMMYFUNCTION("GOOGLETRANSLATE(N14,""my"", ""en"")"),"1665")</f>
        <v>1665</v>
      </c>
      <c r="AG14" s="10" t="str">
        <f>IFERROR(__xludf.DUMMYFUNCTION("GOOGLETRANSLATE(O14,""my"", ""en"")"),"5518")</f>
        <v>5518</v>
      </c>
      <c r="AH14" s="10" t="str">
        <f>IFERROR(__xludf.DUMMYFUNCTION("GOOGLETRANSLATE(P14,""my"", ""en"")"),"7.95%")</f>
        <v>7.95%</v>
      </c>
    </row>
    <row r="15" ht="33.7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3" t="s">
        <v>123</v>
      </c>
      <c r="L15" s="22" t="s">
        <v>124</v>
      </c>
      <c r="M15" s="24" t="s">
        <v>125</v>
      </c>
      <c r="N15" s="24" t="s">
        <v>126</v>
      </c>
      <c r="O15" s="24" t="s">
        <v>127</v>
      </c>
      <c r="P15" s="25" t="s">
        <v>128</v>
      </c>
      <c r="Q15" s="8"/>
      <c r="AC15" s="10" t="str">
        <f>IFERROR(__xludf.DUMMYFUNCTION("GOOGLETRANSLATE(K15,""my"", ""en"")"),"ေကျာ Win")</f>
        <v>ေကျာ Win</v>
      </c>
      <c r="AD15" s="10" t="str">
        <f>IFERROR(__xludf.DUMMYFUNCTION("GOOGLETRANSLATE(L15,""my"", ""en"")"),"တိုင်းလိုင် (ရှမ်းနီ)  Game Development  Phil 
Progressive")</f>
        <v>တိုင်းလိုင် (ရှမ်းနီ)  Game Development  Phil 
Progressive</v>
      </c>
      <c r="AE15" s="10" t="str">
        <f>IFERROR(__xludf.DUMMYFUNCTION("GOOGLETRANSLATE(M15,""my"", ""en"")"),"3095")</f>
        <v>3095</v>
      </c>
      <c r="AF15" s="10" t="str">
        <f>IFERROR(__xludf.DUMMYFUNCTION("GOOGLETRANSLATE(N15,""my"", ""en"")"),"1064")</f>
        <v>1064</v>
      </c>
      <c r="AG15" s="10" t="str">
        <f>IFERROR(__xludf.DUMMYFUNCTION("GOOGLETRANSLATE(O15,""my"", ""en"")"),"4159")</f>
        <v>4159</v>
      </c>
      <c r="AH15" s="10" t="str">
        <f>IFERROR(__xludf.DUMMYFUNCTION("GOOGLETRANSLATE(P15,""my"", ""en"")"),"6.00%")</f>
        <v>6.00%</v>
      </c>
    </row>
    <row r="16" ht="21.0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3" t="s">
        <v>129</v>
      </c>
      <c r="L16" s="23" t="s">
        <v>130</v>
      </c>
      <c r="M16" s="24" t="s">
        <v>131</v>
      </c>
      <c r="N16" s="24" t="s">
        <v>132</v>
      </c>
      <c r="O16" s="24" t="s">
        <v>133</v>
      </c>
      <c r="P16" s="25" t="s">
        <v>134</v>
      </c>
      <c r="Q16" s="20"/>
      <c r="AC16" s="10" t="str">
        <f>IFERROR(__xludf.DUMMYFUNCTION("GOOGLETRANSLATE(K16,""my"", ""en"")"),"ေပါင်း Kham")</f>
        <v>ေပါင်း Kham</v>
      </c>
      <c r="AD16" s="10" t="str">
        <f>IFERROR(__xludf.DUMMYFUNCTION("GOOGLETRANSLATE(L16,""my"", ""en"")"),"Shan Nationalities")</f>
        <v>Shan Nationalities</v>
      </c>
      <c r="AE16" s="10" t="str">
        <f>IFERROR(__xludf.DUMMYFUNCTION("GOOGLETRANSLATE(M16,""my"", ""en"")"),"2683")</f>
        <v>2683</v>
      </c>
      <c r="AF16" s="10" t="str">
        <f>IFERROR(__xludf.DUMMYFUNCTION("GOOGLETRANSLATE(N16,""my"", ""en"")"),"844")</f>
        <v>844</v>
      </c>
      <c r="AG16" s="10" t="str">
        <f>IFERROR(__xludf.DUMMYFUNCTION("GOOGLETRANSLATE(O16,""my"", ""en"")"),"3527")</f>
        <v>3527</v>
      </c>
      <c r="AH16" s="10" t="str">
        <f>IFERROR(__xludf.DUMMYFUNCTION("GOOGLETRANSLATE(P16,""my"", ""en"")"),"5.08%")</f>
        <v>5.08%</v>
      </c>
    </row>
    <row r="17" ht="21.0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3" t="s">
        <v>135</v>
      </c>
      <c r="L17" s="23" t="s">
        <v>136</v>
      </c>
      <c r="M17" s="24" t="s">
        <v>137</v>
      </c>
      <c r="N17" s="24" t="s">
        <v>138</v>
      </c>
      <c r="O17" s="24" t="s">
        <v>139</v>
      </c>
      <c r="P17" s="25" t="s">
        <v>140</v>
      </c>
      <c r="Q17" s="20"/>
      <c r="AC17" s="10" t="str">
        <f>IFERROR(__xludf.DUMMYFUNCTION("GOOGLETRANSLATE(K17,""my"", ""en"")"),"ေဇာ ေဇာ")</f>
        <v>ေဇာ ေဇာ</v>
      </c>
      <c r="AD17" s="10" t="str">
        <f>IFERROR(__xludf.DUMMYFUNCTION("GOOGLETRANSLATE(L17,""my"", ""en"")"),"ပည်သူ ေရှ  ေဆာင် Party")</f>
        <v>ပည်သူ ေရှ  ေဆာင် Party</v>
      </c>
      <c r="AE17" s="10" t="str">
        <f>IFERROR(__xludf.DUMMYFUNCTION("GOOGLETRANSLATE(M17,""my"", ""en"")"),"579")</f>
        <v>579</v>
      </c>
      <c r="AF17" s="10" t="str">
        <f>IFERROR(__xludf.DUMMYFUNCTION("GOOGLETRANSLATE(N17,""my"", ""en"")"),"291")</f>
        <v>291</v>
      </c>
      <c r="AG17" s="10" t="str">
        <f>IFERROR(__xludf.DUMMYFUNCTION("GOOGLETRANSLATE(O17,""my"", ""en"")"),"870")</f>
        <v>870</v>
      </c>
      <c r="AH17" s="10" t="str">
        <f>IFERROR(__xludf.DUMMYFUNCTION("GOOGLETRANSLATE(P17,""my"", ""en"")"),"1.25%")</f>
        <v>1.25%</v>
      </c>
    </row>
    <row r="18" ht="21.0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3" t="s">
        <v>141</v>
      </c>
      <c r="L18" s="23" t="s">
        <v>142</v>
      </c>
      <c r="M18" s="24" t="s">
        <v>143</v>
      </c>
      <c r="N18" s="24" t="s">
        <v>144</v>
      </c>
      <c r="O18" s="24" t="s">
        <v>145</v>
      </c>
      <c r="P18" s="25" t="s">
        <v>146</v>
      </c>
      <c r="Q18" s="20"/>
      <c r="AC18" s="10" t="str">
        <f>IFERROR(__xludf.DUMMYFUNCTION("GOOGLETRANSLATE(K18,""my"", ""en"")"),"ေကျာ သူေ Settle")</f>
        <v>ေကျာ သူေ Settle</v>
      </c>
      <c r="AD18" s="10" t="str">
        <f>IFERROR(__xludf.DUMMYFUNCTION("GOOGLETRANSLATE(L18,""my"", ""en"")"),"Local ေထာင် စုေ white  Game ေဆာင် Party")</f>
        <v>Local ေထာင် စုေ white  Game ေဆာင် Party</v>
      </c>
      <c r="AE18" s="10" t="str">
        <f>IFERROR(__xludf.DUMMYFUNCTION("GOOGLETRANSLATE(M18,""my"", ""en"")"),"342")</f>
        <v>342</v>
      </c>
      <c r="AF18" s="10" t="str">
        <f>IFERROR(__xludf.DUMMYFUNCTION("GOOGLETRANSLATE(N18,""my"", ""en"")"),"223")</f>
        <v>223</v>
      </c>
      <c r="AG18" s="10" t="str">
        <f>IFERROR(__xludf.DUMMYFUNCTION("GOOGLETRANSLATE(O18,""my"", ""en"")"),"565")</f>
        <v>565</v>
      </c>
      <c r="AH18" s="10" t="str">
        <f>IFERROR(__xludf.DUMMYFUNCTION("GOOGLETRANSLATE(P18,""my"", ""en"")"),"0.81%")</f>
        <v>0.81%</v>
      </c>
    </row>
    <row r="19" ht="21.75" customHeight="1">
      <c r="A19" s="17" t="s">
        <v>147</v>
      </c>
      <c r="B19" s="17" t="s">
        <v>148</v>
      </c>
      <c r="C19" s="18" t="s">
        <v>149</v>
      </c>
      <c r="D19" s="18" t="s">
        <v>150</v>
      </c>
      <c r="E19" s="18" t="s">
        <v>151</v>
      </c>
      <c r="F19" s="18" t="s">
        <v>152</v>
      </c>
      <c r="G19" s="18" t="s">
        <v>153</v>
      </c>
      <c r="H19" s="18" t="s">
        <v>154</v>
      </c>
      <c r="I19" s="18" t="s">
        <v>155</v>
      </c>
      <c r="J19" s="18" t="s">
        <v>156</v>
      </c>
      <c r="K19" s="27"/>
      <c r="L19" s="27"/>
      <c r="M19" s="18" t="s">
        <v>157</v>
      </c>
      <c r="N19" s="18" t="s">
        <v>158</v>
      </c>
      <c r="O19" s="18" t="s">
        <v>159</v>
      </c>
      <c r="P19" s="27"/>
      <c r="Q19" s="8"/>
      <c r="S19" s="10" t="str">
        <f>IFERROR(__xludf.DUMMYFUNCTION("GOOGLETRANSLATE(A19,""my"", ""en"")"),"3")</f>
        <v>3</v>
      </c>
      <c r="T19" s="10" t="str">
        <f>IFERROR(__xludf.DUMMYFUNCTION("GOOGLETRANSLATE(B19,""my"", ""en"")"),"မဲဆ  No. (3)")</f>
        <v>မဲဆ  No. (3)</v>
      </c>
      <c r="U19" s="10" t="str">
        <f>IFERROR(__xludf.DUMMYFUNCTION("GOOGLETRANSLATE(C19,""my"", ""en"")"),"108269")</f>
        <v>108269</v>
      </c>
      <c r="V19" s="10" t="str">
        <f>IFERROR(__xludf.DUMMYFUNCTION("GOOGLETRANSLATE(D19,""my"", ""en"")"),"65271")</f>
        <v>65271</v>
      </c>
      <c r="W19" s="10" t="str">
        <f>IFERROR(__xludf.DUMMYFUNCTION("GOOGLETRANSLATE(E19,""my"", ""en"")"),"18236")</f>
        <v>18236</v>
      </c>
      <c r="X19" s="10" t="str">
        <f>IFERROR(__xludf.DUMMYFUNCTION("GOOGLETRANSLATE(F19,""my"", ""en"")"),"83507")</f>
        <v>83507</v>
      </c>
      <c r="Y19" s="10" t="str">
        <f>IFERROR(__xludf.DUMMYFUNCTION("GOOGLETRANSLATE(G19,""my"", ""en"")"),"77.13")</f>
        <v>77.13</v>
      </c>
      <c r="Z19" s="10" t="str">
        <f>IFERROR(__xludf.DUMMYFUNCTION("GOOGLETRANSLATE(H19,""my"", ""en"")"),"5296")</f>
        <v>5296</v>
      </c>
      <c r="AA19" s="10" t="str">
        <f>IFERROR(__xludf.DUMMYFUNCTION("GOOGLETRANSLATE(I19,""my"", ""en"")"),"32")</f>
        <v>32</v>
      </c>
      <c r="AB19" s="10" t="str">
        <f>IFERROR(__xludf.DUMMYFUNCTION("GOOGLETRANSLATE(J19,""my"", ""en"")"),"5328")</f>
        <v>5328</v>
      </c>
      <c r="AE19" s="10" t="str">
        <f>IFERROR(__xludf.DUMMYFUNCTION("GOOGLETRANSLATE(M19,""my"", ""en"")"),"61088")</f>
        <v>61088</v>
      </c>
      <c r="AF19" s="10" t="str">
        <f>IFERROR(__xludf.DUMMYFUNCTION("GOOGLETRANSLATE(N19,""my"", ""en"")"),"17091")</f>
        <v>17091</v>
      </c>
      <c r="AG19" s="10" t="str">
        <f>IFERROR(__xludf.DUMMYFUNCTION("GOOGLETRANSLATE(O19,""my"", ""en"")"),"78179")</f>
        <v>78179</v>
      </c>
    </row>
    <row r="20" ht="19.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3" t="s">
        <v>160</v>
      </c>
      <c r="L20" s="23" t="s">
        <v>161</v>
      </c>
      <c r="M20" s="24" t="s">
        <v>162</v>
      </c>
      <c r="N20" s="24" t="s">
        <v>163</v>
      </c>
      <c r="O20" s="24" t="s">
        <v>164</v>
      </c>
      <c r="P20" s="25" t="s">
        <v>165</v>
      </c>
      <c r="Q20" s="20"/>
      <c r="AC20" s="10" t="str">
        <f>IFERROR(__xludf.DUMMYFUNCTION("GOOGLETRANSLATE(K20,""my"", ""en"")"),"Soe  treated ေကျာ")</f>
        <v>Soe  treated ေကျာ</v>
      </c>
      <c r="AD20" s="10" t="str">
        <f>IFERROR(__xludf.DUMMYFUNCTION("GOOGLETRANSLATE(L20,""my"", ""en"")")," Game Democracy group   Pop Party")</f>
        <v> Game Democracy group   Pop Party</v>
      </c>
      <c r="AE20" s="10" t="str">
        <f>IFERROR(__xludf.DUMMYFUNCTION("GOOGLETRANSLATE(M20,""my"", ""en"")"),"33499")</f>
        <v>33499</v>
      </c>
      <c r="AF20" s="10" t="str">
        <f>IFERROR(__xludf.DUMMYFUNCTION("GOOGLETRANSLATE(N20,""my"", ""en"")"),"8002")</f>
        <v>8002</v>
      </c>
      <c r="AG20" s="10" t="str">
        <f>IFERROR(__xludf.DUMMYFUNCTION("GOOGLETRANSLATE(O20,""my"", ""en"")"),"41501")</f>
        <v>41501</v>
      </c>
      <c r="AH20" s="10" t="str">
        <f>IFERROR(__xludf.DUMMYFUNCTION("GOOGLETRANSLATE(P20,""my"", ""en"")"),"53.08%")</f>
        <v>53.08%</v>
      </c>
    </row>
    <row r="21" ht="21.0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3" t="s">
        <v>166</v>
      </c>
      <c r="L21" s="23" t="s">
        <v>167</v>
      </c>
      <c r="M21" s="24" t="s">
        <v>168</v>
      </c>
      <c r="N21" s="24" t="s">
        <v>169</v>
      </c>
      <c r="O21" s="24" t="s">
        <v>170</v>
      </c>
      <c r="P21" s="25" t="s">
        <v>171</v>
      </c>
      <c r="Q21" s="20"/>
      <c r="AC21" s="10" t="str">
        <f>IFERROR(__xludf.DUMMYFUNCTION("GOOGLETRANSLATE(K21,""my"", ""en"")"),"ေကျာ Win")</f>
        <v>ေကျာ Win</v>
      </c>
      <c r="AD21" s="10" t="str">
        <f>IFERROR(__xludf.DUMMYFUNCTION("GOOGLETRANSLATE(L21,""my"", ""en"")"),"Local ေထာင် soap-stone strong ေရး  under development  Phil  ေရး Party")</f>
        <v>Local ေထာင် soap-stone strong ေရး  under development  Phil  ေရး Party</v>
      </c>
      <c r="AE21" s="10" t="str">
        <f>IFERROR(__xludf.DUMMYFUNCTION("GOOGLETRANSLATE(M21,""my"", ""en"")"),"16830")</f>
        <v>16830</v>
      </c>
      <c r="AF21" s="10" t="str">
        <f>IFERROR(__xludf.DUMMYFUNCTION("GOOGLETRANSLATE(N21,""my"", ""en"")"),"5838")</f>
        <v>5838</v>
      </c>
      <c r="AG21" s="10" t="str">
        <f>IFERROR(__xludf.DUMMYFUNCTION("GOOGLETRANSLATE(O21,""my"", ""en"")"),"22668")</f>
        <v>22668</v>
      </c>
      <c r="AH21" s="10" t="str">
        <f>IFERROR(__xludf.DUMMYFUNCTION("GOOGLETRANSLATE(P21,""my"", ""en"")"),"29.00%")</f>
        <v>29.00%</v>
      </c>
    </row>
    <row r="22" ht="19.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2" t="s">
        <v>172</v>
      </c>
      <c r="L22" s="23" t="s">
        <v>173</v>
      </c>
      <c r="M22" s="24" t="s">
        <v>174</v>
      </c>
      <c r="N22" s="24" t="s">
        <v>175</v>
      </c>
      <c r="O22" s="24" t="s">
        <v>176</v>
      </c>
      <c r="P22" s="25" t="s">
        <v>177</v>
      </c>
      <c r="Q22" s="20"/>
      <c r="AC22" s="10" t="str">
        <f>IFERROR(__xludf.DUMMYFUNCTION("GOOGLETRANSLATE(K22,""my"", ""en"")"),"Data  L Ronald")</f>
        <v>Data  L Ronald</v>
      </c>
      <c r="AD22" s="10" t="str">
        <f>IFERROR(__xludf.DUMMYFUNCTION("GOOGLETRANSLATE(L22,""my"", ""en"")"),"Kachin State party ပည်သူ")</f>
        <v>Kachin State party ပည်သူ</v>
      </c>
      <c r="AE22" s="10" t="str">
        <f>IFERROR(__xludf.DUMMYFUNCTION("GOOGLETRANSLATE(M22,""my"", ""en"")"),"4976")</f>
        <v>4976</v>
      </c>
      <c r="AF22" s="10" t="str">
        <f>IFERROR(__xludf.DUMMYFUNCTION("GOOGLETRANSLATE(N22,""my"", ""en"")"),"1302")</f>
        <v>1302</v>
      </c>
      <c r="AG22" s="10" t="str">
        <f>IFERROR(__xludf.DUMMYFUNCTION("GOOGLETRANSLATE(O22,""my"", ""en"")"),"6278")</f>
        <v>6278</v>
      </c>
      <c r="AH22" s="10" t="str">
        <f>IFERROR(__xludf.DUMMYFUNCTION("GOOGLETRANSLATE(P22,""my"", ""en"")"),"8.03%")</f>
        <v>8.03%</v>
      </c>
    </row>
    <row r="23" ht="21.7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3" t="s">
        <v>178</v>
      </c>
      <c r="L23" s="23" t="s">
        <v>179</v>
      </c>
      <c r="M23" s="24" t="s">
        <v>180</v>
      </c>
      <c r="N23" s="24" t="s">
        <v>181</v>
      </c>
      <c r="O23" s="24" t="s">
        <v>182</v>
      </c>
      <c r="P23" s="25" t="s">
        <v>183</v>
      </c>
      <c r="Q23" s="8"/>
      <c r="AC23" s="10" t="str">
        <f>IFERROR(__xludf.DUMMYFUNCTION("GOOGLETRANSLATE(K23,""my"", ""en"")"),"ေအာင် Win")</f>
        <v>ေအာင် Win</v>
      </c>
      <c r="AD23" s="10" t="str">
        <f>IFERROR(__xludf.DUMMYFUNCTION("GOOGLETRANSLATE(L23,""my"", ""en"")"),"Shan Nationalities")</f>
        <v>Shan Nationalities</v>
      </c>
      <c r="AE23" s="10" t="str">
        <f>IFERROR(__xludf.DUMMYFUNCTION("GOOGLETRANSLATE(M23,""my"", ""en"")"),"3447")</f>
        <v>3447</v>
      </c>
      <c r="AF23" s="10" t="str">
        <f>IFERROR(__xludf.DUMMYFUNCTION("GOOGLETRANSLATE(N23,""my"", ""en"")"),"791")</f>
        <v>791</v>
      </c>
      <c r="AG23" s="10" t="str">
        <f>IFERROR(__xludf.DUMMYFUNCTION("GOOGLETRANSLATE(O23,""my"", ""en"")"),"4238")</f>
        <v>4238</v>
      </c>
      <c r="AH23" s="10" t="str">
        <f>IFERROR(__xludf.DUMMYFUNCTION("GOOGLETRANSLATE(P23,""my"", ""en"")"),"5.42%")</f>
        <v>5.42%</v>
      </c>
    </row>
    <row r="24" ht="21.0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3" t="s">
        <v>184</v>
      </c>
      <c r="L24" s="23" t="s">
        <v>185</v>
      </c>
      <c r="M24" s="24" t="s">
        <v>186</v>
      </c>
      <c r="N24" s="24" t="s">
        <v>187</v>
      </c>
      <c r="O24" s="24" t="s">
        <v>188</v>
      </c>
      <c r="P24" s="25" t="s">
        <v>189</v>
      </c>
      <c r="Q24" s="20"/>
      <c r="AC24" s="10" t="str">
        <f>IFERROR(__xludf.DUMMYFUNCTION("GOOGLETRANSLATE(K24,""my"", ""en"")"),"-shaped palm heights")</f>
        <v>-shaped palm heights</v>
      </c>
      <c r="AD24" s="10" t="str">
        <f>IFERROR(__xludf.DUMMYFUNCTION("GOOGLETRANSLATE(L24,""my"", ""en"")"),"Local ေထာင် စုေ white  Game ေဆာင် Party")</f>
        <v>Local ေထာင် စုေ white  Game ေဆာင် Party</v>
      </c>
      <c r="AE24" s="10" t="str">
        <f>IFERROR(__xludf.DUMMYFUNCTION("GOOGLETRANSLATE(M24,""my"", ""en"")"),"1260")</f>
        <v>1260</v>
      </c>
      <c r="AF24" s="10" t="str">
        <f>IFERROR(__xludf.DUMMYFUNCTION("GOOGLETRANSLATE(N24,""my"", ""en"")"),"523")</f>
        <v>523</v>
      </c>
      <c r="AG24" s="10" t="str">
        <f>IFERROR(__xludf.DUMMYFUNCTION("GOOGLETRANSLATE(O24,""my"", ""en"")"),"1783")</f>
        <v>1783</v>
      </c>
      <c r="AH24" s="10" t="str">
        <f>IFERROR(__xludf.DUMMYFUNCTION("GOOGLETRANSLATE(P24,""my"", ""en"")"),"2.28%")</f>
        <v>2.28%</v>
      </c>
    </row>
    <row r="25" ht="21.0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3" t="s">
        <v>190</v>
      </c>
      <c r="L25" s="23" t="s">
        <v>191</v>
      </c>
      <c r="M25" s="24" t="s">
        <v>192</v>
      </c>
      <c r="N25" s="24" t="s">
        <v>193</v>
      </c>
      <c r="O25" s="24" t="s">
        <v>194</v>
      </c>
      <c r="P25" s="25" t="s">
        <v>195</v>
      </c>
      <c r="Q25" s="8"/>
      <c r="AC25" s="10" t="str">
        <f>IFERROR(__xludf.DUMMYFUNCTION("GOOGLETRANSLATE(K25,""my"", ""en"")"),"ဦွး")</f>
        <v>ဦွး</v>
      </c>
      <c r="AD25" s="10" t="str">
        <f>IFERROR(__xludf.DUMMYFUNCTION("GOOGLETRANSLATE(L25,""my"", ""en"")"),"Ethnic unity  working party ေရး")</f>
        <v>Ethnic unity  working party ေရး</v>
      </c>
      <c r="AE25" s="10" t="str">
        <f>IFERROR(__xludf.DUMMYFUNCTION("GOOGLETRANSLATE(M25,""my"", ""en"")"),"1076")</f>
        <v>1076</v>
      </c>
      <c r="AF25" s="10" t="str">
        <f>IFERROR(__xludf.DUMMYFUNCTION("GOOGLETRANSLATE(N25,""my"", ""en"")"),"635")</f>
        <v>635</v>
      </c>
      <c r="AG25" s="10" t="str">
        <f>IFERROR(__xludf.DUMMYFUNCTION("GOOGLETRANSLATE(O25,""my"", ""en"")"),"1711")</f>
        <v>1711</v>
      </c>
      <c r="AH25" s="10" t="str">
        <f>IFERROR(__xludf.DUMMYFUNCTION("GOOGLETRANSLATE(P25,""my"", ""en"")"),"2.19%")</f>
        <v>2.19%</v>
      </c>
    </row>
    <row r="26" ht="22.5" customHeight="1">
      <c r="A26" s="28" t="s">
        <v>196</v>
      </c>
      <c r="B26" s="17" t="s">
        <v>197</v>
      </c>
      <c r="C26" s="18" t="s">
        <v>198</v>
      </c>
      <c r="D26" s="18" t="s">
        <v>199</v>
      </c>
      <c r="E26" s="18" t="s">
        <v>200</v>
      </c>
      <c r="F26" s="18" t="s">
        <v>201</v>
      </c>
      <c r="G26" s="18" t="s">
        <v>202</v>
      </c>
      <c r="H26" s="18" t="s">
        <v>203</v>
      </c>
      <c r="I26" s="18" t="s">
        <v>204</v>
      </c>
      <c r="J26" s="18" t="s">
        <v>205</v>
      </c>
      <c r="K26" s="27"/>
      <c r="L26" s="27"/>
      <c r="M26" s="18" t="s">
        <v>206</v>
      </c>
      <c r="N26" s="18" t="s">
        <v>207</v>
      </c>
      <c r="O26" s="18" t="s">
        <v>208</v>
      </c>
      <c r="P26" s="27"/>
      <c r="S26" s="10" t="str">
        <f>IFERROR(__xludf.DUMMYFUNCTION("GOOGLETRANSLATE(A26,""my"", ""en"")"),"4")</f>
        <v>4</v>
      </c>
      <c r="T26" s="10" t="str">
        <f>IFERROR(__xludf.DUMMYFUNCTION("GOOGLETRANSLATE(B26,""my"", ""en"")"),"မဲဆ  No. (4)")</f>
        <v>မဲဆ  No. (4)</v>
      </c>
      <c r="U26" s="10" t="str">
        <f>IFERROR(__xludf.DUMMYFUNCTION("GOOGLETRANSLATE(C26,""my"", ""en"")"),"50300")</f>
        <v>50300</v>
      </c>
      <c r="V26" s="10" t="str">
        <f>IFERROR(__xludf.DUMMYFUNCTION("GOOGLETRANSLATE(D26,""my"", ""en"")"),"26357")</f>
        <v>26357</v>
      </c>
      <c r="W26" s="10" t="str">
        <f>IFERROR(__xludf.DUMMYFUNCTION("GOOGLETRANSLATE(E26,""my"", ""en"")"),"8583")</f>
        <v>8583</v>
      </c>
      <c r="X26" s="10" t="str">
        <f>IFERROR(__xludf.DUMMYFUNCTION("GOOGLETRANSLATE(F26,""my"", ""en"")"),"34940")</f>
        <v>34940</v>
      </c>
      <c r="Y26" s="10" t="str">
        <f>IFERROR(__xludf.DUMMYFUNCTION("GOOGLETRANSLATE(G26,""my"", ""en"")"),"69.46")</f>
        <v>69.46</v>
      </c>
      <c r="Z26" s="10" t="str">
        <f>IFERROR(__xludf.DUMMYFUNCTION("GOOGLETRANSLATE(H26,""my"", ""en"")"),"1183")</f>
        <v>1183</v>
      </c>
      <c r="AA26" s="10" t="str">
        <f>IFERROR(__xludf.DUMMYFUNCTION("GOOGLETRANSLATE(I26,""my"", ""en"")"),"10")</f>
        <v>10</v>
      </c>
      <c r="AB26" s="10" t="str">
        <f>IFERROR(__xludf.DUMMYFUNCTION("GOOGLETRANSLATE(J26,""my"", ""en"")"),"1193")</f>
        <v>1193</v>
      </c>
      <c r="AE26" s="10" t="str">
        <f>IFERROR(__xludf.DUMMYFUNCTION("GOOGLETRANSLATE(M26,""my"", ""en"")"),"25380")</f>
        <v>25380</v>
      </c>
      <c r="AF26" s="10" t="str">
        <f>IFERROR(__xludf.DUMMYFUNCTION("GOOGLETRANSLATE(N26,""my"", ""en"")"),"8367")</f>
        <v>8367</v>
      </c>
      <c r="AG26" s="10" t="str">
        <f>IFERROR(__xludf.DUMMYFUNCTION("GOOGLETRANSLATE(O26,""my"", ""en"")"),"33747")</f>
        <v>33747</v>
      </c>
    </row>
    <row r="27" ht="24.0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3" t="s">
        <v>209</v>
      </c>
      <c r="L27" s="23" t="s">
        <v>210</v>
      </c>
      <c r="M27" s="24" t="s">
        <v>211</v>
      </c>
      <c r="N27" s="24" t="s">
        <v>212</v>
      </c>
      <c r="O27" s="24" t="s">
        <v>213</v>
      </c>
      <c r="P27" s="25" t="s">
        <v>214</v>
      </c>
      <c r="AC27" s="10" t="str">
        <f>IFERROR(__xludf.DUMMYFUNCTION("GOOGLETRANSLATE(K27,""my"", ""en"")"),"ေဒါက် tax court ေသာင်း")</f>
        <v>ေဒါက် tax court ေသာင်း</v>
      </c>
      <c r="AD27" s="10" t="str">
        <f>IFERROR(__xludf.DUMMYFUNCTION("GOOGLETRANSLATE(L27,""my"", ""en"")")," Game Democracy group   Pop Party")</f>
        <v> Game Democracy group   Pop Party</v>
      </c>
      <c r="AE27" s="10" t="str">
        <f>IFERROR(__xludf.DUMMYFUNCTION("GOOGLETRANSLATE(M27,""my"", ""en"")"),"8201")</f>
        <v>8201</v>
      </c>
      <c r="AF27" s="10" t="str">
        <f>IFERROR(__xludf.DUMMYFUNCTION("GOOGLETRANSLATE(N27,""my"", ""en"")"),"2365")</f>
        <v>2365</v>
      </c>
      <c r="AG27" s="10" t="str">
        <f>IFERROR(__xludf.DUMMYFUNCTION("GOOGLETRANSLATE(O27,""my"", ""en"")"),"10566")</f>
        <v>10566</v>
      </c>
      <c r="AH27" s="10" t="str">
        <f>IFERROR(__xludf.DUMMYFUNCTION("GOOGLETRANSLATE(P27,""my"", ""en"")"),"31.31%")</f>
        <v>31.31%</v>
      </c>
    </row>
    <row r="28" ht="22.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3" t="s">
        <v>215</v>
      </c>
      <c r="L28" s="29" t="s">
        <v>216</v>
      </c>
      <c r="M28" s="30" t="s">
        <v>217</v>
      </c>
      <c r="N28" s="30" t="s">
        <v>218</v>
      </c>
      <c r="O28" s="24" t="s">
        <v>219</v>
      </c>
      <c r="P28" s="25" t="s">
        <v>220</v>
      </c>
      <c r="AC28" s="10" t="str">
        <f>IFERROR(__xludf.DUMMYFUNCTION("GOOGLETRANSLATE(K28,""my"", ""en"")"),"Sai ေကျာ Thiha")</f>
        <v>Sai ေကျာ Thiha</v>
      </c>
      <c r="AD28" s="10" t="str">
        <f>IFERROR(__xludf.DUMMYFUNCTION("GOOGLETRANSLATE(L28,""my"", ""en"")"),"In the Shan Nationalities League for Democracy members   Party")</f>
        <v>In the Shan Nationalities League for Democracy members   Party</v>
      </c>
      <c r="AE28" s="10" t="str">
        <f>IFERROR(__xludf.DUMMYFUNCTION("GOOGLETRANSLATE(M28,""my"", ""en"")"),"5234")</f>
        <v>5234</v>
      </c>
      <c r="AF28" s="10" t="str">
        <f>IFERROR(__xludf.DUMMYFUNCTION("GOOGLETRANSLATE(N28,""my"", ""en"")"),"934")</f>
        <v>934</v>
      </c>
      <c r="AG28" s="10" t="str">
        <f>IFERROR(__xludf.DUMMYFUNCTION("GOOGLETRANSLATE(O28,""my"", ""en"")"),"6168")</f>
        <v>6168</v>
      </c>
      <c r="AH28" s="10" t="str">
        <f>IFERROR(__xludf.DUMMYFUNCTION("GOOGLETRANSLATE(P28,""my"", ""en"")"),"18.28%")</f>
        <v>18.28%</v>
      </c>
    </row>
    <row r="29" ht="21.7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3" t="s">
        <v>221</v>
      </c>
      <c r="L29" s="23" t="s">
        <v>222</v>
      </c>
      <c r="M29" s="24" t="s">
        <v>223</v>
      </c>
      <c r="N29" s="24" t="s">
        <v>224</v>
      </c>
      <c r="O29" s="24" t="s">
        <v>225</v>
      </c>
      <c r="P29" s="25" t="s">
        <v>226</v>
      </c>
      <c r="AC29" s="10" t="str">
        <f>IFERROR(__xludf.DUMMYFUNCTION("GOOGLETRANSLATE(K29,""my"", ""en"")"),"Dashi dig Luang")</f>
        <v>Dashi dig Luang</v>
      </c>
      <c r="AD29" s="10" t="str">
        <f>IFERROR(__xludf.DUMMYFUNCTION("GOOGLETRANSLATE(L29,""my"", ""en"")"),"Local ေထာင် soap-stone strong ေရး  under development  Phil  ေရး Party")</f>
        <v>Local ေထာင် soap-stone strong ေရး  under development  Phil  ေရး Party</v>
      </c>
      <c r="AE29" s="10" t="str">
        <f>IFERROR(__xludf.DUMMYFUNCTION("GOOGLETRANSLATE(M29,""my"", ""en"")"),"3575")</f>
        <v>3575</v>
      </c>
      <c r="AF29" s="10" t="str">
        <f>IFERROR(__xludf.DUMMYFUNCTION("GOOGLETRANSLATE(N29,""my"", ""en"")"),"2478")</f>
        <v>2478</v>
      </c>
      <c r="AG29" s="10" t="str">
        <f>IFERROR(__xludf.DUMMYFUNCTION("GOOGLETRANSLATE(O29,""my"", ""en"")"),"6053")</f>
        <v>6053</v>
      </c>
      <c r="AH29" s="10" t="str">
        <f>IFERROR(__xludf.DUMMYFUNCTION("GOOGLETRANSLATE(P29,""my"", ""en"")"),"17.93%")</f>
        <v>17.93%</v>
      </c>
    </row>
    <row r="30" ht="36.7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2" t="s">
        <v>227</v>
      </c>
      <c r="L30" s="23" t="s">
        <v>228</v>
      </c>
      <c r="M30" s="24" t="s">
        <v>229</v>
      </c>
      <c r="N30" s="24" t="s">
        <v>230</v>
      </c>
      <c r="O30" s="24" t="s">
        <v>231</v>
      </c>
      <c r="P30" s="31" t="s">
        <v>232</v>
      </c>
      <c r="AC30" s="10" t="str">
        <f>IFERROR(__xludf.DUMMYFUNCTION("GOOGLETRANSLATE(K30,""my"", ""en"")"),"Sein ေရ (b)
Before  pendants E. elk")</f>
        <v>Sein ေရ (b)
Before  pendants E. elk</v>
      </c>
      <c r="AD30" s="10" t="str">
        <f>IFERROR(__xludf.DUMMYFUNCTION("GOOGLETRANSLATE(L30,""my"", ""en"")"),"Kachin State party ပည်သူ")</f>
        <v>Kachin State party ပည်သူ</v>
      </c>
      <c r="AE30" s="10" t="str">
        <f>IFERROR(__xludf.DUMMYFUNCTION("GOOGLETRANSLATE(M30,""my"", ""en"")"),"2567")</f>
        <v>2567</v>
      </c>
      <c r="AF30" s="10" t="str">
        <f>IFERROR(__xludf.DUMMYFUNCTION("GOOGLETRANSLATE(N30,""my"", ""en"")"),"798")</f>
        <v>798</v>
      </c>
      <c r="AG30" s="10" t="str">
        <f>IFERROR(__xludf.DUMMYFUNCTION("GOOGLETRANSLATE(O30,""my"", ""en"")"),"3365")</f>
        <v>3365</v>
      </c>
      <c r="AH30" s="10" t="str">
        <f>IFERROR(__xludf.DUMMYFUNCTION("GOOGLETRANSLATE(P30,""my"", ""en"")"),"9.97%")</f>
        <v>9.97%</v>
      </c>
    </row>
    <row r="31" ht="24.0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3" t="s">
        <v>233</v>
      </c>
      <c r="L31" s="23" t="s">
        <v>234</v>
      </c>
      <c r="M31" s="24" t="s">
        <v>235</v>
      </c>
      <c r="N31" s="24" t="s">
        <v>236</v>
      </c>
      <c r="O31" s="24" t="s">
        <v>237</v>
      </c>
      <c r="P31" s="25" t="s">
        <v>238</v>
      </c>
      <c r="AC31" s="10" t="str">
        <f>IFERROR(__xludf.DUMMYFUNCTION("GOOGLETRANSLATE(K31,""my"", ""en"")"),"Dr.")</f>
        <v>Dr.</v>
      </c>
      <c r="AD31" s="10" t="str">
        <f>IFERROR(__xludf.DUMMYFUNCTION("GOOGLETRANSLATE(L31,""my"", ""en"")"),"Kachin  Game သားကွန်ဂရက် Party")</f>
        <v>Kachin  Game သားကွန်ဂရက် Party</v>
      </c>
      <c r="AE31" s="10" t="str">
        <f>IFERROR(__xludf.DUMMYFUNCTION("GOOGLETRANSLATE(M31,""my"", ""en"")"),"2430")</f>
        <v>2430</v>
      </c>
      <c r="AF31" s="10" t="str">
        <f>IFERROR(__xludf.DUMMYFUNCTION("GOOGLETRANSLATE(N31,""my"", ""en"")"),"677")</f>
        <v>677</v>
      </c>
      <c r="AG31" s="10" t="str">
        <f>IFERROR(__xludf.DUMMYFUNCTION("GOOGLETRANSLATE(O31,""my"", ""en"")"),"3107")</f>
        <v>3107</v>
      </c>
      <c r="AH31" s="10" t="str">
        <f>IFERROR(__xludf.DUMMYFUNCTION("GOOGLETRANSLATE(P31,""my"", ""en"")"),"9.21%")</f>
        <v>9.21%</v>
      </c>
    </row>
    <row r="32" ht="37.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32" t="s">
        <v>239</v>
      </c>
      <c r="L32" s="23" t="s">
        <v>240</v>
      </c>
      <c r="M32" s="33" t="s">
        <v>241</v>
      </c>
      <c r="N32" s="33" t="s">
        <v>242</v>
      </c>
      <c r="O32" s="33" t="s">
        <v>243</v>
      </c>
      <c r="P32" s="31" t="s">
        <v>244</v>
      </c>
      <c r="AC32" s="10" t="str">
        <f>IFERROR(__xludf.DUMMYFUNCTION("GOOGLETRANSLATE(K32,""my"", ""en"")"),"Thein Than ေဇာ")</f>
        <v>Thein Than ေဇာ</v>
      </c>
      <c r="AD32" s="10" t="str">
        <f>IFERROR(__xludf.DUMMYFUNCTION("GOOGLETRANSLATE(L32,""my"", ""en"")"),"တိုင်းလိုင် (ရှမ်းနီ)  Game Development  increased Phil  ေရး Party")</f>
        <v>တိုင်းလိုင် (ရှမ်းနီ)  Game Development  increased Phil  ေရး Party</v>
      </c>
      <c r="AE32" s="10" t="str">
        <f>IFERROR(__xludf.DUMMYFUNCTION("GOOGLETRANSLATE(M32,""my"", ""en"")"),"2202")</f>
        <v>2202</v>
      </c>
      <c r="AF32" s="10" t="str">
        <f>IFERROR(__xludf.DUMMYFUNCTION("GOOGLETRANSLATE(N32,""my"", ""en"")"),"680")</f>
        <v>680</v>
      </c>
      <c r="AG32" s="10" t="str">
        <f>IFERROR(__xludf.DUMMYFUNCTION("GOOGLETRANSLATE(O32,""my"", ""en"")"),"2882")</f>
        <v>2882</v>
      </c>
      <c r="AH32" s="10" t="str">
        <f>IFERROR(__xludf.DUMMYFUNCTION("GOOGLETRANSLATE(P32,""my"", ""en"")"),"8.54%")</f>
        <v>8.54%</v>
      </c>
    </row>
    <row r="33" ht="24.0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3" t="s">
        <v>245</v>
      </c>
      <c r="L33" s="23" t="s">
        <v>246</v>
      </c>
      <c r="M33" s="24" t="s">
        <v>247</v>
      </c>
      <c r="N33" s="24" t="s">
        <v>248</v>
      </c>
      <c r="O33" s="24" t="s">
        <v>249</v>
      </c>
      <c r="P33" s="25" t="s">
        <v>250</v>
      </c>
      <c r="AC33" s="10" t="str">
        <f>IFERROR(__xludf.DUMMYFUNCTION("GOOGLETRANSLATE(K33,""my"", ""en"")"),"ေဒ  Jasmine")</f>
        <v>ေဒ  Jasmine</v>
      </c>
      <c r="AD33" s="10" t="str">
        <f>IFERROR(__xludf.DUMMYFUNCTION("GOOGLETRANSLATE(L33,""my"", ""en"")"),"Shan Nationalities")</f>
        <v>Shan Nationalities</v>
      </c>
      <c r="AE33" s="10" t="str">
        <f>IFERROR(__xludf.DUMMYFUNCTION("GOOGLETRANSLATE(M33,""my"", ""en"")"),"1171")</f>
        <v>1171</v>
      </c>
      <c r="AF33" s="10" t="str">
        <f>IFERROR(__xludf.DUMMYFUNCTION("GOOGLETRANSLATE(N33,""my"", ""en"")"),"435")</f>
        <v>435</v>
      </c>
      <c r="AG33" s="10" t="str">
        <f>IFERROR(__xludf.DUMMYFUNCTION("GOOGLETRANSLATE(O33,""my"", ""en"")"),"1606")</f>
        <v>1606</v>
      </c>
      <c r="AH33" s="10" t="str">
        <f>IFERROR(__xludf.DUMMYFUNCTION("GOOGLETRANSLATE(P33,""my"", ""en"")"),"4.76%")</f>
        <v>4.76%</v>
      </c>
    </row>
    <row r="34" ht="22.5" customHeight="1">
      <c r="A34" s="28" t="s">
        <v>251</v>
      </c>
      <c r="B34" s="17" t="s">
        <v>252</v>
      </c>
      <c r="C34" s="18" t="s">
        <v>253</v>
      </c>
      <c r="D34" s="18" t="s">
        <v>254</v>
      </c>
      <c r="E34" s="18" t="s">
        <v>255</v>
      </c>
      <c r="F34" s="18" t="s">
        <v>256</v>
      </c>
      <c r="G34" s="18" t="s">
        <v>257</v>
      </c>
      <c r="H34" s="18" t="s">
        <v>258</v>
      </c>
      <c r="I34" s="18" t="s">
        <v>259</v>
      </c>
      <c r="J34" s="18" t="s">
        <v>260</v>
      </c>
      <c r="K34" s="27"/>
      <c r="L34" s="27"/>
      <c r="M34" s="34" t="s">
        <v>261</v>
      </c>
      <c r="N34" s="34" t="s">
        <v>262</v>
      </c>
      <c r="O34" s="18" t="s">
        <v>263</v>
      </c>
      <c r="P34" s="27"/>
      <c r="S34" s="10" t="str">
        <f>IFERROR(__xludf.DUMMYFUNCTION("GOOGLETRANSLATE(A34,""my"", ""en"")"),"5")</f>
        <v>5</v>
      </c>
      <c r="T34" s="10" t="str">
        <f>IFERROR(__xludf.DUMMYFUNCTION("GOOGLETRANSLATE(B34,""my"", ""en"")"),"မဲဆ  (5 points)")</f>
        <v>မဲဆ  (5 points)</v>
      </c>
      <c r="U34" s="10" t="str">
        <f>IFERROR(__xludf.DUMMYFUNCTION("GOOGLETRANSLATE(C34,""my"", ""en"")"),"184062")</f>
        <v>184062</v>
      </c>
      <c r="V34" s="10" t="str">
        <f>IFERROR(__xludf.DUMMYFUNCTION("GOOGLETRANSLATE(D34,""my"", ""en"")"),"90237")</f>
        <v>90237</v>
      </c>
      <c r="W34" s="10" t="str">
        <f>IFERROR(__xludf.DUMMYFUNCTION("GOOGLETRANSLATE(E34,""my"", ""en"")"),"13129")</f>
        <v>13129</v>
      </c>
      <c r="X34" s="10" t="str">
        <f>IFERROR(__xludf.DUMMYFUNCTION("GOOGLETRANSLATE(F34,""my"", ""en"")"),"103366")</f>
        <v>103366</v>
      </c>
      <c r="Y34" s="10" t="str">
        <f>IFERROR(__xludf.DUMMYFUNCTION("GOOGLETRANSLATE(G34,""my"", ""en"")"),"56.16")</f>
        <v>56.16</v>
      </c>
      <c r="Z34" s="10" t="str">
        <f>IFERROR(__xludf.DUMMYFUNCTION("GOOGLETRANSLATE(H34,""my"", ""en"")"),"2749")</f>
        <v>2749</v>
      </c>
      <c r="AA34" s="10" t="str">
        <f>IFERROR(__xludf.DUMMYFUNCTION("GOOGLETRANSLATE(I34,""my"", ""en"")"),"26")</f>
        <v>26</v>
      </c>
      <c r="AB34" s="10" t="str">
        <f>IFERROR(__xludf.DUMMYFUNCTION("GOOGLETRANSLATE(J34,""my"", ""en"")"),"2775")</f>
        <v>2775</v>
      </c>
      <c r="AE34" s="10" t="str">
        <f>IFERROR(__xludf.DUMMYFUNCTION("GOOGLETRANSLATE(M34,""my"", ""en"")"),"87855")</f>
        <v>87855</v>
      </c>
      <c r="AF34" s="10" t="str">
        <f>IFERROR(__xludf.DUMMYFUNCTION("GOOGLETRANSLATE(N34,""my"", ""en"")"),"12736")</f>
        <v>12736</v>
      </c>
      <c r="AG34" s="10" t="str">
        <f>IFERROR(__xludf.DUMMYFUNCTION("GOOGLETRANSLATE(O34,""my"", ""en"")"),"100591")</f>
        <v>100591</v>
      </c>
    </row>
    <row r="35" ht="25.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3" t="s">
        <v>264</v>
      </c>
      <c r="L35" s="23" t="s">
        <v>265</v>
      </c>
      <c r="M35" s="24" t="s">
        <v>266</v>
      </c>
      <c r="N35" s="24" t="s">
        <v>267</v>
      </c>
      <c r="O35" s="24" t="s">
        <v>268</v>
      </c>
      <c r="P35" s="25" t="s">
        <v>269</v>
      </c>
      <c r="AC35" s="10" t="str">
        <f>IFERROR(__xludf.DUMMYFUNCTION("GOOGLETRANSLATE(K35,""my"", ""en"")"),"Khin ေမာင် not")</f>
        <v>Khin ေမာင် not</v>
      </c>
      <c r="AD35" s="10" t="str">
        <f>IFERROR(__xludf.DUMMYFUNCTION("GOOGLETRANSLATE(L35,""my"", ""en"")")," Game Democracy group   Pop Party")</f>
        <v> Game Democracy group   Pop Party</v>
      </c>
      <c r="AE35" s="10" t="str">
        <f>IFERROR(__xludf.DUMMYFUNCTION("GOOGLETRANSLATE(M35,""my"", ""en"")"),"59329")</f>
        <v>59329</v>
      </c>
      <c r="AF35" s="10" t="str">
        <f>IFERROR(__xludf.DUMMYFUNCTION("GOOGLETRANSLATE(N35,""my"", ""en"")"),"5900")</f>
        <v>5900</v>
      </c>
      <c r="AG35" s="10" t="str">
        <f>IFERROR(__xludf.DUMMYFUNCTION("GOOGLETRANSLATE(O35,""my"", ""en"")"),"65229")</f>
        <v>65229</v>
      </c>
      <c r="AH35" s="10" t="str">
        <f>IFERROR(__xludf.DUMMYFUNCTION("GOOGLETRANSLATE(P35,""my"", ""en"")"),"64.85%")</f>
        <v>64.85%</v>
      </c>
    </row>
    <row r="36" ht="22.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3" t="s">
        <v>270</v>
      </c>
      <c r="L36" s="23" t="s">
        <v>271</v>
      </c>
      <c r="M36" s="24" t="s">
        <v>272</v>
      </c>
      <c r="N36" s="24" t="s">
        <v>273</v>
      </c>
      <c r="O36" s="24" t="s">
        <v>274</v>
      </c>
      <c r="P36" s="25" t="s">
        <v>275</v>
      </c>
      <c r="AC36" s="10" t="str">
        <f>IFERROR(__xludf.DUMMYFUNCTION("GOOGLETRANSLATE(K36,""my"", ""en"")"),"ေဇာ sycamore")</f>
        <v>ေဇာ sycamore</v>
      </c>
      <c r="AD36" s="10" t="str">
        <f>IFERROR(__xludf.DUMMYFUNCTION("GOOGLETRANSLATE(L36,""my"", ""en"")"),"Kachin State party ပည်သူ")</f>
        <v>Kachin State party ပည်သူ</v>
      </c>
      <c r="AE36" s="10" t="str">
        <f>IFERROR(__xludf.DUMMYFUNCTION("GOOGLETRANSLATE(M36,""my"", ""en"")"),"16408")</f>
        <v>16408</v>
      </c>
      <c r="AF36" s="10" t="str">
        <f>IFERROR(__xludf.DUMMYFUNCTION("GOOGLETRANSLATE(N36,""my"", ""en"")"),"3171")</f>
        <v>3171</v>
      </c>
      <c r="AG36" s="10" t="str">
        <f>IFERROR(__xludf.DUMMYFUNCTION("GOOGLETRANSLATE(O36,""my"", ""en"")"),"19579")</f>
        <v>19579</v>
      </c>
      <c r="AH36" s="10" t="str">
        <f>IFERROR(__xludf.DUMMYFUNCTION("GOOGLETRANSLATE(P36,""my"", ""en"")"),"19.46%")</f>
        <v>19.46%</v>
      </c>
    </row>
    <row r="37" ht="22.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3" t="s">
        <v>276</v>
      </c>
      <c r="L37" s="23" t="s">
        <v>277</v>
      </c>
      <c r="M37" s="24" t="s">
        <v>278</v>
      </c>
      <c r="N37" s="24" t="s">
        <v>279</v>
      </c>
      <c r="O37" s="24" t="s">
        <v>280</v>
      </c>
      <c r="P37" s="25" t="s">
        <v>281</v>
      </c>
      <c r="AC37" s="10" t="str">
        <f>IFERROR(__xludf.DUMMYFUNCTION("GOOGLETRANSLATE(K37,""my"", ""en"")"),"Brang Seng")</f>
        <v>Brang Seng</v>
      </c>
      <c r="AD37" s="10" t="str">
        <f>IFERROR(__xludf.DUMMYFUNCTION("GOOGLETRANSLATE(L37,""my"", ""en"")"),"Local ေထာင် soap-stone strong ေရး  under development  Phil  ေရး Party")</f>
        <v>Local ေထာင် soap-stone strong ေရး  under development  Phil  ေရး Party</v>
      </c>
      <c r="AE37" s="10" t="str">
        <f>IFERROR(__xludf.DUMMYFUNCTION("GOOGLETRANSLATE(M37,""my"", ""en"")"),"8752")</f>
        <v>8752</v>
      </c>
      <c r="AF37" s="10" t="str">
        <f>IFERROR(__xludf.DUMMYFUNCTION("GOOGLETRANSLATE(N37,""my"", ""en"")"),"2823")</f>
        <v>2823</v>
      </c>
      <c r="AG37" s="10" t="str">
        <f>IFERROR(__xludf.DUMMYFUNCTION("GOOGLETRANSLATE(O37,""my"", ""en"")"),"11575")</f>
        <v>11575</v>
      </c>
      <c r="AH37" s="10" t="str">
        <f>IFERROR(__xludf.DUMMYFUNCTION("GOOGLETRANSLATE(P37,""my"", ""en"")"),"11.51%")</f>
        <v>11.51%</v>
      </c>
    </row>
    <row r="38" ht="40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32" t="s">
        <v>282</v>
      </c>
      <c r="L38" s="23" t="s">
        <v>283</v>
      </c>
      <c r="M38" s="33" t="s">
        <v>284</v>
      </c>
      <c r="N38" s="33" t="s">
        <v>285</v>
      </c>
      <c r="O38" s="33" t="s">
        <v>286</v>
      </c>
      <c r="P38" s="31" t="s">
        <v>287</v>
      </c>
      <c r="AC38" s="10" t="str">
        <f>IFERROR(__xludf.DUMMYFUNCTION("GOOGLETRANSLATE(K38,""my"", ""en"")"),"Khin ေမာင် Lwin")</f>
        <v>Khin ေမာင် Lwin</v>
      </c>
      <c r="AD38" s="10" t="str">
        <f>IFERROR(__xludf.DUMMYFUNCTION("GOOGLETRANSLATE(L38,""my"", ""en"")"),"တိုင်းလိုင် (ရှမ်းနီ)  Game Development  increased Phil  ေရး Party")</f>
        <v>တိုင်းလိုင် (ရှမ်းနီ)  Game Development  increased Phil  ေရး Party</v>
      </c>
      <c r="AE38" s="10" t="str">
        <f>IFERROR(__xludf.DUMMYFUNCTION("GOOGLETRANSLATE(M38,""my"", ""en"")"),"3366")</f>
        <v>3366</v>
      </c>
      <c r="AF38" s="10" t="str">
        <f>IFERROR(__xludf.DUMMYFUNCTION("GOOGLETRANSLATE(N38,""my"", ""en"")"),"842")</f>
        <v>842</v>
      </c>
      <c r="AG38" s="10" t="str">
        <f>IFERROR(__xludf.DUMMYFUNCTION("GOOGLETRANSLATE(O38,""my"", ""en"")"),"4208")</f>
        <v>4208</v>
      </c>
      <c r="AH38" s="10" t="str">
        <f>IFERROR(__xludf.DUMMYFUNCTION("GOOGLETRANSLATE(P38,""my"", ""en"")"),"4.18%")</f>
        <v>4.18%</v>
      </c>
    </row>
    <row r="39" ht="21.0" customHeight="1">
      <c r="A39" s="28" t="s">
        <v>288</v>
      </c>
      <c r="B39" s="17" t="s">
        <v>289</v>
      </c>
      <c r="C39" s="18" t="s">
        <v>290</v>
      </c>
      <c r="D39" s="18" t="s">
        <v>291</v>
      </c>
      <c r="E39" s="18" t="s">
        <v>292</v>
      </c>
      <c r="F39" s="18" t="s">
        <v>293</v>
      </c>
      <c r="G39" s="18" t="s">
        <v>294</v>
      </c>
      <c r="H39" s="18" t="s">
        <v>295</v>
      </c>
      <c r="I39" s="18" t="s">
        <v>296</v>
      </c>
      <c r="J39" s="18" t="s">
        <v>297</v>
      </c>
      <c r="K39" s="27"/>
      <c r="L39" s="27"/>
      <c r="M39" s="18" t="s">
        <v>298</v>
      </c>
      <c r="N39" s="18" t="s">
        <v>299</v>
      </c>
      <c r="O39" s="18" t="s">
        <v>300</v>
      </c>
      <c r="P39" s="27"/>
      <c r="S39" s="10" t="str">
        <f>IFERROR(__xludf.DUMMYFUNCTION("GOOGLETRANSLATE(A39,""my"", ""en"")"),"6")</f>
        <v>6</v>
      </c>
      <c r="T39" s="10" t="str">
        <f>IFERROR(__xludf.DUMMYFUNCTION("GOOGLETRANSLATE(B39,""my"", ""en"")"),"မဲဆ  No. (6)")</f>
        <v>မဲဆ  No. (6)</v>
      </c>
      <c r="U39" s="10" t="str">
        <f>IFERROR(__xludf.DUMMYFUNCTION("GOOGLETRANSLATE(C39,""my"", ""en"")"),"104535")</f>
        <v>104535</v>
      </c>
      <c r="V39" s="10" t="str">
        <f>IFERROR(__xludf.DUMMYFUNCTION("GOOGLETRANSLATE(D39,""my"", ""en"")"),"52534")</f>
        <v>52534</v>
      </c>
      <c r="W39" s="10" t="str">
        <f>IFERROR(__xludf.DUMMYFUNCTION("GOOGLETRANSLATE(E39,""my"", ""en"")"),"17672")</f>
        <v>17672</v>
      </c>
      <c r="X39" s="10" t="str">
        <f>IFERROR(__xludf.DUMMYFUNCTION("GOOGLETRANSLATE(F39,""my"", ""en"")"),"70206")</f>
        <v>70206</v>
      </c>
      <c r="Y39" s="10" t="str">
        <f>IFERROR(__xludf.DUMMYFUNCTION("GOOGLETRANSLATE(G39,""my"", ""en"")"),"67.16")</f>
        <v>67.16</v>
      </c>
      <c r="Z39" s="10" t="str">
        <f>IFERROR(__xludf.DUMMYFUNCTION("GOOGLETRANSLATE(H39,""my"", ""en"")"),"1548")</f>
        <v>1548</v>
      </c>
      <c r="AA39" s="10" t="str">
        <f>IFERROR(__xludf.DUMMYFUNCTION("GOOGLETRANSLATE(I39,""my"", ""en"")"),"23")</f>
        <v>23</v>
      </c>
      <c r="AB39" s="10" t="str">
        <f>IFERROR(__xludf.DUMMYFUNCTION("GOOGLETRANSLATE(J39,""my"", ""en"")"),"1571")</f>
        <v>1571</v>
      </c>
      <c r="AE39" s="10" t="str">
        <f>IFERROR(__xludf.DUMMYFUNCTION("GOOGLETRANSLATE(M39,""my"", ""en"")"),"51280")</f>
        <v>51280</v>
      </c>
      <c r="AF39" s="10" t="str">
        <f>IFERROR(__xludf.DUMMYFUNCTION("GOOGLETRANSLATE(N39,""my"", ""en"")"),"17355")</f>
        <v>17355</v>
      </c>
      <c r="AG39" s="10" t="str">
        <f>IFERROR(__xludf.DUMMYFUNCTION("GOOGLETRANSLATE(O39,""my"", ""en"")"),"68635")</f>
        <v>68635</v>
      </c>
    </row>
    <row r="40" ht="24.0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3" t="s">
        <v>301</v>
      </c>
      <c r="L40" s="23" t="s">
        <v>302</v>
      </c>
      <c r="M40" s="24" t="s">
        <v>303</v>
      </c>
      <c r="N40" s="24" t="s">
        <v>304</v>
      </c>
      <c r="O40" s="24" t="s">
        <v>305</v>
      </c>
      <c r="P40" s="25" t="s">
        <v>306</v>
      </c>
      <c r="AC40" s="10" t="str">
        <f>IFERROR(__xludf.DUMMYFUNCTION("GOOGLETRANSLATE(K40,""my"", ""en"")"),"ဒေါကျတာခငျ  Key")</f>
        <v>ဒေါကျတာခငျ  Key</v>
      </c>
      <c r="AD40" s="10" t="str">
        <f>IFERROR(__xludf.DUMMYFUNCTION("GOOGLETRANSLATE(L40,""my"", ""en"")")," Game Democracy group   Pop Party")</f>
        <v> Game Democracy group   Pop Party</v>
      </c>
      <c r="AE40" s="10" t="str">
        <f>IFERROR(__xludf.DUMMYFUNCTION("GOOGLETRANSLATE(M40,""my"", ""en"")"),"27068")</f>
        <v>27068</v>
      </c>
      <c r="AF40" s="10" t="str">
        <f>IFERROR(__xludf.DUMMYFUNCTION("GOOGLETRANSLATE(N40,""my"", ""en"")"),"8062")</f>
        <v>8062</v>
      </c>
      <c r="AG40" s="10" t="str">
        <f>IFERROR(__xludf.DUMMYFUNCTION("GOOGLETRANSLATE(O40,""my"", ""en"")"),"35130")</f>
        <v>35130</v>
      </c>
      <c r="AH40" s="10" t="str">
        <f>IFERROR(__xludf.DUMMYFUNCTION("GOOGLETRANSLATE(P40,""my"", ""en"")"),"51.18%")</f>
        <v>51.18%</v>
      </c>
    </row>
    <row r="41" ht="22.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3" t="s">
        <v>307</v>
      </c>
      <c r="L41" s="23" t="s">
        <v>308</v>
      </c>
      <c r="M41" s="24" t="s">
        <v>309</v>
      </c>
      <c r="N41" s="24" t="s">
        <v>310</v>
      </c>
      <c r="O41" s="24" t="s">
        <v>311</v>
      </c>
      <c r="P41" s="25" t="s">
        <v>312</v>
      </c>
      <c r="AC41" s="10" t="str">
        <f>IFERROR(__xludf.DUMMYFUNCTION("GOOGLETRANSLATE(K41,""my"", ""en"")"),"U Tun Tun ေအာင်")</f>
        <v>U Tun Tun ေအာင်</v>
      </c>
      <c r="AD41" s="10" t="str">
        <f>IFERROR(__xludf.DUMMYFUNCTION("GOOGLETRANSLATE(L41,""my"", ""en"")"),"Local ေထာင် soap-stone strong ေရး  under development  Phil  ေရး Party")</f>
        <v>Local ေထာင် soap-stone strong ေရး  under development  Phil  ေရး Party</v>
      </c>
      <c r="AE41" s="10" t="str">
        <f>IFERROR(__xludf.DUMMYFUNCTION("GOOGLETRANSLATE(M41,""my"", ""en"")"),"12700")</f>
        <v>12700</v>
      </c>
      <c r="AF41" s="10" t="str">
        <f>IFERROR(__xludf.DUMMYFUNCTION("GOOGLETRANSLATE(N41,""my"", ""en"")"),"5214")</f>
        <v>5214</v>
      </c>
      <c r="AG41" s="10" t="str">
        <f>IFERROR(__xludf.DUMMYFUNCTION("GOOGLETRANSLATE(O41,""my"", ""en"")"),"17914")</f>
        <v>17914</v>
      </c>
      <c r="AH41" s="10" t="str">
        <f>IFERROR(__xludf.DUMMYFUNCTION("GOOGLETRANSLATE(P41,""my"", ""en"")"),"26.10%")</f>
        <v>26.10%</v>
      </c>
    </row>
    <row r="42" ht="22.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3" t="s">
        <v>313</v>
      </c>
      <c r="L42" s="23" t="s">
        <v>314</v>
      </c>
      <c r="M42" s="24" t="s">
        <v>315</v>
      </c>
      <c r="N42" s="24" t="s">
        <v>316</v>
      </c>
      <c r="O42" s="24" t="s">
        <v>317</v>
      </c>
      <c r="P42" s="25" t="s">
        <v>318</v>
      </c>
      <c r="AC42" s="10" t="str">
        <f>IFERROR(__xludf.DUMMYFUNCTION("GOOGLETRANSLATE(K42,""my"", ""en"")"),"U")</f>
        <v>U</v>
      </c>
      <c r="AD42" s="10" t="str">
        <f>IFERROR(__xludf.DUMMYFUNCTION("GOOGLETRANSLATE(L42,""my"", ""en"")"),"Kachin State party ပည်သူ")</f>
        <v>Kachin State party ပည်သူ</v>
      </c>
      <c r="AE42" s="10" t="str">
        <f>IFERROR(__xludf.DUMMYFUNCTION("GOOGLETRANSLATE(M42,""my"", ""en"")"),"7088")</f>
        <v>7088</v>
      </c>
      <c r="AF42" s="10" t="str">
        <f>IFERROR(__xludf.DUMMYFUNCTION("GOOGLETRANSLATE(N42,""my"", ""en"")"),"2453")</f>
        <v>2453</v>
      </c>
      <c r="AG42" s="10" t="str">
        <f>IFERROR(__xludf.DUMMYFUNCTION("GOOGLETRANSLATE(O42,""my"", ""en"")"),"9541")</f>
        <v>9541</v>
      </c>
      <c r="AH42" s="10" t="str">
        <f>IFERROR(__xludf.DUMMYFUNCTION("GOOGLETRANSLATE(P42,""my"", ""en"")"),"13.90%")</f>
        <v>13.90%</v>
      </c>
    </row>
    <row r="43" ht="34.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3" t="s">
        <v>319</v>
      </c>
      <c r="L43" s="23" t="s">
        <v>320</v>
      </c>
      <c r="M43" s="24" t="s">
        <v>321</v>
      </c>
      <c r="N43" s="24" t="s">
        <v>322</v>
      </c>
      <c r="O43" s="24" t="s">
        <v>323</v>
      </c>
      <c r="P43" s="31" t="s">
        <v>324</v>
      </c>
      <c r="AC43" s="10" t="str">
        <f>IFERROR(__xludf.DUMMYFUNCTION("GOOGLETRANSLATE(K43,""my"", ""en"")"),"U Min Tun")</f>
        <v>U Min Tun</v>
      </c>
      <c r="AD43" s="10" t="str">
        <f>IFERROR(__xludf.DUMMYFUNCTION("GOOGLETRANSLATE(L43,""my"", ""en"")"),"တိုင်းလိုင် (ရှမ်းနီ)  Game Development  increased Phil  ေရး Party")</f>
        <v>တိုင်းလိုင် (ရှမ်းနီ)  Game Development  increased Phil  ေရး Party</v>
      </c>
      <c r="AE43" s="10" t="str">
        <f>IFERROR(__xludf.DUMMYFUNCTION("GOOGLETRANSLATE(M43,""my"", ""en"")"),"3898")</f>
        <v>3898</v>
      </c>
      <c r="AF43" s="10" t="str">
        <f>IFERROR(__xludf.DUMMYFUNCTION("GOOGLETRANSLATE(N43,""my"", ""en"")"),"1261")</f>
        <v>1261</v>
      </c>
      <c r="AG43" s="10" t="str">
        <f>IFERROR(__xludf.DUMMYFUNCTION("GOOGLETRANSLATE(O43,""my"", ""en"")"),"5159")</f>
        <v>5159</v>
      </c>
      <c r="AH43" s="10" t="str">
        <f>IFERROR(__xludf.DUMMYFUNCTION("GOOGLETRANSLATE(P43,""my"", ""en"")"),"7.52%")</f>
        <v>7.52%</v>
      </c>
    </row>
    <row r="44" ht="22.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3" t="s">
        <v>325</v>
      </c>
      <c r="L44" s="23" t="s">
        <v>326</v>
      </c>
      <c r="M44" s="24" t="s">
        <v>327</v>
      </c>
      <c r="N44" s="24" t="s">
        <v>328</v>
      </c>
      <c r="O44" s="24" t="s">
        <v>329</v>
      </c>
      <c r="P44" s="25" t="s">
        <v>330</v>
      </c>
      <c r="AC44" s="10" t="str">
        <f>IFERROR(__xludf.DUMMYFUNCTION("GOOGLETRANSLATE(K44,""my"", ""en"")")," Phil ")</f>
        <v> Phil </v>
      </c>
      <c r="AD44" s="10" t="str">
        <f>IFERROR(__xludf.DUMMYFUNCTION("GOOGLETRANSLATE(L44,""my"", ""en"")"),"Local ေထာင် စုေ white  Game ေဆာင် Party")</f>
        <v>Local ေထာင် စုေ white  Game ေဆာင် Party</v>
      </c>
      <c r="AE44" s="10" t="str">
        <f>IFERROR(__xludf.DUMMYFUNCTION("GOOGLETRANSLATE(M44,""my"", ""en"")"),"526")</f>
        <v>526</v>
      </c>
      <c r="AF44" s="10" t="str">
        <f>IFERROR(__xludf.DUMMYFUNCTION("GOOGLETRANSLATE(N44,""my"", ""en"")"),"365")</f>
        <v>365</v>
      </c>
      <c r="AG44" s="10" t="str">
        <f>IFERROR(__xludf.DUMMYFUNCTION("GOOGLETRANSLATE(O44,""my"", ""en"")"),"891")</f>
        <v>891</v>
      </c>
      <c r="AH44" s="10" t="str">
        <f>IFERROR(__xludf.DUMMYFUNCTION("GOOGLETRANSLATE(P44,""my"", ""en"")"),"1.30%")</f>
        <v>1.30%</v>
      </c>
    </row>
    <row r="45" ht="21.75" customHeight="1">
      <c r="A45" s="28" t="s">
        <v>331</v>
      </c>
      <c r="B45" s="17" t="s">
        <v>332</v>
      </c>
      <c r="C45" s="18" t="s">
        <v>333</v>
      </c>
      <c r="D45" s="18" t="s">
        <v>334</v>
      </c>
      <c r="E45" s="18" t="s">
        <v>335</v>
      </c>
      <c r="F45" s="18" t="s">
        <v>336</v>
      </c>
      <c r="G45" s="18" t="s">
        <v>337</v>
      </c>
      <c r="H45" s="18" t="s">
        <v>338</v>
      </c>
      <c r="I45" s="18" t="s">
        <v>339</v>
      </c>
      <c r="J45" s="18" t="s">
        <v>340</v>
      </c>
      <c r="K45" s="27"/>
      <c r="L45" s="27"/>
      <c r="M45" s="18" t="s">
        <v>341</v>
      </c>
      <c r="N45" s="18" t="s">
        <v>342</v>
      </c>
      <c r="O45" s="18" t="s">
        <v>343</v>
      </c>
      <c r="P45" s="27"/>
      <c r="S45" s="10" t="str">
        <f>IFERROR(__xludf.DUMMYFUNCTION("GOOGLETRANSLATE(A45,""my"", ""en"")"),"7")</f>
        <v>7</v>
      </c>
      <c r="T45" s="10" t="str">
        <f>IFERROR(__xludf.DUMMYFUNCTION("GOOGLETRANSLATE(B45,""my"", ""en"")"),"မဲဆ  No. (7)")</f>
        <v>မဲဆ  No. (7)</v>
      </c>
      <c r="U45" s="10" t="str">
        <f>IFERROR(__xludf.DUMMYFUNCTION("GOOGLETRANSLATE(C45,""my"", ""en"")"),"82894")</f>
        <v>82894</v>
      </c>
      <c r="V45" s="10" t="str">
        <f>IFERROR(__xludf.DUMMYFUNCTION("GOOGLETRANSLATE(D45,""my"", ""en"")"),"43783")</f>
        <v>43783</v>
      </c>
      <c r="W45" s="10" t="str">
        <f>IFERROR(__xludf.DUMMYFUNCTION("GOOGLETRANSLATE(E45,""my"", ""en"")"),"14629")</f>
        <v>14629</v>
      </c>
      <c r="X45" s="10" t="str">
        <f>IFERROR(__xludf.DUMMYFUNCTION("GOOGLETRANSLATE(F45,""my"", ""en"")"),"58412")</f>
        <v>58412</v>
      </c>
      <c r="Y45" s="10" t="str">
        <f>IFERROR(__xludf.DUMMYFUNCTION("GOOGLETRANSLATE(G45,""my"", ""en"")"),"70.47")</f>
        <v>70.47</v>
      </c>
      <c r="Z45" s="10" t="str">
        <f>IFERROR(__xludf.DUMMYFUNCTION("GOOGLETRANSLATE(H45,""my"", ""en"")"),"1150")</f>
        <v>1150</v>
      </c>
      <c r="AA45" s="10" t="str">
        <f>IFERROR(__xludf.DUMMYFUNCTION("GOOGLETRANSLATE(I45,""my"", ""en"")"),"18")</f>
        <v>18</v>
      </c>
      <c r="AB45" s="10" t="str">
        <f>IFERROR(__xludf.DUMMYFUNCTION("GOOGLETRANSLATE(J45,""my"", ""en"")"),"1168")</f>
        <v>1168</v>
      </c>
      <c r="AE45" s="10" t="str">
        <f>IFERROR(__xludf.DUMMYFUNCTION("GOOGLETRANSLATE(M45,""my"", ""en"")"),"42882")</f>
        <v>42882</v>
      </c>
      <c r="AF45" s="10" t="str">
        <f>IFERROR(__xludf.DUMMYFUNCTION("GOOGLETRANSLATE(N45,""my"", ""en"")"),"14362")</f>
        <v>14362</v>
      </c>
      <c r="AG45" s="10" t="str">
        <f>IFERROR(__xludf.DUMMYFUNCTION("GOOGLETRANSLATE(O45,""my"", ""en"")"),"57244")</f>
        <v>57244</v>
      </c>
    </row>
    <row r="46" ht="27.0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3" t="s">
        <v>344</v>
      </c>
      <c r="L46" s="23" t="s">
        <v>345</v>
      </c>
      <c r="M46" s="24" t="s">
        <v>346</v>
      </c>
      <c r="N46" s="24" t="s">
        <v>347</v>
      </c>
      <c r="O46" s="24" t="s">
        <v>348</v>
      </c>
      <c r="P46" s="25" t="s">
        <v>349</v>
      </c>
      <c r="AC46" s="10" t="str">
        <f>IFERROR(__xludf.DUMMYFUNCTION("GOOGLETRANSLATE(K46,""my"", ""en"")"),"ေဆွ  Cashier")</f>
        <v>ေဆွ  Cashier</v>
      </c>
      <c r="AD46" s="10" t="str">
        <f>IFERROR(__xludf.DUMMYFUNCTION("GOOGLETRANSLATE(L46,""my"", ""en"")")," Game Democracy group   Pop Party")</f>
        <v> Game Democracy group   Pop Party</v>
      </c>
      <c r="AE46" s="10" t="str">
        <f>IFERROR(__xludf.DUMMYFUNCTION("GOOGLETRANSLATE(M46,""my"", ""en"")"),"28240")</f>
        <v>28240</v>
      </c>
      <c r="AF46" s="10" t="str">
        <f>IFERROR(__xludf.DUMMYFUNCTION("GOOGLETRANSLATE(N46,""my"", ""en"")"),"8761")</f>
        <v>8761</v>
      </c>
      <c r="AG46" s="10" t="str">
        <f>IFERROR(__xludf.DUMMYFUNCTION("GOOGLETRANSLATE(O46,""my"", ""en"")"),"37001")</f>
        <v>37001</v>
      </c>
      <c r="AH46" s="10" t="str">
        <f>IFERROR(__xludf.DUMMYFUNCTION("GOOGLETRANSLATE(P46,""my"", ""en"")"),"64.64%")</f>
        <v>64.64%</v>
      </c>
    </row>
    <row r="47" ht="25.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3" t="s">
        <v>350</v>
      </c>
      <c r="L47" s="23" t="s">
        <v>351</v>
      </c>
      <c r="M47" s="24" t="s">
        <v>352</v>
      </c>
      <c r="N47" s="24" t="s">
        <v>353</v>
      </c>
      <c r="O47" s="24" t="s">
        <v>354</v>
      </c>
      <c r="P47" s="25" t="s">
        <v>355</v>
      </c>
      <c r="AC47" s="10" t="str">
        <f>IFERROR(__xludf.DUMMYFUNCTION("GOOGLETRANSLATE(K47,""my"", ""en"")"),"Sein Win Tun")</f>
        <v>Sein Win Tun</v>
      </c>
      <c r="AD47" s="10" t="str">
        <f>IFERROR(__xludf.DUMMYFUNCTION("GOOGLETRANSLATE(L47,""my"", ""en"")"),"Local ေထာင် soap-stone strong ေရး  under development  Phil  ေရး Party")</f>
        <v>Local ေထာင် soap-stone strong ေရး  under development  Phil  ေရး Party</v>
      </c>
      <c r="AE47" s="10" t="str">
        <f>IFERROR(__xludf.DUMMYFUNCTION("GOOGLETRANSLATE(M47,""my"", ""en"")"),"6127")</f>
        <v>6127</v>
      </c>
      <c r="AF47" s="10" t="str">
        <f>IFERROR(__xludf.DUMMYFUNCTION("GOOGLETRANSLATE(N47,""my"", ""en"")"),"2323")</f>
        <v>2323</v>
      </c>
      <c r="AG47" s="10" t="str">
        <f>IFERROR(__xludf.DUMMYFUNCTION("GOOGLETRANSLATE(O47,""my"", ""en"")"),"8450")</f>
        <v>8450</v>
      </c>
      <c r="AH47" s="10" t="str">
        <f>IFERROR(__xludf.DUMMYFUNCTION("GOOGLETRANSLATE(P47,""my"", ""en"")"),"14.76%")</f>
        <v>14.76%</v>
      </c>
    </row>
    <row r="48" ht="39.0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32" t="s">
        <v>356</v>
      </c>
      <c r="L48" s="23" t="s">
        <v>357</v>
      </c>
      <c r="M48" s="33" t="s">
        <v>358</v>
      </c>
      <c r="N48" s="33" t="s">
        <v>359</v>
      </c>
      <c r="O48" s="33" t="s">
        <v>360</v>
      </c>
      <c r="P48" s="31" t="s">
        <v>361</v>
      </c>
      <c r="AC48" s="10" t="str">
        <f>IFERROR(__xludf.DUMMYFUNCTION("GOOGLETRANSLATE(K48,""my"", ""en"")"),"Data ")</f>
        <v>Data </v>
      </c>
      <c r="AD48" s="10" t="str">
        <f>IFERROR(__xludf.DUMMYFUNCTION("GOOGLETRANSLATE(L48,""my"", ""en"")"),"တိုင်းလိုင် (ရှမ်းနီ)  Game Development  increased Phil  ေရး Party")</f>
        <v>တိုင်းလိုင် (ရှမ်းနီ)  Game Development  increased Phil  ေရး Party</v>
      </c>
      <c r="AE48" s="10" t="str">
        <f>IFERROR(__xludf.DUMMYFUNCTION("GOOGLETRANSLATE(M48,""my"", ""en"")"),"4698")</f>
        <v>4698</v>
      </c>
      <c r="AF48" s="10" t="str">
        <f>IFERROR(__xludf.DUMMYFUNCTION("GOOGLETRANSLATE(N48,""my"", ""en"")"),"1549")</f>
        <v>1549</v>
      </c>
      <c r="AG48" s="10" t="str">
        <f>IFERROR(__xludf.DUMMYFUNCTION("GOOGLETRANSLATE(O48,""my"", ""en"")"),"6247")</f>
        <v>6247</v>
      </c>
      <c r="AH48" s="10" t="str">
        <f>IFERROR(__xludf.DUMMYFUNCTION("GOOGLETRANSLATE(P48,""my"", ""en"")"),"10.91%")</f>
        <v>10.91%</v>
      </c>
    </row>
    <row r="49" ht="25.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3" t="s">
        <v>362</v>
      </c>
      <c r="L49" s="29" t="s">
        <v>363</v>
      </c>
      <c r="M49" s="30" t="s">
        <v>364</v>
      </c>
      <c r="N49" s="30" t="s">
        <v>365</v>
      </c>
      <c r="O49" s="24" t="s">
        <v>366</v>
      </c>
      <c r="P49" s="25" t="s">
        <v>367</v>
      </c>
      <c r="AC49" s="10" t="str">
        <f>IFERROR(__xludf.DUMMYFUNCTION("GOOGLETRANSLATE(K49,""my"", ""en"")")," Union")</f>
        <v> Union</v>
      </c>
      <c r="AD49" s="10" t="str">
        <f>IFERROR(__xludf.DUMMYFUNCTION("GOOGLETRANSLATE(L49,""my"", ""en"")"),"ရှမ်းနီ (Lian) ေသွး bunch  working party ေရး")</f>
        <v>ရှမ်းနီ (Lian) ေသွး bunch  working party ေရး</v>
      </c>
      <c r="AE49" s="10" t="str">
        <f>IFERROR(__xludf.DUMMYFUNCTION("GOOGLETRANSLATE(M49,""my"", ""en"")"),"2171")</f>
        <v>2171</v>
      </c>
      <c r="AF49" s="10" t="str">
        <f>IFERROR(__xludf.DUMMYFUNCTION("GOOGLETRANSLATE(N49,""my"", ""en"")"),"964")</f>
        <v>964</v>
      </c>
      <c r="AG49" s="10" t="str">
        <f>IFERROR(__xludf.DUMMYFUNCTION("GOOGLETRANSLATE(O49,""my"", ""en"")"),"3135")</f>
        <v>3135</v>
      </c>
      <c r="AH49" s="10" t="str">
        <f>IFERROR(__xludf.DUMMYFUNCTION("GOOGLETRANSLATE(P49,""my"", ""en"")"),"5.48%")</f>
        <v>5.48%</v>
      </c>
    </row>
    <row r="50" ht="25.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3" t="s">
        <v>368</v>
      </c>
      <c r="L50" s="23" t="s">
        <v>369</v>
      </c>
      <c r="M50" s="24" t="s">
        <v>370</v>
      </c>
      <c r="N50" s="24" t="s">
        <v>371</v>
      </c>
      <c r="O50" s="24" t="s">
        <v>372</v>
      </c>
      <c r="P50" s="25" t="s">
        <v>373</v>
      </c>
      <c r="AC50" s="10" t="str">
        <f>IFERROR(__xludf.DUMMYFUNCTION("GOOGLETRANSLATE(K50,""my"", ""en"")"),"ေဒ  Thin Thin Soe")</f>
        <v>ေဒ  Thin Thin Soe</v>
      </c>
      <c r="AD50" s="10" t="str">
        <f>IFERROR(__xludf.DUMMYFUNCTION("GOOGLETRANSLATE(L50,""my"", ""en"")"),"Kachin State party ပည်သူ")</f>
        <v>Kachin State party ပည်သူ</v>
      </c>
      <c r="AE50" s="10" t="str">
        <f>IFERROR(__xludf.DUMMYFUNCTION("GOOGLETRANSLATE(M50,""my"", ""en"")"),"957")</f>
        <v>957</v>
      </c>
      <c r="AF50" s="10" t="str">
        <f>IFERROR(__xludf.DUMMYFUNCTION("GOOGLETRANSLATE(N50,""my"", ""en"")"),"394")</f>
        <v>394</v>
      </c>
      <c r="AG50" s="10" t="str">
        <f>IFERROR(__xludf.DUMMYFUNCTION("GOOGLETRANSLATE(O50,""my"", ""en"")"),"1351")</f>
        <v>1351</v>
      </c>
      <c r="AH50" s="10" t="str">
        <f>IFERROR(__xludf.DUMMYFUNCTION("GOOGLETRANSLATE(P50,""my"", ""en"")"),"2.36%")</f>
        <v>2.36%</v>
      </c>
    </row>
    <row r="51" ht="25.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3" t="s">
        <v>374</v>
      </c>
      <c r="L51" s="23" t="s">
        <v>375</v>
      </c>
      <c r="M51" s="24" t="s">
        <v>376</v>
      </c>
      <c r="N51" s="24" t="s">
        <v>377</v>
      </c>
      <c r="O51" s="24" t="s">
        <v>378</v>
      </c>
      <c r="P51" s="25" t="s">
        <v>379</v>
      </c>
      <c r="AC51" s="10" t="str">
        <f>IFERROR(__xludf.DUMMYFUNCTION("GOOGLETRANSLATE(K51,""my"", ""en"")"),"Tin ေမာင် Thein")</f>
        <v>Tin ေမာင် Thein</v>
      </c>
      <c r="AD51" s="10" t="str">
        <f>IFERROR(__xludf.DUMMYFUNCTION("GOOGLETRANSLATE(L51,""my"", ""en"")"),"Ethnic unity  working party ေရး")</f>
        <v>Ethnic unity  working party ေရး</v>
      </c>
      <c r="AE51" s="10" t="str">
        <f>IFERROR(__xludf.DUMMYFUNCTION("GOOGLETRANSLATE(M51,""my"", ""en"")"),"399")</f>
        <v>399</v>
      </c>
      <c r="AF51" s="10" t="str">
        <f>IFERROR(__xludf.DUMMYFUNCTION("GOOGLETRANSLATE(N51,""my"", ""en"")"),"220")</f>
        <v>220</v>
      </c>
      <c r="AG51" s="10" t="str">
        <f>IFERROR(__xludf.DUMMYFUNCTION("GOOGLETRANSLATE(O51,""my"", ""en"")"),"619")</f>
        <v>619</v>
      </c>
      <c r="AH51" s="10" t="str">
        <f>IFERROR(__xludf.DUMMYFUNCTION("GOOGLETRANSLATE(P51,""my"", ""en"")"),"1.08%")</f>
        <v>1.08%</v>
      </c>
    </row>
    <row r="52" ht="25.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6" t="s">
        <v>380</v>
      </c>
      <c r="L52" s="36" t="s">
        <v>381</v>
      </c>
      <c r="M52" s="37" t="s">
        <v>382</v>
      </c>
      <c r="N52" s="37" t="s">
        <v>383</v>
      </c>
      <c r="O52" s="37" t="s">
        <v>384</v>
      </c>
      <c r="P52" s="38" t="s">
        <v>385</v>
      </c>
      <c r="AC52" s="10" t="str">
        <f>IFERROR(__xludf.DUMMYFUNCTION("GOOGLETRANSLATE(K52,""my"", ""en"")"),"-shaped light")</f>
        <v>-shaped light</v>
      </c>
      <c r="AD52" s="10" t="str">
        <f>IFERROR(__xludf.DUMMYFUNCTION("GOOGLETRANSLATE(L52,""my"", ""en"")"),"Local ေထာင် စုေ white  Game ေဆာင် Party")</f>
        <v>Local ေထာင် စုေ white  Game ေဆာင် Party</v>
      </c>
      <c r="AE52" s="10" t="str">
        <f>IFERROR(__xludf.DUMMYFUNCTION("GOOGLETRANSLATE(M52,""my"", ""en"")"),"290")</f>
        <v>290</v>
      </c>
      <c r="AF52" s="10" t="str">
        <f>IFERROR(__xludf.DUMMYFUNCTION("GOOGLETRANSLATE(N52,""my"", ""en"")"),"151")</f>
        <v>151</v>
      </c>
      <c r="AG52" s="10" t="str">
        <f>IFERROR(__xludf.DUMMYFUNCTION("GOOGLETRANSLATE(O52,""my"", ""en"")"),"441")</f>
        <v>441</v>
      </c>
      <c r="AH52" s="10" t="str">
        <f>IFERROR(__xludf.DUMMYFUNCTION("GOOGLETRANSLATE(P52,""my"", ""en"")"),"0.77%")</f>
        <v>0.77%</v>
      </c>
    </row>
    <row r="53" ht="21.75" customHeight="1">
      <c r="A53" s="28" t="s">
        <v>386</v>
      </c>
      <c r="B53" s="17" t="s">
        <v>387</v>
      </c>
      <c r="C53" s="18" t="s">
        <v>388</v>
      </c>
      <c r="D53" s="18" t="s">
        <v>389</v>
      </c>
      <c r="E53" s="18" t="s">
        <v>390</v>
      </c>
      <c r="F53" s="18" t="s">
        <v>391</v>
      </c>
      <c r="G53" s="18" t="s">
        <v>392</v>
      </c>
      <c r="H53" s="18" t="s">
        <v>393</v>
      </c>
      <c r="I53" s="18" t="s">
        <v>394</v>
      </c>
      <c r="J53" s="18" t="s">
        <v>395</v>
      </c>
      <c r="K53" s="27"/>
      <c r="L53" s="27"/>
      <c r="M53" s="18" t="s">
        <v>396</v>
      </c>
      <c r="N53" s="18" t="s">
        <v>397</v>
      </c>
      <c r="O53" s="18" t="s">
        <v>398</v>
      </c>
      <c r="P53" s="27"/>
      <c r="S53" s="10" t="str">
        <f>IFERROR(__xludf.DUMMYFUNCTION("GOOGLETRANSLATE(A53,""my"", ""en"")"),"8")</f>
        <v>8</v>
      </c>
      <c r="T53" s="10" t="str">
        <f>IFERROR(__xludf.DUMMYFUNCTION("GOOGLETRANSLATE(B53,""my"", ""en"")"),"မဲဆ  No. (8)")</f>
        <v>မဲဆ  No. (8)</v>
      </c>
      <c r="U53" s="10" t="str">
        <f>IFERROR(__xludf.DUMMYFUNCTION("GOOGLETRANSLATE(C53,""my"", ""en"")"),"77929")</f>
        <v>77929</v>
      </c>
      <c r="V53" s="10" t="str">
        <f>IFERROR(__xludf.DUMMYFUNCTION("GOOGLETRANSLATE(D53,""my"", ""en"")"),"42819")</f>
        <v>42819</v>
      </c>
      <c r="W53" s="10" t="str">
        <f>IFERROR(__xludf.DUMMYFUNCTION("GOOGLETRANSLATE(E53,""my"", ""en"")"),"11123")</f>
        <v>11123</v>
      </c>
      <c r="X53" s="10" t="str">
        <f>IFERROR(__xludf.DUMMYFUNCTION("GOOGLETRANSLATE(F53,""my"", ""en"")"),"53942")</f>
        <v>53942</v>
      </c>
      <c r="Y53" s="10" t="str">
        <f>IFERROR(__xludf.DUMMYFUNCTION("GOOGLETRANSLATE(G53,""my"", ""en"")"),"69.22")</f>
        <v>69.22</v>
      </c>
      <c r="Z53" s="10" t="str">
        <f>IFERROR(__xludf.DUMMYFUNCTION("GOOGLETRANSLATE(H53,""my"", ""en"")"),"1438")</f>
        <v>1438</v>
      </c>
      <c r="AA53" s="10" t="str">
        <f>IFERROR(__xludf.DUMMYFUNCTION("GOOGLETRANSLATE(I53,""my"", ""en"")"),"22")</f>
        <v>22</v>
      </c>
      <c r="AB53" s="10" t="str">
        <f>IFERROR(__xludf.DUMMYFUNCTION("GOOGLETRANSLATE(J53,""my"", ""en"")"),"1460")</f>
        <v>1460</v>
      </c>
      <c r="AE53" s="10" t="str">
        <f>IFERROR(__xludf.DUMMYFUNCTION("GOOGLETRANSLATE(M53,""my"", ""en"")"),"41615")</f>
        <v>41615</v>
      </c>
      <c r="AF53" s="10" t="str">
        <f>IFERROR(__xludf.DUMMYFUNCTION("GOOGLETRANSLATE(N53,""my"", ""en"")"),"10867")</f>
        <v>10867</v>
      </c>
      <c r="AG53" s="10" t="str">
        <f>IFERROR(__xludf.DUMMYFUNCTION("GOOGLETRANSLATE(O53,""my"", ""en"")"),"52482")</f>
        <v>52482</v>
      </c>
    </row>
    <row r="54" ht="24.0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3" t="s">
        <v>399</v>
      </c>
      <c r="L54" s="23" t="s">
        <v>400</v>
      </c>
      <c r="M54" s="24" t="s">
        <v>401</v>
      </c>
      <c r="N54" s="24" t="s">
        <v>402</v>
      </c>
      <c r="O54" s="24" t="s">
        <v>403</v>
      </c>
      <c r="P54" s="25" t="s">
        <v>404</v>
      </c>
      <c r="AC54" s="10" t="str">
        <f>IFERROR(__xludf.DUMMYFUNCTION("GOOGLETRANSLATE(K54,""my"", ""en"")"),"ေဒ   Avatar ေထွး")</f>
        <v>ေဒ   Avatar ေထွး</v>
      </c>
      <c r="AD54" s="10" t="str">
        <f>IFERROR(__xludf.DUMMYFUNCTION("GOOGLETRANSLATE(L54,""my"", ""en"")")," Game Democracy group   Pop Party")</f>
        <v> Game Democracy group   Pop Party</v>
      </c>
      <c r="AE54" s="10" t="str">
        <f>IFERROR(__xludf.DUMMYFUNCTION("GOOGLETRANSLATE(M54,""my"", ""en"")"),"21955")</f>
        <v>21955</v>
      </c>
      <c r="AF54" s="10" t="str">
        <f>IFERROR(__xludf.DUMMYFUNCTION("GOOGLETRANSLATE(N54,""my"", ""en"")"),"5413")</f>
        <v>5413</v>
      </c>
      <c r="AG54" s="10" t="str">
        <f>IFERROR(__xludf.DUMMYFUNCTION("GOOGLETRANSLATE(O54,""my"", ""en"")"),"27368")</f>
        <v>27368</v>
      </c>
      <c r="AH54" s="10" t="str">
        <f>IFERROR(__xludf.DUMMYFUNCTION("GOOGLETRANSLATE(P54,""my"", ""en"")"),"52.15%")</f>
        <v>52.15%</v>
      </c>
    </row>
    <row r="55" ht="37.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32" t="s">
        <v>405</v>
      </c>
      <c r="L55" s="23" t="s">
        <v>406</v>
      </c>
      <c r="M55" s="33" t="s">
        <v>407</v>
      </c>
      <c r="N55" s="33" t="s">
        <v>408</v>
      </c>
      <c r="O55" s="33" t="s">
        <v>409</v>
      </c>
      <c r="P55" s="31" t="s">
        <v>410</v>
      </c>
      <c r="AC55" s="10" t="str">
        <f>IFERROR(__xludf.DUMMYFUNCTION("GOOGLETRANSLATE(K55,""my"", ""en"")"),"Sein Lwin Oo")</f>
        <v>Sein Lwin Oo</v>
      </c>
      <c r="AD55" s="10" t="str">
        <f>IFERROR(__xludf.DUMMYFUNCTION("GOOGLETRANSLATE(L55,""my"", ""en"")"),"တိုင်းလိုင် (ရှမ်းနီ)  Game Development  increased Phil  ေရး Party")</f>
        <v>တိုင်းလိုင် (ရှမ်းနီ)  Game Development  increased Phil  ေရး Party</v>
      </c>
      <c r="AE55" s="10" t="str">
        <f>IFERROR(__xludf.DUMMYFUNCTION("GOOGLETRANSLATE(M55,""my"", ""en"")"),"10294")</f>
        <v>10294</v>
      </c>
      <c r="AF55" s="10" t="str">
        <f>IFERROR(__xludf.DUMMYFUNCTION("GOOGLETRANSLATE(N55,""my"", ""en"")"),"2589")</f>
        <v>2589</v>
      </c>
      <c r="AG55" s="10" t="str">
        <f>IFERROR(__xludf.DUMMYFUNCTION("GOOGLETRANSLATE(O55,""my"", ""en"")"),"12883")</f>
        <v>12883</v>
      </c>
      <c r="AH55" s="10" t="str">
        <f>IFERROR(__xludf.DUMMYFUNCTION("GOOGLETRANSLATE(P55,""my"", ""en"")"),"24.55%")</f>
        <v>24.55%</v>
      </c>
    </row>
    <row r="56" ht="22.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3" t="s">
        <v>411</v>
      </c>
      <c r="L56" s="23" t="s">
        <v>412</v>
      </c>
      <c r="M56" s="24" t="s">
        <v>413</v>
      </c>
      <c r="N56" s="24" t="s">
        <v>414</v>
      </c>
      <c r="O56" s="24" t="s">
        <v>415</v>
      </c>
      <c r="P56" s="25" t="s">
        <v>416</v>
      </c>
      <c r="AC56" s="10" t="str">
        <f>IFERROR(__xludf.DUMMYFUNCTION("GOOGLETRANSLATE(K56,""my"", ""en"")"),"ေဌး Win")</f>
        <v>ေဌး Win</v>
      </c>
      <c r="AD56" s="10" t="str">
        <f>IFERROR(__xludf.DUMMYFUNCTION("GOOGLETRANSLATE(L56,""my"", ""en"")"),"Local ေထာင် soap-stone strong ေရး  under development  Phil  ေရး Party")</f>
        <v>Local ေထာင် soap-stone strong ေရး  under development  Phil  ေရး Party</v>
      </c>
      <c r="AE56" s="10" t="str">
        <f>IFERROR(__xludf.DUMMYFUNCTION("GOOGLETRANSLATE(M56,""my"", ""en"")"),"6803")</f>
        <v>6803</v>
      </c>
      <c r="AF56" s="10" t="str">
        <f>IFERROR(__xludf.DUMMYFUNCTION("GOOGLETRANSLATE(N56,""my"", ""en"")"),"1862")</f>
        <v>1862</v>
      </c>
      <c r="AG56" s="10" t="str">
        <f>IFERROR(__xludf.DUMMYFUNCTION("GOOGLETRANSLATE(O56,""my"", ""en"")"),"8665")</f>
        <v>8665</v>
      </c>
      <c r="AH56" s="10" t="str">
        <f>IFERROR(__xludf.DUMMYFUNCTION("GOOGLETRANSLATE(P56,""my"", ""en"")"),"16.51%")</f>
        <v>16.51%</v>
      </c>
    </row>
    <row r="57" ht="21.0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3" t="s">
        <v>417</v>
      </c>
      <c r="L57" s="23" t="s">
        <v>418</v>
      </c>
      <c r="M57" s="24" t="s">
        <v>419</v>
      </c>
      <c r="N57" s="24" t="s">
        <v>420</v>
      </c>
      <c r="O57" s="24" t="s">
        <v>421</v>
      </c>
      <c r="P57" s="25" t="s">
        <v>422</v>
      </c>
      <c r="AC57" s="10" t="str">
        <f>IFERROR(__xludf.DUMMYFUNCTION("GOOGLETRANSLATE(K57,""my"", ""en"")"),"ေဂျာ San ေနာ")</f>
        <v>ေဂျာ San ေနာ</v>
      </c>
      <c r="AD57" s="10" t="str">
        <f>IFERROR(__xludf.DUMMYFUNCTION("GOOGLETRANSLATE(L57,""my"", ""en"")"),"Kachin State party ပည်သူ")</f>
        <v>Kachin State party ပည်သူ</v>
      </c>
      <c r="AE57" s="10" t="str">
        <f>IFERROR(__xludf.DUMMYFUNCTION("GOOGLETRANSLATE(M57,""my"", ""en"")"),"1375")</f>
        <v>1375</v>
      </c>
      <c r="AF57" s="10" t="str">
        <f>IFERROR(__xludf.DUMMYFUNCTION("GOOGLETRANSLATE(N57,""my"", ""en"")"),"383")</f>
        <v>383</v>
      </c>
      <c r="AG57" s="10" t="str">
        <f>IFERROR(__xludf.DUMMYFUNCTION("GOOGLETRANSLATE(O57,""my"", ""en"")"),"1758")</f>
        <v>1758</v>
      </c>
      <c r="AH57" s="10" t="str">
        <f>IFERROR(__xludf.DUMMYFUNCTION("GOOGLETRANSLATE(P57,""my"", ""en"")"),"3.35%")</f>
        <v>3.35%</v>
      </c>
    </row>
    <row r="58" ht="24.0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3" t="s">
        <v>423</v>
      </c>
      <c r="L58" s="29" t="s">
        <v>424</v>
      </c>
      <c r="M58" s="30" t="s">
        <v>425</v>
      </c>
      <c r="N58" s="30" t="s">
        <v>426</v>
      </c>
      <c r="O58" s="24" t="s">
        <v>427</v>
      </c>
      <c r="P58" s="25" t="s">
        <v>428</v>
      </c>
      <c r="AC58" s="10" t="str">
        <f>IFERROR(__xludf.DUMMYFUNCTION("GOOGLETRANSLATE(K58,""my"", ""en"")"),"Tin ေငွေ child")</f>
        <v>Tin ေငွေ child</v>
      </c>
      <c r="AD58" s="10" t="str">
        <f>IFERROR(__xludf.DUMMYFUNCTION("GOOGLETRANSLATE(L58,""my"", ""en"")"),"ရှမ်းနီ (Lian) ေသွး bunch  working party ေရး")</f>
        <v>ရှမ်းနီ (Lian) ေသွး bunch  working party ေရး</v>
      </c>
      <c r="AE58" s="10" t="str">
        <f>IFERROR(__xludf.DUMMYFUNCTION("GOOGLETRANSLATE(M58,""my"", ""en"")"),"841")</f>
        <v>841</v>
      </c>
      <c r="AF58" s="10" t="str">
        <f>IFERROR(__xludf.DUMMYFUNCTION("GOOGLETRANSLATE(N58,""my"", ""en"")"),"416")</f>
        <v>416</v>
      </c>
      <c r="AG58" s="10" t="str">
        <f>IFERROR(__xludf.DUMMYFUNCTION("GOOGLETRANSLATE(O58,""my"", ""en"")"),"1257")</f>
        <v>1257</v>
      </c>
      <c r="AH58" s="10" t="str">
        <f>IFERROR(__xludf.DUMMYFUNCTION("GOOGLETRANSLATE(P58,""my"", ""en"")"),"2.39%")</f>
        <v>2.39%</v>
      </c>
    </row>
    <row r="59" ht="21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3" t="s">
        <v>429</v>
      </c>
      <c r="L59" s="23" t="s">
        <v>430</v>
      </c>
      <c r="M59" s="24" t="s">
        <v>431</v>
      </c>
      <c r="N59" s="24" t="s">
        <v>432</v>
      </c>
      <c r="O59" s="24" t="s">
        <v>433</v>
      </c>
      <c r="P59" s="25" t="s">
        <v>434</v>
      </c>
      <c r="AC59" s="10" t="str">
        <f>IFERROR(__xludf.DUMMYFUNCTION("GOOGLETRANSLATE(K59,""my"", ""en"")"),"Sein Lin")</f>
        <v>Sein Lin</v>
      </c>
      <c r="AD59" s="10" t="str">
        <f>IFERROR(__xludf.DUMMYFUNCTION("GOOGLETRANSLATE(L59,""my"", ""en"")"),"Local ေထာင် စုေ white  Game ေဆာင် Party")</f>
        <v>Local ေထာင် စုေ white  Game ေဆာင် Party</v>
      </c>
      <c r="AE59" s="10" t="str">
        <f>IFERROR(__xludf.DUMMYFUNCTION("GOOGLETRANSLATE(M59,""my"", ""en"")"),"347")</f>
        <v>347</v>
      </c>
      <c r="AF59" s="10" t="str">
        <f>IFERROR(__xludf.DUMMYFUNCTION("GOOGLETRANSLATE(N59,""my"", ""en"")"),"204")</f>
        <v>204</v>
      </c>
      <c r="AG59" s="10" t="str">
        <f>IFERROR(__xludf.DUMMYFUNCTION("GOOGLETRANSLATE(O59,""my"", ""en"")"),"551")</f>
        <v>551</v>
      </c>
      <c r="AH59" s="10" t="str">
        <f>IFERROR(__xludf.DUMMYFUNCTION("GOOGLETRANSLATE(P59,""my"", ""en"")"),"1.05%")</f>
        <v>1.05%</v>
      </c>
    </row>
    <row r="60" ht="22.5" customHeight="1">
      <c r="A60" s="28" t="s">
        <v>435</v>
      </c>
      <c r="B60" s="17" t="s">
        <v>436</v>
      </c>
      <c r="C60" s="18" t="s">
        <v>437</v>
      </c>
      <c r="D60" s="18" t="s">
        <v>438</v>
      </c>
      <c r="E60" s="18" t="s">
        <v>439</v>
      </c>
      <c r="F60" s="18" t="s">
        <v>440</v>
      </c>
      <c r="G60" s="18" t="s">
        <v>441</v>
      </c>
      <c r="H60" s="18" t="s">
        <v>442</v>
      </c>
      <c r="I60" s="18" t="s">
        <v>443</v>
      </c>
      <c r="J60" s="18" t="s">
        <v>444</v>
      </c>
      <c r="K60" s="27"/>
      <c r="L60" s="27"/>
      <c r="M60" s="18" t="s">
        <v>445</v>
      </c>
      <c r="N60" s="18" t="s">
        <v>446</v>
      </c>
      <c r="O60" s="18" t="s">
        <v>447</v>
      </c>
      <c r="P60" s="27"/>
      <c r="S60" s="10" t="str">
        <f>IFERROR(__xludf.DUMMYFUNCTION("GOOGLETRANSLATE(A60,""my"", ""en"")"),"9")</f>
        <v>9</v>
      </c>
      <c r="T60" s="10" t="str">
        <f>IFERROR(__xludf.DUMMYFUNCTION("GOOGLETRANSLATE(B60,""my"", ""en"")"),"မဲဆ  No. (9)")</f>
        <v>မဲဆ  No. (9)</v>
      </c>
      <c r="U60" s="10" t="str">
        <f>IFERROR(__xludf.DUMMYFUNCTION("GOOGLETRANSLATE(C60,""my"", ""en"")"),"19332")</f>
        <v>19332</v>
      </c>
      <c r="V60" s="10" t="str">
        <f>IFERROR(__xludf.DUMMYFUNCTION("GOOGLETRANSLATE(D60,""my"", ""en"")"),"11922")</f>
        <v>11922</v>
      </c>
      <c r="W60" s="10" t="str">
        <f>IFERROR(__xludf.DUMMYFUNCTION("GOOGLETRANSLATE(E60,""my"", ""en"")"),"2779")</f>
        <v>2779</v>
      </c>
      <c r="X60" s="10" t="str">
        <f>IFERROR(__xludf.DUMMYFUNCTION("GOOGLETRANSLATE(F60,""my"", ""en"")"),"14701")</f>
        <v>14701</v>
      </c>
      <c r="Y60" s="10" t="str">
        <f>IFERROR(__xludf.DUMMYFUNCTION("GOOGLETRANSLATE(G60,""my"", ""en"")"),"76.04")</f>
        <v>76.04</v>
      </c>
      <c r="Z60" s="10" t="str">
        <f>IFERROR(__xludf.DUMMYFUNCTION("GOOGLETRANSLATE(H60,""my"", ""en"")"),"602")</f>
        <v>602</v>
      </c>
      <c r="AA60" s="10" t="str">
        <f>IFERROR(__xludf.DUMMYFUNCTION("GOOGLETRANSLATE(I60,""my"", ""en"")"),"2")</f>
        <v>2</v>
      </c>
      <c r="AB60" s="10" t="str">
        <f>IFERROR(__xludf.DUMMYFUNCTION("GOOGLETRANSLATE(J60,""my"", ""en"")"),"604")</f>
        <v>604</v>
      </c>
      <c r="AE60" s="10" t="str">
        <f>IFERROR(__xludf.DUMMYFUNCTION("GOOGLETRANSLATE(M60,""my"", ""en"")"),"11406")</f>
        <v>11406</v>
      </c>
      <c r="AF60" s="10" t="str">
        <f>IFERROR(__xludf.DUMMYFUNCTION("GOOGLETRANSLATE(N60,""my"", ""en"")"),"2691")</f>
        <v>2691</v>
      </c>
      <c r="AG60" s="10" t="str">
        <f>IFERROR(__xludf.DUMMYFUNCTION("GOOGLETRANSLATE(O60,""my"", ""en"")"),"14097")</f>
        <v>14097</v>
      </c>
    </row>
    <row r="61" ht="24.0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3" t="s">
        <v>448</v>
      </c>
      <c r="L61" s="23" t="s">
        <v>449</v>
      </c>
      <c r="M61" s="24" t="s">
        <v>450</v>
      </c>
      <c r="N61" s="24" t="s">
        <v>451</v>
      </c>
      <c r="O61" s="13" t="s">
        <v>452</v>
      </c>
      <c r="P61" s="25" t="s">
        <v>453</v>
      </c>
      <c r="AC61" s="10" t="str">
        <f>IFERROR(__xludf.DUMMYFUNCTION("GOOGLETRANSLATE(K61,""my"", ""en"")"),"Head")</f>
        <v>Head</v>
      </c>
      <c r="AD61" s="10" t="str">
        <f>IFERROR(__xludf.DUMMYFUNCTION("GOOGLETRANSLATE(L61,""my"", ""en"")"),"Democracy party touched (Kachin)")</f>
        <v>Democracy party touched (Kachin)</v>
      </c>
      <c r="AE61" s="10" t="str">
        <f>IFERROR(__xludf.DUMMYFUNCTION("GOOGLETRANSLATE(M61,""my"", ""en"")"),"4981")</f>
        <v>4981</v>
      </c>
      <c r="AF61" s="10" t="str">
        <f>IFERROR(__xludf.DUMMYFUNCTION("GOOGLETRANSLATE(N61,""my"", ""en"")"),"1084")</f>
        <v>1084</v>
      </c>
      <c r="AG61" s="10" t="str">
        <f>IFERROR(__xludf.DUMMYFUNCTION("GOOGLETRANSLATE(O61,""my"", ""en"")"),"6065")</f>
        <v>6065</v>
      </c>
      <c r="AH61" s="10" t="str">
        <f>IFERROR(__xludf.DUMMYFUNCTION("GOOGLETRANSLATE(P61,""my"", ""en"")"),"43.02%")</f>
        <v>43.02%</v>
      </c>
    </row>
    <row r="62" ht="22.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3" t="s">
        <v>454</v>
      </c>
      <c r="L62" s="23" t="s">
        <v>455</v>
      </c>
      <c r="M62" s="24" t="s">
        <v>456</v>
      </c>
      <c r="N62" s="24" t="s">
        <v>457</v>
      </c>
      <c r="O62" s="13" t="s">
        <v>458</v>
      </c>
      <c r="P62" s="25" t="s">
        <v>459</v>
      </c>
      <c r="AC62" s="10" t="str">
        <f>IFERROR(__xludf.DUMMYFUNCTION("GOOGLETRANSLATE(K62,""my"", ""en"")"),"ေဇာင်း depot")</f>
        <v>ေဇာင်း depot</v>
      </c>
      <c r="AD62" s="10" t="str">
        <f>IFERROR(__xludf.DUMMYFUNCTION("GOOGLETRANSLATE(L62,""my"", ""en"")")," Game Democracy group   Pop Party")</f>
        <v> Game Democracy group   Pop Party</v>
      </c>
      <c r="AE62" s="10" t="str">
        <f>IFERROR(__xludf.DUMMYFUNCTION("GOOGLETRANSLATE(M62,""my"", ""en"")"),"3311")</f>
        <v>3311</v>
      </c>
      <c r="AF62" s="10" t="str">
        <f>IFERROR(__xludf.DUMMYFUNCTION("GOOGLETRANSLATE(N62,""my"", ""en"")"),"877")</f>
        <v>877</v>
      </c>
      <c r="AG62" s="10" t="str">
        <f>IFERROR(__xludf.DUMMYFUNCTION("GOOGLETRANSLATE(O62,""my"", ""en"")"),"4188")</f>
        <v>4188</v>
      </c>
      <c r="AH62" s="10" t="str">
        <f>IFERROR(__xludf.DUMMYFUNCTION("GOOGLETRANSLATE(P62,""my"", ""en"")"),"29.71%")</f>
        <v>29.71%</v>
      </c>
    </row>
    <row r="63" ht="24.0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3" t="s">
        <v>460</v>
      </c>
      <c r="L63" s="23" t="s">
        <v>461</v>
      </c>
      <c r="M63" s="24" t="s">
        <v>462</v>
      </c>
      <c r="N63" s="24" t="s">
        <v>463</v>
      </c>
      <c r="O63" s="13" t="s">
        <v>464</v>
      </c>
      <c r="P63" s="25" t="s">
        <v>465</v>
      </c>
      <c r="AC63" s="10" t="str">
        <f>IFERROR(__xludf.DUMMYFUNCTION("GOOGLETRANSLATE(K63,""my"", ""en"")"),"John")</f>
        <v>John</v>
      </c>
      <c r="AD63" s="10" t="str">
        <f>IFERROR(__xludf.DUMMYFUNCTION("GOOGLETRANSLATE(L63,""my"", ""en"")"),"Personal ")</f>
        <v>Personal </v>
      </c>
      <c r="AE63" s="10" t="str">
        <f>IFERROR(__xludf.DUMMYFUNCTION("GOOGLETRANSLATE(M63,""my"", ""en"")"),"1492")</f>
        <v>1492</v>
      </c>
      <c r="AF63" s="10" t="str">
        <f>IFERROR(__xludf.DUMMYFUNCTION("GOOGLETRANSLATE(N63,""my"", ""en"")"),"220")</f>
        <v>220</v>
      </c>
      <c r="AG63" s="10" t="str">
        <f>IFERROR(__xludf.DUMMYFUNCTION("GOOGLETRANSLATE(O63,""my"", ""en"")"),"1712")</f>
        <v>1712</v>
      </c>
      <c r="AH63" s="10" t="str">
        <f>IFERROR(__xludf.DUMMYFUNCTION("GOOGLETRANSLATE(P63,""my"", ""en"")"),"12.14%")</f>
        <v>12.14%</v>
      </c>
    </row>
    <row r="64" ht="36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3" t="s">
        <v>466</v>
      </c>
      <c r="L64" s="23" t="s">
        <v>467</v>
      </c>
      <c r="M64" s="24" t="s">
        <v>468</v>
      </c>
      <c r="N64" s="24" t="s">
        <v>469</v>
      </c>
      <c r="O64" s="13" t="s">
        <v>470</v>
      </c>
      <c r="P64" s="31" t="s">
        <v>471</v>
      </c>
      <c r="AC64" s="10" t="str">
        <f>IFERROR(__xludf.DUMMYFUNCTION("GOOGLETRANSLATE(K64,""my"", ""en"")"),"Used digging the lake, (b), Kazakhstan")</f>
        <v>Used digging the lake, (b), Kazakhstan</v>
      </c>
      <c r="AD64" s="10" t="str">
        <f>IFERROR(__xludf.DUMMYFUNCTION("GOOGLETRANSLATE(L64,""my"", ""en"")"),"Kachin State party ပည်သူ")</f>
        <v>Kachin State party ပည်သူ</v>
      </c>
      <c r="AE64" s="10" t="str">
        <f>IFERROR(__xludf.DUMMYFUNCTION("GOOGLETRANSLATE(M64,""my"", ""en"")"),"917")</f>
        <v>917</v>
      </c>
      <c r="AF64" s="10" t="str">
        <f>IFERROR(__xludf.DUMMYFUNCTION("GOOGLETRANSLATE(N64,""my"", ""en"")"),"303")</f>
        <v>303</v>
      </c>
      <c r="AG64" s="10" t="str">
        <f>IFERROR(__xludf.DUMMYFUNCTION("GOOGLETRANSLATE(O64,""my"", ""en"")"),"1220")</f>
        <v>1220</v>
      </c>
      <c r="AH64" s="10" t="str">
        <f>IFERROR(__xludf.DUMMYFUNCTION("GOOGLETRANSLATE(P64,""my"", ""en"")"),"8.65%")</f>
        <v>8.65%</v>
      </c>
    </row>
    <row r="65" ht="36.0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3" t="s">
        <v>472</v>
      </c>
      <c r="L65" s="29" t="s">
        <v>473</v>
      </c>
      <c r="M65" s="30" t="s">
        <v>474</v>
      </c>
      <c r="N65" s="30" t="s">
        <v>475</v>
      </c>
      <c r="O65" s="13" t="s">
        <v>476</v>
      </c>
      <c r="P65" s="31" t="s">
        <v>477</v>
      </c>
      <c r="AC65" s="10" t="str">
        <f>IFERROR(__xludf.DUMMYFUNCTION("GOOGLETRANSLATE(K65,""my"", ""en"")"),"Jamaica ENTIRE  pixel")</f>
        <v>Jamaica ENTIRE  pixel</v>
      </c>
      <c r="AD65" s="10" t="str">
        <f>IFERROR(__xludf.DUMMYFUNCTION("GOOGLETRANSLATE(L65,""my"", ""en"")"),"ေလာ ေဝ   participants united  Union ေရး  under development  Phil  ေရး Party")</f>
        <v>ေလာ ေဝ   participants united  Union ေရး  under development  Phil  ေရး Party</v>
      </c>
      <c r="AE65" s="10" t="str">
        <f>IFERROR(__xludf.DUMMYFUNCTION("GOOGLETRANSLATE(M65,""my"", ""en"")"),"586")</f>
        <v>586</v>
      </c>
      <c r="AF65" s="10" t="str">
        <f>IFERROR(__xludf.DUMMYFUNCTION("GOOGLETRANSLATE(N65,""my"", ""en"")"),"172")</f>
        <v>172</v>
      </c>
      <c r="AG65" s="10" t="str">
        <f>IFERROR(__xludf.DUMMYFUNCTION("GOOGLETRANSLATE(O65,""my"", ""en"")"),"758")</f>
        <v>758</v>
      </c>
      <c r="AH65" s="10" t="str">
        <f>IFERROR(__xludf.DUMMYFUNCTION("GOOGLETRANSLATE(P65,""my"", ""en"")"),"5.38%")</f>
        <v>5.38%</v>
      </c>
    </row>
    <row r="66" ht="22.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3" t="s">
        <v>478</v>
      </c>
      <c r="L66" s="23" t="s">
        <v>479</v>
      </c>
      <c r="M66" s="24" t="s">
        <v>480</v>
      </c>
      <c r="N66" s="24" t="s">
        <v>481</v>
      </c>
      <c r="O66" s="13" t="s">
        <v>482</v>
      </c>
      <c r="P66" s="25" t="s">
        <v>483</v>
      </c>
      <c r="AC66" s="10" t="str">
        <f>IFERROR(__xludf.DUMMYFUNCTION("GOOGLETRANSLATE(K66,""my"", ""en"")"),"ေဇာင်း ေခါင်")</f>
        <v>ေဇာင်း ေခါင်</v>
      </c>
      <c r="AD66" s="10" t="str">
        <f>IFERROR(__xludf.DUMMYFUNCTION("GOOGLETRANSLATE(L66,""my"", ""en"")"),"Personal ")</f>
        <v>Personal </v>
      </c>
      <c r="AE66" s="10" t="str">
        <f>IFERROR(__xludf.DUMMYFUNCTION("GOOGLETRANSLATE(M66,""my"", ""en"")"),"119")</f>
        <v>119</v>
      </c>
      <c r="AF66" s="10" t="str">
        <f>IFERROR(__xludf.DUMMYFUNCTION("GOOGLETRANSLATE(N66,""my"", ""en"")"),"35")</f>
        <v>35</v>
      </c>
      <c r="AG66" s="10" t="str">
        <f>IFERROR(__xludf.DUMMYFUNCTION("GOOGLETRANSLATE(O66,""my"", ""en"")"),"154")</f>
        <v>154</v>
      </c>
      <c r="AH66" s="10" t="str">
        <f>IFERROR(__xludf.DUMMYFUNCTION("GOOGLETRANSLATE(P66,""my"", ""en"")"),"1.10%")</f>
        <v>1.10%</v>
      </c>
    </row>
    <row r="67" ht="21.75" customHeight="1">
      <c r="A67" s="17" t="s">
        <v>484</v>
      </c>
      <c r="B67" s="17" t="s">
        <v>485</v>
      </c>
      <c r="C67" s="18" t="s">
        <v>486</v>
      </c>
      <c r="D67" s="18" t="s">
        <v>487</v>
      </c>
      <c r="E67" s="18" t="s">
        <v>488</v>
      </c>
      <c r="F67" s="18" t="s">
        <v>489</v>
      </c>
      <c r="G67" s="18" t="s">
        <v>490</v>
      </c>
      <c r="H67" s="18" t="s">
        <v>491</v>
      </c>
      <c r="I67" s="18" t="s">
        <v>492</v>
      </c>
      <c r="J67" s="18" t="s">
        <v>493</v>
      </c>
      <c r="K67" s="27"/>
      <c r="L67" s="27"/>
      <c r="M67" s="18" t="s">
        <v>494</v>
      </c>
      <c r="N67" s="18" t="s">
        <v>495</v>
      </c>
      <c r="O67" s="18" t="s">
        <v>496</v>
      </c>
      <c r="P67" s="27"/>
      <c r="S67" s="10" t="str">
        <f>IFERROR(__xludf.DUMMYFUNCTION("GOOGLETRANSLATE(A67,""my"", ""en"")"),"10")</f>
        <v>10</v>
      </c>
      <c r="T67" s="10" t="str">
        <f>IFERROR(__xludf.DUMMYFUNCTION("GOOGLETRANSLATE(B67,""my"", ""en"")"),"မဲဆ  No. (10)")</f>
        <v>မဲဆ  No. (10)</v>
      </c>
      <c r="U67" s="10" t="str">
        <f>IFERROR(__xludf.DUMMYFUNCTION("GOOGLETRANSLATE(C67,""my"", ""en"")"),"34349")</f>
        <v>34349</v>
      </c>
      <c r="V67" s="10" t="str">
        <f>IFERROR(__xludf.DUMMYFUNCTION("GOOGLETRANSLATE(D67,""my"", ""en"")"),"17058")</f>
        <v>17058</v>
      </c>
      <c r="W67" s="10" t="str">
        <f>IFERROR(__xludf.DUMMYFUNCTION("GOOGLETRANSLATE(E67,""my"", ""en"")"),"5717")</f>
        <v>5717</v>
      </c>
      <c r="X67" s="10" t="str">
        <f>IFERROR(__xludf.DUMMYFUNCTION("GOOGLETRANSLATE(F67,""my"", ""en"")"),"22775")</f>
        <v>22775</v>
      </c>
      <c r="Y67" s="10" t="str">
        <f>IFERROR(__xludf.DUMMYFUNCTION("GOOGLETRANSLATE(G67,""my"", ""en"")"),"66.30")</f>
        <v>66.30</v>
      </c>
      <c r="Z67" s="10" t="str">
        <f>IFERROR(__xludf.DUMMYFUNCTION("GOOGLETRANSLATE(H67,""my"", ""en"")"),"731")</f>
        <v>731</v>
      </c>
      <c r="AA67" s="10" t="str">
        <f>IFERROR(__xludf.DUMMYFUNCTION("GOOGLETRANSLATE(I67,""my"", ""en"")"),"-")</f>
        <v>-</v>
      </c>
      <c r="AB67" s="10" t="str">
        <f>IFERROR(__xludf.DUMMYFUNCTION("GOOGLETRANSLATE(J67,""my"", ""en"")"),"731")</f>
        <v>731</v>
      </c>
      <c r="AE67" s="10" t="str">
        <f>IFERROR(__xludf.DUMMYFUNCTION("GOOGLETRANSLATE(M67,""my"", ""en"")"),"16477")</f>
        <v>16477</v>
      </c>
      <c r="AF67" s="10" t="str">
        <f>IFERROR(__xludf.DUMMYFUNCTION("GOOGLETRANSLATE(N67,""my"", ""en"")"),"5567")</f>
        <v>5567</v>
      </c>
      <c r="AG67" s="10" t="str">
        <f>IFERROR(__xludf.DUMMYFUNCTION("GOOGLETRANSLATE(O67,""my"", ""en"")"),"22044")</f>
        <v>22044</v>
      </c>
    </row>
    <row r="68" ht="31.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2" t="s">
        <v>497</v>
      </c>
      <c r="L68" s="23" t="s">
        <v>498</v>
      </c>
      <c r="M68" s="24" t="s">
        <v>499</v>
      </c>
      <c r="N68" s="24" t="s">
        <v>500</v>
      </c>
      <c r="O68" s="24" t="s">
        <v>501</v>
      </c>
      <c r="P68" s="25" t="s">
        <v>502</v>
      </c>
      <c r="AC68" s="10" t="str">
        <f>IFERROR(__xludf.DUMMYFUNCTION("GOOGLETRANSLATE(K68,""my"", ""en"")"),"Won tons ေဇာ
(B) worth ေဇာ")</f>
        <v>Won tons ေဇာ
(B) worth ေဇာ</v>
      </c>
      <c r="AD68" s="10" t="str">
        <f>IFERROR(__xludf.DUMMYFUNCTION("GOOGLETRANSLATE(L68,""my"", ""en"")")," Game Democracy group   Pop Party")</f>
        <v> Game Democracy group   Pop Party</v>
      </c>
      <c r="AE68" s="10" t="str">
        <f>IFERROR(__xludf.DUMMYFUNCTION("GOOGLETRANSLATE(M68,""my"", ""en"")"),"6764")</f>
        <v>6764</v>
      </c>
      <c r="AF68" s="10" t="str">
        <f>IFERROR(__xludf.DUMMYFUNCTION("GOOGLETRANSLATE(N68,""my"", ""en"")"),"1557")</f>
        <v>1557</v>
      </c>
      <c r="AG68" s="10" t="str">
        <f>IFERROR(__xludf.DUMMYFUNCTION("GOOGLETRANSLATE(O68,""my"", ""en"")"),"8321")</f>
        <v>8321</v>
      </c>
      <c r="AH68" s="10" t="str">
        <f>IFERROR(__xludf.DUMMYFUNCTION("GOOGLETRANSLATE(P68,""my"", ""en"")"),"37.75%")</f>
        <v>37.75%</v>
      </c>
    </row>
    <row r="69" ht="21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3" t="s">
        <v>503</v>
      </c>
      <c r="L69" s="23" t="s">
        <v>504</v>
      </c>
      <c r="M69" s="24" t="s">
        <v>505</v>
      </c>
      <c r="N69" s="24" t="s">
        <v>506</v>
      </c>
      <c r="O69" s="24" t="s">
        <v>507</v>
      </c>
      <c r="P69" s="25" t="s">
        <v>508</v>
      </c>
      <c r="AC69" s="10" t="str">
        <f>IFERROR(__xludf.DUMMYFUNCTION("GOOGLETRANSLATE(K69,""my"", ""en"")"),"On  Ngan Seng")</f>
        <v>On  Ngan Seng</v>
      </c>
      <c r="AD69" s="10" t="str">
        <f>IFERROR(__xludf.DUMMYFUNCTION("GOOGLETRANSLATE(L69,""my"", ""en"")"),"Local ေထာင် soap-stone strong ေရး  under development  Phil  ေရး Party")</f>
        <v>Local ေထာင် soap-stone strong ေရး  under development  Phil  ေရး Party</v>
      </c>
      <c r="AE69" s="10" t="str">
        <f>IFERROR(__xludf.DUMMYFUNCTION("GOOGLETRANSLATE(M69,""my"", ""en"")"),"4995")</f>
        <v>4995</v>
      </c>
      <c r="AF69" s="10" t="str">
        <f>IFERROR(__xludf.DUMMYFUNCTION("GOOGLETRANSLATE(N69,""my"", ""en"")"),"2572")</f>
        <v>2572</v>
      </c>
      <c r="AG69" s="10" t="str">
        <f>IFERROR(__xludf.DUMMYFUNCTION("GOOGLETRANSLATE(O69,""my"", ""en"")"),"7567")</f>
        <v>7567</v>
      </c>
      <c r="AH69" s="10" t="str">
        <f>IFERROR(__xludf.DUMMYFUNCTION("GOOGLETRANSLATE(P69,""my"", ""en"")"),"34.33%")</f>
        <v>34.33%</v>
      </c>
    </row>
    <row r="70" ht="21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3" t="s">
        <v>509</v>
      </c>
      <c r="L70" s="23" t="s">
        <v>510</v>
      </c>
      <c r="M70" s="24" t="s">
        <v>511</v>
      </c>
      <c r="N70" s="24" t="s">
        <v>512</v>
      </c>
      <c r="O70" s="24" t="s">
        <v>513</v>
      </c>
      <c r="P70" s="25" t="s">
        <v>514</v>
      </c>
      <c r="AC70" s="10" t="str">
        <f>IFERROR(__xludf.DUMMYFUNCTION("GOOGLETRANSLATE(K70,""my"", ""en"")"),"March ေနာ")</f>
        <v>March ေနာ</v>
      </c>
      <c r="AD70" s="10" t="str">
        <f>IFERROR(__xludf.DUMMYFUNCTION("GOOGLETRANSLATE(L70,""my"", ""en"")"),"Kachin State party ပည်သူ")</f>
        <v>Kachin State party ပည်သူ</v>
      </c>
      <c r="AE70" s="10" t="str">
        <f>IFERROR(__xludf.DUMMYFUNCTION("GOOGLETRANSLATE(M70,""my"", ""en"")"),"2424")</f>
        <v>2424</v>
      </c>
      <c r="AF70" s="10" t="str">
        <f>IFERROR(__xludf.DUMMYFUNCTION("GOOGLETRANSLATE(N70,""my"", ""en"")"),"858")</f>
        <v>858</v>
      </c>
      <c r="AG70" s="10" t="str">
        <f>IFERROR(__xludf.DUMMYFUNCTION("GOOGLETRANSLATE(O70,""my"", ""en"")"),"3282")</f>
        <v>3282</v>
      </c>
      <c r="AH70" s="10" t="str">
        <f>IFERROR(__xludf.DUMMYFUNCTION("GOOGLETRANSLATE(P70,""my"", ""en"")"),"14.88%")</f>
        <v>14.88%</v>
      </c>
    </row>
    <row r="71" ht="21.0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3" t="s">
        <v>515</v>
      </c>
      <c r="L71" s="23" t="s">
        <v>516</v>
      </c>
      <c r="M71" s="24" t="s">
        <v>517</v>
      </c>
      <c r="N71" s="24" t="s">
        <v>518</v>
      </c>
      <c r="O71" s="24" t="s">
        <v>519</v>
      </c>
      <c r="P71" s="25" t="s">
        <v>520</v>
      </c>
      <c r="AC71" s="10" t="str">
        <f>IFERROR(__xludf.DUMMYFUNCTION("GOOGLETRANSLATE(K71,""my"", ""en"")"),"Fu (b) ငွါး")</f>
        <v>Fu (b) ငွါး</v>
      </c>
      <c r="AD71" s="10" t="str">
        <f>IFERROR(__xludf.DUMMYFUNCTION("GOOGLETRANSLATE(L71,""my"", ""en"")"),"Boiling  Game Development  increased Phil  ေရး Party")</f>
        <v>Boiling  Game Development  increased Phil  ေရး Party</v>
      </c>
      <c r="AE71" s="10" t="str">
        <f>IFERROR(__xludf.DUMMYFUNCTION("GOOGLETRANSLATE(M71,""my"", ""en"")"),"2022")</f>
        <v>2022</v>
      </c>
      <c r="AF71" s="10" t="str">
        <f>IFERROR(__xludf.DUMMYFUNCTION("GOOGLETRANSLATE(N71,""my"", ""en"")"),"425")</f>
        <v>425</v>
      </c>
      <c r="AG71" s="10" t="str">
        <f>IFERROR(__xludf.DUMMYFUNCTION("GOOGLETRANSLATE(O71,""my"", ""en"")"),"2447")</f>
        <v>2447</v>
      </c>
      <c r="AH71" s="10" t="str">
        <f>IFERROR(__xludf.DUMMYFUNCTION("GOOGLETRANSLATE(P71,""my"", ""en"")"),"11.10%")</f>
        <v>11.10%</v>
      </c>
    </row>
    <row r="72" ht="21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3" t="s">
        <v>521</v>
      </c>
      <c r="L72" s="23" t="s">
        <v>522</v>
      </c>
      <c r="M72" s="24" t="s">
        <v>523</v>
      </c>
      <c r="N72" s="24" t="s">
        <v>524</v>
      </c>
      <c r="O72" s="24" t="s">
        <v>525</v>
      </c>
      <c r="P72" s="25" t="s">
        <v>526</v>
      </c>
      <c r="AC72" s="10" t="str">
        <f>IFERROR(__xludf.DUMMYFUNCTION("GOOGLETRANSLATE(K72,""my"", ""en"")"),"ေရှာင်")</f>
        <v>ေရှာင်</v>
      </c>
      <c r="AD72" s="10" t="str">
        <f>IFERROR(__xludf.DUMMYFUNCTION("GOOGLETRANSLATE(L72,""my"", ""en"")"),"Ethnic unity  working party ေရး")</f>
        <v>Ethnic unity  working party ေရး</v>
      </c>
      <c r="AE72" s="10" t="str">
        <f>IFERROR(__xludf.DUMMYFUNCTION("GOOGLETRANSLATE(M72,""my"", ""en"")"),"272")</f>
        <v>272</v>
      </c>
      <c r="AF72" s="10" t="str">
        <f>IFERROR(__xludf.DUMMYFUNCTION("GOOGLETRANSLATE(N72,""my"", ""en"")"),"155")</f>
        <v>155</v>
      </c>
      <c r="AG72" s="10" t="str">
        <f>IFERROR(__xludf.DUMMYFUNCTION("GOOGLETRANSLATE(O72,""my"", ""en"")"),"427")</f>
        <v>427</v>
      </c>
      <c r="AH72" s="10" t="str">
        <f>IFERROR(__xludf.DUMMYFUNCTION("GOOGLETRANSLATE(P72,""my"", ""en"")"),"1.94%")</f>
        <v>1.94%</v>
      </c>
    </row>
    <row r="73" ht="22.5" customHeight="1">
      <c r="A73" s="17" t="s">
        <v>527</v>
      </c>
      <c r="B73" s="17" t="s">
        <v>528</v>
      </c>
      <c r="C73" s="18" t="s">
        <v>529</v>
      </c>
      <c r="D73" s="18" t="s">
        <v>530</v>
      </c>
      <c r="E73" s="18" t="s">
        <v>531</v>
      </c>
      <c r="F73" s="18" t="s">
        <v>532</v>
      </c>
      <c r="G73" s="18" t="s">
        <v>533</v>
      </c>
      <c r="H73" s="18" t="s">
        <v>534</v>
      </c>
      <c r="I73" s="18" t="s">
        <v>535</v>
      </c>
      <c r="J73" s="18" t="s">
        <v>536</v>
      </c>
      <c r="K73" s="27"/>
      <c r="L73" s="27"/>
      <c r="M73" s="18" t="s">
        <v>537</v>
      </c>
      <c r="N73" s="18" t="s">
        <v>538</v>
      </c>
      <c r="O73" s="18" t="s">
        <v>539</v>
      </c>
      <c r="P73" s="27"/>
      <c r="S73" s="10" t="str">
        <f>IFERROR(__xludf.DUMMYFUNCTION("GOOGLETRANSLATE(A73,""my"", ""en"")"),"11")</f>
        <v>11</v>
      </c>
      <c r="T73" s="10" t="str">
        <f>IFERROR(__xludf.DUMMYFUNCTION("GOOGLETRANSLATE(B73,""my"", ""en"")"),"မဲဆ  No. (11)")</f>
        <v>မဲဆ  No. (11)</v>
      </c>
      <c r="U73" s="10" t="str">
        <f>IFERROR(__xludf.DUMMYFUNCTION("GOOGLETRANSLATE(C73,""my"", ""en"")"),"238576")</f>
        <v>238576</v>
      </c>
      <c r="V73" s="10" t="str">
        <f>IFERROR(__xludf.DUMMYFUNCTION("GOOGLETRANSLATE(D73,""my"", ""en"")"),"111392")</f>
        <v>111392</v>
      </c>
      <c r="W73" s="10" t="str">
        <f>IFERROR(__xludf.DUMMYFUNCTION("GOOGLETRANSLATE(E73,""my"", ""en"")"),"27845")</f>
        <v>27845</v>
      </c>
      <c r="X73" s="10" t="str">
        <f>IFERROR(__xludf.DUMMYFUNCTION("GOOGLETRANSLATE(F73,""my"", ""en"")"),"139237")</f>
        <v>139237</v>
      </c>
      <c r="Y73" s="10" t="str">
        <f>IFERROR(__xludf.DUMMYFUNCTION("GOOGLETRANSLATE(G73,""my"", ""en"")"),"58.36")</f>
        <v>58.36</v>
      </c>
      <c r="Z73" s="10" t="str">
        <f>IFERROR(__xludf.DUMMYFUNCTION("GOOGLETRANSLATE(H73,""my"", ""en"")"),"3637")</f>
        <v>3637</v>
      </c>
      <c r="AA73" s="10" t="str">
        <f>IFERROR(__xludf.DUMMYFUNCTION("GOOGLETRANSLATE(I73,""my"", ""en"")"),"57")</f>
        <v>57</v>
      </c>
      <c r="AB73" s="10" t="str">
        <f>IFERROR(__xludf.DUMMYFUNCTION("GOOGLETRANSLATE(J73,""my"", ""en"")"),"3694")</f>
        <v>3694</v>
      </c>
      <c r="AE73" s="10" t="str">
        <f>IFERROR(__xludf.DUMMYFUNCTION("GOOGLETRANSLATE(M73,""my"", ""en"")"),"108438")</f>
        <v>108438</v>
      </c>
      <c r="AF73" s="10" t="str">
        <f>IFERROR(__xludf.DUMMYFUNCTION("GOOGLETRANSLATE(N73,""my"", ""en"")"),"27105")</f>
        <v>27105</v>
      </c>
      <c r="AG73" s="10" t="str">
        <f>IFERROR(__xludf.DUMMYFUNCTION("GOOGLETRANSLATE(O73,""my"", ""en"")"),"135543")</f>
        <v>135543</v>
      </c>
    </row>
    <row r="74" ht="25.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3" t="s">
        <v>540</v>
      </c>
      <c r="L74" s="23" t="s">
        <v>541</v>
      </c>
      <c r="M74" s="24" t="s">
        <v>542</v>
      </c>
      <c r="N74" s="24" t="s">
        <v>543</v>
      </c>
      <c r="O74" s="24" t="s">
        <v>544</v>
      </c>
      <c r="P74" s="25" t="s">
        <v>545</v>
      </c>
      <c r="AC74" s="10" t="str">
        <f>IFERROR(__xludf.DUMMYFUNCTION("GOOGLETRANSLATE(K74,""my"", ""en"")"),"Lime bitter ေနာ Sam")</f>
        <v>Lime bitter ေနာ Sam</v>
      </c>
      <c r="AD74" s="10" t="str">
        <f>IFERROR(__xludf.DUMMYFUNCTION("GOOGLETRANSLATE(L74,""my"", ""en"")")," Game Democracy group   Pop Party")</f>
        <v> Game Democracy group   Pop Party</v>
      </c>
      <c r="AE74" s="10" t="str">
        <f>IFERROR(__xludf.DUMMYFUNCTION("GOOGLETRANSLATE(M74,""my"", ""en"")"),"55913")</f>
        <v>55913</v>
      </c>
      <c r="AF74" s="10" t="str">
        <f>IFERROR(__xludf.DUMMYFUNCTION("GOOGLETRANSLATE(N74,""my"", ""en"")"),"12059")</f>
        <v>12059</v>
      </c>
      <c r="AG74" s="10" t="str">
        <f>IFERROR(__xludf.DUMMYFUNCTION("GOOGLETRANSLATE(O74,""my"", ""en"")"),"67972")</f>
        <v>67972</v>
      </c>
      <c r="AH74" s="10" t="str">
        <f>IFERROR(__xludf.DUMMYFUNCTION("GOOGLETRANSLATE(P74,""my"", ""en"")"),"50.15%")</f>
        <v>50.15%</v>
      </c>
    </row>
    <row r="75" ht="25.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3" t="s">
        <v>546</v>
      </c>
      <c r="L75" s="23" t="s">
        <v>547</v>
      </c>
      <c r="M75" s="24" t="s">
        <v>548</v>
      </c>
      <c r="N75" s="24" t="s">
        <v>549</v>
      </c>
      <c r="O75" s="24" t="s">
        <v>550</v>
      </c>
      <c r="P75" s="25" t="s">
        <v>551</v>
      </c>
      <c r="AC75" s="10" t="str">
        <f>IFERROR(__xludf.DUMMYFUNCTION("GOOGLETRANSLATE(K75,""my"", ""en"")"),"Netanyahu ဒှေ ")</f>
        <v>Netanyahu ဒှေ </v>
      </c>
      <c r="AD75" s="10" t="str">
        <f>IFERROR(__xludf.DUMMYFUNCTION("GOOGLETRANSLATE(L75,""my"", ""en"")"),"Local ေထာင် soap-stone strong ေရး  under development  Phil  ေရး Party")</f>
        <v>Local ေထာင် soap-stone strong ေရး  under development  Phil  ေရး Party</v>
      </c>
      <c r="AE75" s="10" t="str">
        <f>IFERROR(__xludf.DUMMYFUNCTION("GOOGLETRANSLATE(M75,""my"", ""en"")"),"20379")</f>
        <v>20379</v>
      </c>
      <c r="AF75" s="10" t="str">
        <f>IFERROR(__xludf.DUMMYFUNCTION("GOOGLETRANSLATE(N75,""my"", ""en"")"),"7528")</f>
        <v>7528</v>
      </c>
      <c r="AG75" s="10" t="str">
        <f>IFERROR(__xludf.DUMMYFUNCTION("GOOGLETRANSLATE(O75,""my"", ""en"")"),"27907")</f>
        <v>27907</v>
      </c>
      <c r="AH75" s="10" t="str">
        <f>IFERROR(__xludf.DUMMYFUNCTION("GOOGLETRANSLATE(P75,""my"", ""en"")"),"20.59%")</f>
        <v>20.59%</v>
      </c>
    </row>
    <row r="76" ht="25.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3" t="s">
        <v>552</v>
      </c>
      <c r="L76" s="23" t="s">
        <v>553</v>
      </c>
      <c r="M76" s="24" t="s">
        <v>554</v>
      </c>
      <c r="N76" s="24" t="s">
        <v>555</v>
      </c>
      <c r="O76" s="24" t="s">
        <v>556</v>
      </c>
      <c r="P76" s="25" t="s">
        <v>557</v>
      </c>
      <c r="AC76" s="10" t="str">
        <f>IFERROR(__xludf.DUMMYFUNCTION("GOOGLETRANSLATE(K76,""my"", ""en"")"),"Data  ဒှဲ Abu")</f>
        <v>Data  ဒှဲ Abu</v>
      </c>
      <c r="AD76" s="10" t="str">
        <f>IFERROR(__xludf.DUMMYFUNCTION("GOOGLETRANSLATE(L76,""my"", ""en"")"),"Kachin State party ပည်သူ")</f>
        <v>Kachin State party ပည်သူ</v>
      </c>
      <c r="AE76" s="10" t="str">
        <f>IFERROR(__xludf.DUMMYFUNCTION("GOOGLETRANSLATE(M76,""my"", ""en"")"),"21030")</f>
        <v>21030</v>
      </c>
      <c r="AF76" s="10" t="str">
        <f>IFERROR(__xludf.DUMMYFUNCTION("GOOGLETRANSLATE(N76,""my"", ""en"")"),"4577")</f>
        <v>4577</v>
      </c>
      <c r="AG76" s="10" t="str">
        <f>IFERROR(__xludf.DUMMYFUNCTION("GOOGLETRANSLATE(O76,""my"", ""en"")"),"25607")</f>
        <v>25607</v>
      </c>
      <c r="AH76" s="10" t="str">
        <f>IFERROR(__xludf.DUMMYFUNCTION("GOOGLETRANSLATE(P76,""my"", ""en"")"),"18.89%")</f>
        <v>18.89%</v>
      </c>
    </row>
    <row r="77" ht="36.0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3" t="s">
        <v>558</v>
      </c>
      <c r="L77" s="23" t="s">
        <v>559</v>
      </c>
      <c r="M77" s="24" t="s">
        <v>560</v>
      </c>
      <c r="N77" s="24" t="s">
        <v>561</v>
      </c>
      <c r="O77" s="24" t="s">
        <v>562</v>
      </c>
      <c r="P77" s="31" t="s">
        <v>563</v>
      </c>
      <c r="AC77" s="10" t="str">
        <f>IFERROR(__xludf.DUMMYFUNCTION("GOOGLETRANSLATE(K77,""my"", ""en"")"),"Court rule ေကျာ")</f>
        <v>Court rule ေကျာ</v>
      </c>
      <c r="AD77" s="10" t="str">
        <f>IFERROR(__xludf.DUMMYFUNCTION("GOOGLETRANSLATE(L77,""my"", ""en"")"),"တိုင်းလိုင် (ရှမ်းနီ)  Game Development  increased Phil  ေရး Party")</f>
        <v>တိုင်းလိုင် (ရှမ်းနီ)  Game Development  increased Phil  ေရး Party</v>
      </c>
      <c r="AE77" s="10" t="str">
        <f>IFERROR(__xludf.DUMMYFUNCTION("GOOGLETRANSLATE(M77,""my"", ""en"")"),"5237")</f>
        <v>5237</v>
      </c>
      <c r="AF77" s="10" t="str">
        <f>IFERROR(__xludf.DUMMYFUNCTION("GOOGLETRANSLATE(N77,""my"", ""en"")"),"1257")</f>
        <v>1257</v>
      </c>
      <c r="AG77" s="10" t="str">
        <f>IFERROR(__xludf.DUMMYFUNCTION("GOOGLETRANSLATE(O77,""my"", ""en"")"),"6494")</f>
        <v>6494</v>
      </c>
      <c r="AH77" s="10" t="str">
        <f>IFERROR(__xludf.DUMMYFUNCTION("GOOGLETRANSLATE(P77,""my"", ""en"")"),"4.79%")</f>
        <v>4.79%</v>
      </c>
    </row>
    <row r="78" ht="27.0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3" t="s">
        <v>564</v>
      </c>
      <c r="L78" s="23" t="s">
        <v>565</v>
      </c>
      <c r="M78" s="24" t="s">
        <v>566</v>
      </c>
      <c r="N78" s="24" t="s">
        <v>567</v>
      </c>
      <c r="O78" s="24" t="s">
        <v>568</v>
      </c>
      <c r="P78" s="25" t="s">
        <v>569</v>
      </c>
      <c r="AC78" s="10" t="str">
        <f>IFERROR(__xludf.DUMMYFUNCTION("GOOGLETRANSLATE(K78,""my"", ""en"")"),"ေဒ  miles ေခါန်")</f>
        <v>ေဒ  miles ေခါန်</v>
      </c>
      <c r="AD78" s="10" t="str">
        <f>IFERROR(__xludf.DUMMYFUNCTION("GOOGLETRANSLATE(L78,""my"", ""en"")"),"ပည်သူ  Game  ေကျာင်း Party")</f>
        <v>ပည်သူ  Game  ေကျာင်း Party</v>
      </c>
      <c r="AE78" s="10" t="str">
        <f>IFERROR(__xludf.DUMMYFUNCTION("GOOGLETRANSLATE(M78,""my"", ""en"")"),"4850")</f>
        <v>4850</v>
      </c>
      <c r="AF78" s="10" t="str">
        <f>IFERROR(__xludf.DUMMYFUNCTION("GOOGLETRANSLATE(N78,""my"", ""en"")"),"1231")</f>
        <v>1231</v>
      </c>
      <c r="AG78" s="10" t="str">
        <f>IFERROR(__xludf.DUMMYFUNCTION("GOOGLETRANSLATE(O78,""my"", ""en"")"),"6081")</f>
        <v>6081</v>
      </c>
      <c r="AH78" s="10" t="str">
        <f>IFERROR(__xludf.DUMMYFUNCTION("GOOGLETRANSLATE(P78,""my"", ""en"")"),"4.49%")</f>
        <v>4.49%</v>
      </c>
    </row>
    <row r="79" ht="25.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3" t="s">
        <v>570</v>
      </c>
      <c r="L79" s="23" t="s">
        <v>571</v>
      </c>
      <c r="M79" s="24" t="s">
        <v>572</v>
      </c>
      <c r="N79" s="24" t="s">
        <v>573</v>
      </c>
      <c r="O79" s="24" t="s">
        <v>574</v>
      </c>
      <c r="P79" s="25" t="s">
        <v>575</v>
      </c>
      <c r="AC79" s="10" t="str">
        <f>IFERROR(__xludf.DUMMYFUNCTION("GOOGLETRANSLATE(K79,""my"", ""en"")"),"Too ေခါင်")</f>
        <v>Too ေခါင်</v>
      </c>
      <c r="AD79" s="10" t="str">
        <f>IFERROR(__xludf.DUMMYFUNCTION("GOOGLETRANSLATE(L79,""my"", ""en"")"),"Local ေထာင် စုေ white  Game ေဆာင် Party")</f>
        <v>Local ေထာင် စုေ white  Game ေဆာင် Party</v>
      </c>
      <c r="AE79" s="10" t="str">
        <f>IFERROR(__xludf.DUMMYFUNCTION("GOOGLETRANSLATE(M79,""my"", ""en"")"),"1029")</f>
        <v>1029</v>
      </c>
      <c r="AF79" s="10" t="str">
        <f>IFERROR(__xludf.DUMMYFUNCTION("GOOGLETRANSLATE(N79,""my"", ""en"")"),"453")</f>
        <v>453</v>
      </c>
      <c r="AG79" s="10" t="str">
        <f>IFERROR(__xludf.DUMMYFUNCTION("GOOGLETRANSLATE(O79,""my"", ""en"")"),"1482")</f>
        <v>1482</v>
      </c>
      <c r="AH79" s="10" t="str">
        <f>IFERROR(__xludf.DUMMYFUNCTION("GOOGLETRANSLATE(P79,""my"", ""en"")"),"1.09%")</f>
        <v>1.09%</v>
      </c>
    </row>
    <row r="80" ht="24.75" customHeight="1">
      <c r="A80" s="17" t="s">
        <v>576</v>
      </c>
      <c r="B80" s="17" t="s">
        <v>577</v>
      </c>
      <c r="C80" s="18" t="s">
        <v>578</v>
      </c>
      <c r="D80" s="18" t="s">
        <v>579</v>
      </c>
      <c r="E80" s="18" t="s">
        <v>580</v>
      </c>
      <c r="F80" s="18" t="s">
        <v>581</v>
      </c>
      <c r="G80" s="18" t="s">
        <v>582</v>
      </c>
      <c r="H80" s="18" t="s">
        <v>583</v>
      </c>
      <c r="I80" s="18" t="s">
        <v>584</v>
      </c>
      <c r="J80" s="18" t="s">
        <v>585</v>
      </c>
      <c r="K80" s="27"/>
      <c r="L80" s="27"/>
      <c r="M80" s="18" t="s">
        <v>586</v>
      </c>
      <c r="N80" s="18" t="s">
        <v>587</v>
      </c>
      <c r="O80" s="18" t="s">
        <v>588</v>
      </c>
      <c r="P80" s="27"/>
      <c r="S80" s="10" t="str">
        <f>IFERROR(__xludf.DUMMYFUNCTION("GOOGLETRANSLATE(A80,""my"", ""en"")"),"12")</f>
        <v>12</v>
      </c>
      <c r="T80" s="10" t="str">
        <f>IFERROR(__xludf.DUMMYFUNCTION("GOOGLETRANSLATE(B80,""my"", ""en"")"),"မဲဆ  No. (12)")</f>
        <v>မဲဆ  No. (12)</v>
      </c>
      <c r="U80" s="10" t="str">
        <f>IFERROR(__xludf.DUMMYFUNCTION("GOOGLETRANSLATE(C80,""my"", ""en"")"),"94153")</f>
        <v>94153</v>
      </c>
      <c r="V80" s="10" t="str">
        <f>IFERROR(__xludf.DUMMYFUNCTION("GOOGLETRANSLATE(D80,""my"", ""en"")"),"44119")</f>
        <v>44119</v>
      </c>
      <c r="W80" s="10" t="str">
        <f>IFERROR(__xludf.DUMMYFUNCTION("GOOGLETRANSLATE(E80,""my"", ""en"")"),"14115")</f>
        <v>14115</v>
      </c>
      <c r="X80" s="10" t="str">
        <f>IFERROR(__xludf.DUMMYFUNCTION("GOOGLETRANSLATE(F80,""my"", ""en"")"),"58234")</f>
        <v>58234</v>
      </c>
      <c r="Y80" s="10" t="str">
        <f>IFERROR(__xludf.DUMMYFUNCTION("GOOGLETRANSLATE(G80,""my"", ""en"")"),"61.85")</f>
        <v>61.85</v>
      </c>
      <c r="Z80" s="10" t="str">
        <f>IFERROR(__xludf.DUMMYFUNCTION("GOOGLETRANSLATE(H80,""my"", ""en"")"),"2137")</f>
        <v>2137</v>
      </c>
      <c r="AA80" s="10" t="str">
        <f>IFERROR(__xludf.DUMMYFUNCTION("GOOGLETRANSLATE(I80,""my"", ""en"")"),"14")</f>
        <v>14</v>
      </c>
      <c r="AB80" s="10" t="str">
        <f>IFERROR(__xludf.DUMMYFUNCTION("GOOGLETRANSLATE(J80,""my"", ""en"")"),"2151")</f>
        <v>2151</v>
      </c>
      <c r="AE80" s="10" t="str">
        <f>IFERROR(__xludf.DUMMYFUNCTION("GOOGLETRANSLATE(M80,""my"", ""en"")"),"42404")</f>
        <v>42404</v>
      </c>
      <c r="AF80" s="10" t="str">
        <f>IFERROR(__xludf.DUMMYFUNCTION("GOOGLETRANSLATE(N80,""my"", ""en"")"),"13679")</f>
        <v>13679</v>
      </c>
      <c r="AG80" s="10" t="str">
        <f>IFERROR(__xludf.DUMMYFUNCTION("GOOGLETRANSLATE(O80,""my"", ""en"")"),"56083")</f>
        <v>56083</v>
      </c>
    </row>
    <row r="81" ht="19.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3" t="s">
        <v>589</v>
      </c>
      <c r="L81" s="23" t="s">
        <v>590</v>
      </c>
      <c r="M81" s="24" t="s">
        <v>591</v>
      </c>
      <c r="N81" s="24" t="s">
        <v>592</v>
      </c>
      <c r="O81" s="24" t="s">
        <v>593</v>
      </c>
      <c r="P81" s="25" t="s">
        <v>594</v>
      </c>
      <c r="AC81" s="10" t="str">
        <f>IFERROR(__xludf.DUMMYFUNCTION("GOOGLETRANSLATE(K81,""my"", ""en"")"),"ေခါင် pips")</f>
        <v>ေခါင် pips</v>
      </c>
      <c r="AD81" s="10" t="str">
        <f>IFERROR(__xludf.DUMMYFUNCTION("GOOGLETRANSLATE(L81,""my"", ""en"")")," Game Democracy group   Pop Party")</f>
        <v> Game Democracy group   Pop Party</v>
      </c>
      <c r="AE81" s="10" t="str">
        <f>IFERROR(__xludf.DUMMYFUNCTION("GOOGLETRANSLATE(M81,""my"", ""en"")"),"18239")</f>
        <v>18239</v>
      </c>
      <c r="AF81" s="10" t="str">
        <f>IFERROR(__xludf.DUMMYFUNCTION("GOOGLETRANSLATE(N81,""my"", ""en"")"),"4509")</f>
        <v>4509</v>
      </c>
      <c r="AG81" s="10" t="str">
        <f>IFERROR(__xludf.DUMMYFUNCTION("GOOGLETRANSLATE(O81,""my"", ""en"")"),"22748")</f>
        <v>22748</v>
      </c>
      <c r="AH81" s="10" t="str">
        <f>IFERROR(__xludf.DUMMYFUNCTION("GOOGLETRANSLATE(P81,""my"", ""en"")"),"40.56%")</f>
        <v>40.56%</v>
      </c>
    </row>
    <row r="82" ht="22.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3" t="s">
        <v>595</v>
      </c>
      <c r="L82" s="23" t="s">
        <v>596</v>
      </c>
      <c r="M82" s="24" t="s">
        <v>597</v>
      </c>
      <c r="N82" s="24" t="s">
        <v>598</v>
      </c>
      <c r="O82" s="24" t="s">
        <v>599</v>
      </c>
      <c r="P82" s="25" t="s">
        <v>600</v>
      </c>
      <c r="AC82" s="10" t="str">
        <f>IFERROR(__xludf.DUMMYFUNCTION("GOOGLETRANSLATE(K82,""my"", ""en"")"),"What ")</f>
        <v>What </v>
      </c>
      <c r="AD82" s="10" t="str">
        <f>IFERROR(__xludf.DUMMYFUNCTION("GOOGLETRANSLATE(L82,""my"", ""en"")"),"Local ေထာင် soap-stone strong ေရး  under development  Phil  ေရး Party")</f>
        <v>Local ေထာင် soap-stone strong ေရး  under development  Phil  ေရး Party</v>
      </c>
      <c r="AE82" s="10" t="str">
        <f>IFERROR(__xludf.DUMMYFUNCTION("GOOGLETRANSLATE(M82,""my"", ""en"")"),"5660")</f>
        <v>5660</v>
      </c>
      <c r="AF82" s="10" t="str">
        <f>IFERROR(__xludf.DUMMYFUNCTION("GOOGLETRANSLATE(N82,""my"", ""en"")"),"3530")</f>
        <v>3530</v>
      </c>
      <c r="AG82" s="10" t="str">
        <f>IFERROR(__xludf.DUMMYFUNCTION("GOOGLETRANSLATE(O82,""my"", ""en"")"),"9190")</f>
        <v>9190</v>
      </c>
      <c r="AH82" s="10" t="str">
        <f>IFERROR(__xludf.DUMMYFUNCTION("GOOGLETRANSLATE(P82,""my"", ""en"")"),"16.39%")</f>
        <v>16.39%</v>
      </c>
    </row>
    <row r="83" ht="24.0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3" t="s">
        <v>601</v>
      </c>
      <c r="L83" s="23" t="s">
        <v>602</v>
      </c>
      <c r="M83" s="24" t="s">
        <v>603</v>
      </c>
      <c r="N83" s="24" t="s">
        <v>604</v>
      </c>
      <c r="O83" s="24" t="s">
        <v>605</v>
      </c>
      <c r="P83" s="25" t="s">
        <v>606</v>
      </c>
      <c r="AC83" s="10" t="str">
        <f>IFERROR(__xludf.DUMMYFUNCTION("GOOGLETRANSLATE(K83,""my"", ""en"")"),"Norwegian mountain")</f>
        <v>Norwegian mountain</v>
      </c>
      <c r="AD83" s="10" t="str">
        <f>IFERROR(__xludf.DUMMYFUNCTION("GOOGLETRANSLATE(L83,""my"", ""en"")"),"Kachin State party ပည်သူ")</f>
        <v>Kachin State party ပည်သူ</v>
      </c>
      <c r="AE83" s="10" t="str">
        <f>IFERROR(__xludf.DUMMYFUNCTION("GOOGLETRANSLATE(M83,""my"", ""en"")"),"6154")</f>
        <v>6154</v>
      </c>
      <c r="AF83" s="10" t="str">
        <f>IFERROR(__xludf.DUMMYFUNCTION("GOOGLETRANSLATE(N83,""my"", ""en"")"),"1746")</f>
        <v>1746</v>
      </c>
      <c r="AG83" s="10" t="str">
        <f>IFERROR(__xludf.DUMMYFUNCTION("GOOGLETRANSLATE(O83,""my"", ""en"")"),"7900")</f>
        <v>7900</v>
      </c>
      <c r="AH83" s="10" t="str">
        <f>IFERROR(__xludf.DUMMYFUNCTION("GOOGLETRANSLATE(P83,""my"", ""en"")"),"14.09%")</f>
        <v>14.09%</v>
      </c>
    </row>
    <row r="84" ht="28.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3" t="s">
        <v>607</v>
      </c>
      <c r="L84" s="29" t="s">
        <v>608</v>
      </c>
      <c r="M84" s="30" t="s">
        <v>609</v>
      </c>
      <c r="N84" s="30" t="s">
        <v>610</v>
      </c>
      <c r="O84" s="24" t="s">
        <v>611</v>
      </c>
      <c r="P84" s="25" t="s">
        <v>612</v>
      </c>
      <c r="AC84" s="10" t="str">
        <f>IFERROR(__xludf.DUMMYFUNCTION("GOOGLETRANSLATE(K84,""my"", ""en"")"),"Thein ")</f>
        <v>Thein </v>
      </c>
      <c r="AD84" s="10" t="str">
        <f>IFERROR(__xludf.DUMMYFUNCTION("GOOGLETRANSLATE(L84,""my"", ""en"")"),"In the Shan Nationalities League for Democracy members   Party")</f>
        <v>In the Shan Nationalities League for Democracy members   Party</v>
      </c>
      <c r="AE84" s="10" t="str">
        <f>IFERROR(__xludf.DUMMYFUNCTION("GOOGLETRANSLATE(M84,""my"", ""en"")"),"3033")</f>
        <v>3033</v>
      </c>
      <c r="AF84" s="10" t="str">
        <f>IFERROR(__xludf.DUMMYFUNCTION("GOOGLETRANSLATE(N84,""my"", ""en"")"),"729")</f>
        <v>729</v>
      </c>
      <c r="AG84" s="10" t="str">
        <f>IFERROR(__xludf.DUMMYFUNCTION("GOOGLETRANSLATE(O84,""my"", ""en"")"),"3762")</f>
        <v>3762</v>
      </c>
      <c r="AH84" s="10" t="str">
        <f>IFERROR(__xludf.DUMMYFUNCTION("GOOGLETRANSLATE(P84,""my"", ""en"")"),"6.71%")</f>
        <v>6.71%</v>
      </c>
    </row>
    <row r="85" ht="21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3" t="s">
        <v>613</v>
      </c>
      <c r="L85" s="23" t="s">
        <v>614</v>
      </c>
      <c r="M85" s="24" t="s">
        <v>615</v>
      </c>
      <c r="N85" s="24" t="s">
        <v>616</v>
      </c>
      <c r="O85" s="24" t="s">
        <v>617</v>
      </c>
      <c r="P85" s="25" t="s">
        <v>618</v>
      </c>
      <c r="AC85" s="10" t="str">
        <f>IFERROR(__xludf.DUMMYFUNCTION("GOOGLETRANSLATE(K85,""my"", ""en"")"),"Ice land ")</f>
        <v>Ice land </v>
      </c>
      <c r="AD85" s="10" t="str">
        <f>IFERROR(__xludf.DUMMYFUNCTION("GOOGLETRANSLATE(L85,""my"", ""en"")"),"Democracy party touched (Kachin)")</f>
        <v>Democracy party touched (Kachin)</v>
      </c>
      <c r="AE85" s="10" t="str">
        <f>IFERROR(__xludf.DUMMYFUNCTION("GOOGLETRANSLATE(M85,""my"", ""en"")"),"2453")</f>
        <v>2453</v>
      </c>
      <c r="AF85" s="10" t="str">
        <f>IFERROR(__xludf.DUMMYFUNCTION("GOOGLETRANSLATE(N85,""my"", ""en"")"),"727")</f>
        <v>727</v>
      </c>
      <c r="AG85" s="10" t="str">
        <f>IFERROR(__xludf.DUMMYFUNCTION("GOOGLETRANSLATE(O85,""my"", ""en"")"),"3180")</f>
        <v>3180</v>
      </c>
      <c r="AH85" s="10" t="str">
        <f>IFERROR(__xludf.DUMMYFUNCTION("GOOGLETRANSLATE(P85,""my"", ""en"")"),"5.67%")</f>
        <v>5.67%</v>
      </c>
    </row>
    <row r="86" ht="39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32" t="s">
        <v>619</v>
      </c>
      <c r="L86" s="29" t="s">
        <v>620</v>
      </c>
      <c r="M86" s="39" t="s">
        <v>621</v>
      </c>
      <c r="N86" s="39" t="s">
        <v>622</v>
      </c>
      <c r="O86" s="33" t="s">
        <v>623</v>
      </c>
      <c r="P86" s="31" t="s">
        <v>624</v>
      </c>
      <c r="AC86" s="10" t="str">
        <f>IFERROR(__xludf.DUMMYFUNCTION("GOOGLETRANSLATE(K86,""my"", ""en"")"),"ခမ် ေဒါင် low")</f>
        <v>ခမ် ေဒါင် low</v>
      </c>
      <c r="AD86" s="10" t="str">
        <f>IFERROR(__xludf.DUMMYFUNCTION("GOOGLETRANSLATE(L86,""my"", ""en"")"),"ေလာ ေဝ   participants united  Union ေရး  under development  Phil  ေရး Party")</f>
        <v>ေလာ ေဝ   participants united  Union ေရး  under development  Phil  ေရး Party</v>
      </c>
      <c r="AE86" s="10" t="str">
        <f>IFERROR(__xludf.DUMMYFUNCTION("GOOGLETRANSLATE(M86,""my"", ""en"")"),"1806")</f>
        <v>1806</v>
      </c>
      <c r="AF86" s="10" t="str">
        <f>IFERROR(__xludf.DUMMYFUNCTION("GOOGLETRANSLATE(N86,""my"", ""en"")"),"670")</f>
        <v>670</v>
      </c>
      <c r="AG86" s="10" t="str">
        <f>IFERROR(__xludf.DUMMYFUNCTION("GOOGLETRANSLATE(O86,""my"", ""en"")"),"2476")</f>
        <v>2476</v>
      </c>
      <c r="AH86" s="10" t="str">
        <f>IFERROR(__xludf.DUMMYFUNCTION("GOOGLETRANSLATE(P86,""my"", ""en"")"),"4.41%")</f>
        <v>4.41%</v>
      </c>
    </row>
    <row r="87" ht="22.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3" t="s">
        <v>625</v>
      </c>
      <c r="L87" s="23" t="s">
        <v>626</v>
      </c>
      <c r="M87" s="24" t="s">
        <v>627</v>
      </c>
      <c r="N87" s="24" t="s">
        <v>628</v>
      </c>
      <c r="O87" s="24" t="s">
        <v>629</v>
      </c>
      <c r="P87" s="25" t="s">
        <v>630</v>
      </c>
      <c r="AC87" s="10" t="str">
        <f>IFERROR(__xludf.DUMMYFUNCTION("GOOGLETRANSLATE(K87,""my"", ""en"")"),"ေဘာမ် Ying")</f>
        <v>ေဘာမ် Ying</v>
      </c>
      <c r="AD87" s="10" t="str">
        <f>IFERROR(__xludf.DUMMYFUNCTION("GOOGLETRANSLATE(L87,""my"", ""en"")"),"Kachin  Game သားကွန်ဂရက် Party")</f>
        <v>Kachin  Game သားကွန်ဂရက် Party</v>
      </c>
      <c r="AE87" s="10" t="str">
        <f>IFERROR(__xludf.DUMMYFUNCTION("GOOGLETRANSLATE(M87,""my"", ""en"")"),"1622")</f>
        <v>1622</v>
      </c>
      <c r="AF87" s="10" t="str">
        <f>IFERROR(__xludf.DUMMYFUNCTION("GOOGLETRANSLATE(N87,""my"", ""en"")"),"514")</f>
        <v>514</v>
      </c>
      <c r="AG87" s="10" t="str">
        <f>IFERROR(__xludf.DUMMYFUNCTION("GOOGLETRANSLATE(O87,""my"", ""en"")"),"2136")</f>
        <v>2136</v>
      </c>
      <c r="AH87" s="10" t="str">
        <f>IFERROR(__xludf.DUMMYFUNCTION("GOOGLETRANSLATE(P87,""my"", ""en"")"),"3.81%")</f>
        <v>3.81%</v>
      </c>
    </row>
    <row r="88" ht="34.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3" t="s">
        <v>631</v>
      </c>
      <c r="L88" s="22" t="s">
        <v>632</v>
      </c>
      <c r="M88" s="24" t="s">
        <v>633</v>
      </c>
      <c r="N88" s="24" t="s">
        <v>634</v>
      </c>
      <c r="O88" s="24" t="s">
        <v>635</v>
      </c>
      <c r="P88" s="25" t="s">
        <v>636</v>
      </c>
      <c r="AC88" s="10" t="str">
        <f>IFERROR(__xludf.DUMMYFUNCTION("GOOGLETRANSLATE(K88,""my"", ""en"")"),"Tun  ငိမ်း")</f>
        <v>Tun  ငိမ်း</v>
      </c>
      <c r="AD88" s="10" t="str">
        <f>IFERROR(__xludf.DUMMYFUNCTION("GOOGLETRANSLATE(L88,""my"", ""en"")"),"တိုင်းလိုင် (ရှမ်းနီ)  Game Development  Phil 
Progressive")</f>
        <v>တိုင်းလိုင် (ရှမ်းနီ)  Game Development  Phil 
Progressive</v>
      </c>
      <c r="AE88" s="10" t="str">
        <f>IFERROR(__xludf.DUMMYFUNCTION("GOOGLETRANSLATE(M88,""my"", ""en"")"),"1331")</f>
        <v>1331</v>
      </c>
      <c r="AF88" s="10" t="str">
        <f>IFERROR(__xludf.DUMMYFUNCTION("GOOGLETRANSLATE(N88,""my"", ""en"")"),"427")</f>
        <v>427</v>
      </c>
      <c r="AG88" s="10" t="str">
        <f>IFERROR(__xludf.DUMMYFUNCTION("GOOGLETRANSLATE(O88,""my"", ""en"")"),"1758")</f>
        <v>1758</v>
      </c>
      <c r="AH88" s="10" t="str">
        <f>IFERROR(__xludf.DUMMYFUNCTION("GOOGLETRANSLATE(P88,""my"", ""en"")"),"3.13%")</f>
        <v>3.13%</v>
      </c>
    </row>
    <row r="89" ht="24.0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3" t="s">
        <v>637</v>
      </c>
      <c r="L89" s="23" t="s">
        <v>638</v>
      </c>
      <c r="M89" s="24" t="s">
        <v>639</v>
      </c>
      <c r="N89" s="24" t="s">
        <v>640</v>
      </c>
      <c r="O89" s="24" t="s">
        <v>641</v>
      </c>
      <c r="P89" s="25" t="s">
        <v>642</v>
      </c>
      <c r="AC89" s="10" t="str">
        <f>IFERROR(__xludf.DUMMYFUNCTION("GOOGLETRANSLATE(K89,""my"", ""en"")"),"Data  hired")</f>
        <v>Data  hired</v>
      </c>
      <c r="AD89" s="10" t="str">
        <f>IFERROR(__xludf.DUMMYFUNCTION("GOOGLETRANSLATE(L89,""my"", ""en"")"),"Local ေထာင် စုေ white  Game ေဆာင် Party")</f>
        <v>Local ေထာင် စုေ white  Game ေဆာင် Party</v>
      </c>
      <c r="AE89" s="10" t="str">
        <f>IFERROR(__xludf.DUMMYFUNCTION("GOOGLETRANSLATE(M89,""my"", ""en"")"),"980")</f>
        <v>980</v>
      </c>
      <c r="AF89" s="10" t="str">
        <f>IFERROR(__xludf.DUMMYFUNCTION("GOOGLETRANSLATE(N89,""my"", ""en"")"),"309")</f>
        <v>309</v>
      </c>
      <c r="AG89" s="10" t="str">
        <f>IFERROR(__xludf.DUMMYFUNCTION("GOOGLETRANSLATE(O89,""my"", ""en"")"),"1289")</f>
        <v>1289</v>
      </c>
      <c r="AH89" s="10" t="str">
        <f>IFERROR(__xludf.DUMMYFUNCTION("GOOGLETRANSLATE(P89,""my"", ""en"")"),"2.30%")</f>
        <v>2.30%</v>
      </c>
    </row>
    <row r="90" ht="21.0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3" t="s">
        <v>643</v>
      </c>
      <c r="L90" s="23" t="s">
        <v>644</v>
      </c>
      <c r="M90" s="24" t="s">
        <v>645</v>
      </c>
      <c r="N90" s="24" t="s">
        <v>646</v>
      </c>
      <c r="O90" s="24" t="s">
        <v>647</v>
      </c>
      <c r="P90" s="25" t="s">
        <v>648</v>
      </c>
      <c r="AC90" s="10" t="str">
        <f>IFERROR(__xludf.DUMMYFUNCTION("GOOGLETRANSLATE(K90,""my"", ""en"")"),"Rice ေပါင်း")</f>
        <v>Rice ေပါင်း</v>
      </c>
      <c r="AD90" s="10" t="str">
        <f>IFERROR(__xludf.DUMMYFUNCTION("GOOGLETRANSLATE(L90,""my"", ""en"")"),"Shan Nationalities")</f>
        <v>Shan Nationalities</v>
      </c>
      <c r="AE90" s="10" t="str">
        <f>IFERROR(__xludf.DUMMYFUNCTION("GOOGLETRANSLATE(M90,""my"", ""en"")"),"677")</f>
        <v>677</v>
      </c>
      <c r="AF90" s="10" t="str">
        <f>IFERROR(__xludf.DUMMYFUNCTION("GOOGLETRANSLATE(N90,""my"", ""en"")"),"265")</f>
        <v>265</v>
      </c>
      <c r="AG90" s="10" t="str">
        <f>IFERROR(__xludf.DUMMYFUNCTION("GOOGLETRANSLATE(O90,""my"", ""en"")"),"942")</f>
        <v>942</v>
      </c>
      <c r="AH90" s="10" t="str">
        <f>IFERROR(__xludf.DUMMYFUNCTION("GOOGLETRANSLATE(P90,""my"", ""en"")"),"1.68%")</f>
        <v>1.68%</v>
      </c>
    </row>
    <row r="91" ht="21.0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3" t="s">
        <v>649</v>
      </c>
      <c r="L91" s="23" t="s">
        <v>650</v>
      </c>
      <c r="M91" s="24" t="s">
        <v>651</v>
      </c>
      <c r="N91" s="24" t="s">
        <v>652</v>
      </c>
      <c r="O91" s="24" t="s">
        <v>653</v>
      </c>
      <c r="P91" s="25" t="s">
        <v>654</v>
      </c>
      <c r="AC91" s="10" t="str">
        <f>IFERROR(__xludf.DUMMYFUNCTION("GOOGLETRANSLATE(K91,""my"", ""en"")"),"Gam Seng")</f>
        <v>Gam Seng</v>
      </c>
      <c r="AD91" s="10" t="str">
        <f>IFERROR(__xludf.DUMMYFUNCTION("GOOGLETRANSLATE(L91,""my"", ""en"")"),"Ethnic unity  working party ေရး")</f>
        <v>Ethnic unity  working party ေရး</v>
      </c>
      <c r="AE91" s="10" t="str">
        <f>IFERROR(__xludf.DUMMYFUNCTION("GOOGLETRANSLATE(M91,""my"", ""en"")"),"449")</f>
        <v>449</v>
      </c>
      <c r="AF91" s="10" t="str">
        <f>IFERROR(__xludf.DUMMYFUNCTION("GOOGLETRANSLATE(N91,""my"", ""en"")"),"253")</f>
        <v>253</v>
      </c>
      <c r="AG91" s="10" t="str">
        <f>IFERROR(__xludf.DUMMYFUNCTION("GOOGLETRANSLATE(O91,""my"", ""en"")"),"702")</f>
        <v>702</v>
      </c>
      <c r="AH91" s="10" t="str">
        <f>IFERROR(__xludf.DUMMYFUNCTION("GOOGLETRANSLATE(P91,""my"", ""en"")"),"1.25%")</f>
        <v>1.25%</v>
      </c>
    </row>
    <row r="92" ht="22.5" customHeight="1">
      <c r="A92" s="14"/>
      <c r="B92" s="15" t="s">
        <v>655</v>
      </c>
      <c r="C92" s="16" t="s">
        <v>656</v>
      </c>
      <c r="D92" s="16" t="s">
        <v>657</v>
      </c>
      <c r="E92" s="16" t="s">
        <v>658</v>
      </c>
      <c r="F92" s="16" t="s">
        <v>659</v>
      </c>
      <c r="G92" s="16" t="s">
        <v>660</v>
      </c>
      <c r="H92" s="16" t="s">
        <v>661</v>
      </c>
      <c r="I92" s="16" t="s">
        <v>662</v>
      </c>
      <c r="J92" s="16" t="s">
        <v>663</v>
      </c>
      <c r="K92" s="14"/>
      <c r="L92" s="14"/>
      <c r="M92" s="16" t="s">
        <v>664</v>
      </c>
      <c r="N92" s="16" t="s">
        <v>665</v>
      </c>
      <c r="O92" s="16" t="s">
        <v>666</v>
      </c>
      <c r="P92" s="14"/>
      <c r="T92" s="10" t="str">
        <f>IFERROR(__xludf.DUMMYFUNCTION("GOOGLETRANSLATE(B92,""my"", ""en"")"),"Kayah State")</f>
        <v>Kayah State</v>
      </c>
      <c r="U92" s="10" t="str">
        <f>IFERROR(__xludf.DUMMYFUNCTION("GOOGLETRANSLATE(C92,""my"", ""en"")"),"212916")</f>
        <v>212916</v>
      </c>
      <c r="V92" s="10" t="str">
        <f>IFERROR(__xludf.DUMMYFUNCTION("GOOGLETRANSLATE(D92,""my"", ""en"")"),"128464")</f>
        <v>128464</v>
      </c>
      <c r="W92" s="10" t="str">
        <f>IFERROR(__xludf.DUMMYFUNCTION("GOOGLETRANSLATE(E92,""my"", ""en"")"),"34357")</f>
        <v>34357</v>
      </c>
      <c r="X92" s="10" t="str">
        <f>IFERROR(__xludf.DUMMYFUNCTION("GOOGLETRANSLATE(F92,""my"", ""en"")"),"162821")</f>
        <v>162821</v>
      </c>
      <c r="Y92" s="10" t="str">
        <f>IFERROR(__xludf.DUMMYFUNCTION("GOOGLETRANSLATE(G92,""my"", ""en"")"),"76.47")</f>
        <v>76.47</v>
      </c>
      <c r="Z92" s="10" t="str">
        <f>IFERROR(__xludf.DUMMYFUNCTION("GOOGLETRANSLATE(H92,""my"", ""en"")"),"6465")</f>
        <v>6465</v>
      </c>
      <c r="AA92" s="10" t="str">
        <f>IFERROR(__xludf.DUMMYFUNCTION("GOOGLETRANSLATE(I92,""my"", ""en"")"),"99")</f>
        <v>99</v>
      </c>
      <c r="AB92" s="10" t="str">
        <f>IFERROR(__xludf.DUMMYFUNCTION("GOOGLETRANSLATE(J92,""my"", ""en"")"),"6564")</f>
        <v>6564</v>
      </c>
      <c r="AE92" s="10" t="str">
        <f>IFERROR(__xludf.DUMMYFUNCTION("GOOGLETRANSLATE(M92,""my"", ""en"")"),"122492")</f>
        <v>122492</v>
      </c>
      <c r="AF92" s="10" t="str">
        <f>IFERROR(__xludf.DUMMYFUNCTION("GOOGLETRANSLATE(N92,""my"", ""en"")"),"33765")</f>
        <v>33765</v>
      </c>
      <c r="AG92" s="10" t="str">
        <f>IFERROR(__xludf.DUMMYFUNCTION("GOOGLETRANSLATE(O92,""my"", ""en"")"),"156257")</f>
        <v>156257</v>
      </c>
    </row>
    <row r="93" ht="24.0" customHeight="1">
      <c r="A93" s="17" t="s">
        <v>667</v>
      </c>
      <c r="B93" s="17" t="s">
        <v>668</v>
      </c>
      <c r="C93" s="18" t="s">
        <v>669</v>
      </c>
      <c r="D93" s="18" t="s">
        <v>670</v>
      </c>
      <c r="E93" s="18" t="s">
        <v>671</v>
      </c>
      <c r="F93" s="18" t="s">
        <v>672</v>
      </c>
      <c r="G93" s="18" t="s">
        <v>673</v>
      </c>
      <c r="H93" s="18" t="s">
        <v>674</v>
      </c>
      <c r="I93" s="18" t="s">
        <v>675</v>
      </c>
      <c r="J93" s="18" t="s">
        <v>676</v>
      </c>
      <c r="K93" s="27"/>
      <c r="L93" s="27"/>
      <c r="M93" s="18" t="s">
        <v>677</v>
      </c>
      <c r="N93" s="18" t="s">
        <v>678</v>
      </c>
      <c r="O93" s="18" t="s">
        <v>679</v>
      </c>
      <c r="P93" s="27"/>
      <c r="S93" s="10" t="str">
        <f>IFERROR(__xludf.DUMMYFUNCTION("GOOGLETRANSLATE(A93,""my"", ""en"")"),"13")</f>
        <v>13</v>
      </c>
      <c r="T93" s="10" t="str">
        <f>IFERROR(__xludf.DUMMYFUNCTION("GOOGLETRANSLATE(B93,""my"", ""en"")"),"မဲဆ  No. (1)")</f>
        <v>မဲဆ  No. (1)</v>
      </c>
      <c r="U93" s="10" t="str">
        <f>IFERROR(__xludf.DUMMYFUNCTION("GOOGLETRANSLATE(C93,""my"", ""en"")"),"6416")</f>
        <v>6416</v>
      </c>
      <c r="V93" s="10" t="str">
        <f>IFERROR(__xludf.DUMMYFUNCTION("GOOGLETRANSLATE(D93,""my"", ""en"")"),"3385")</f>
        <v>3385</v>
      </c>
      <c r="W93" s="10" t="str">
        <f>IFERROR(__xludf.DUMMYFUNCTION("GOOGLETRANSLATE(E93,""my"", ""en"")"),"1335")</f>
        <v>1335</v>
      </c>
      <c r="X93" s="10" t="str">
        <f>IFERROR(__xludf.DUMMYFUNCTION("GOOGLETRANSLATE(F93,""my"", ""en"")"),"4720")</f>
        <v>4720</v>
      </c>
      <c r="Y93" s="10" t="str">
        <f>IFERROR(__xludf.DUMMYFUNCTION("GOOGLETRANSLATE(G93,""my"", ""en"")"),"73.57")</f>
        <v>73.57</v>
      </c>
      <c r="Z93" s="10" t="str">
        <f>IFERROR(__xludf.DUMMYFUNCTION("GOOGLETRANSLATE(H93,""my"", ""en"")"),"164")</f>
        <v>164</v>
      </c>
      <c r="AA93" s="10" t="str">
        <f>IFERROR(__xludf.DUMMYFUNCTION("GOOGLETRANSLATE(I93,""my"", ""en"")"),"1")</f>
        <v>1</v>
      </c>
      <c r="AB93" s="10" t="str">
        <f>IFERROR(__xludf.DUMMYFUNCTION("GOOGLETRANSLATE(J93,""my"", ""en"")"),"165")</f>
        <v>165</v>
      </c>
      <c r="AE93" s="10" t="str">
        <f>IFERROR(__xludf.DUMMYFUNCTION("GOOGLETRANSLATE(M93,""my"", ""en"")"),"3241")</f>
        <v>3241</v>
      </c>
      <c r="AF93" s="10" t="str">
        <f>IFERROR(__xludf.DUMMYFUNCTION("GOOGLETRANSLATE(N93,""my"", ""en"")"),"1314")</f>
        <v>1314</v>
      </c>
      <c r="AG93" s="10" t="str">
        <f>IFERROR(__xludf.DUMMYFUNCTION("GOOGLETRANSLATE(O93,""my"", ""en"")"),"4555")</f>
        <v>4555</v>
      </c>
    </row>
    <row r="94" ht="24.0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3" t="s">
        <v>680</v>
      </c>
      <c r="L94" s="23" t="s">
        <v>681</v>
      </c>
      <c r="M94" s="24" t="s">
        <v>682</v>
      </c>
      <c r="N94" s="24" t="s">
        <v>683</v>
      </c>
      <c r="O94" s="24" t="s">
        <v>684</v>
      </c>
      <c r="P94" s="25" t="s">
        <v>685</v>
      </c>
      <c r="AC94" s="10" t="str">
        <f>IFERROR(__xludf.DUMMYFUNCTION("GOOGLETRANSLATE(K94,""my"", ""en"")"),"Hla Thein")</f>
        <v>Hla Thein</v>
      </c>
      <c r="AD94" s="10" t="str">
        <f>IFERROR(__xludf.DUMMYFUNCTION("GOOGLETRANSLATE(L94,""my"", ""en"")")," Game Democracy group   Pop Party")</f>
        <v> Game Democracy group   Pop Party</v>
      </c>
      <c r="AE94" s="10" t="str">
        <f>IFERROR(__xludf.DUMMYFUNCTION("GOOGLETRANSLATE(M94,""my"", ""en"")"),"1715")</f>
        <v>1715</v>
      </c>
      <c r="AF94" s="10" t="str">
        <f>IFERROR(__xludf.DUMMYFUNCTION("GOOGLETRANSLATE(N94,""my"", ""en"")"),"466")</f>
        <v>466</v>
      </c>
      <c r="AG94" s="10" t="str">
        <f>IFERROR(__xludf.DUMMYFUNCTION("GOOGLETRANSLATE(O94,""my"", ""en"")"),"2181")</f>
        <v>2181</v>
      </c>
      <c r="AH94" s="10" t="str">
        <f>IFERROR(__xludf.DUMMYFUNCTION("GOOGLETRANSLATE(P94,""my"", ""en"")"),"47.88%")</f>
        <v>47.88%</v>
      </c>
    </row>
    <row r="95" ht="24.0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9" t="s">
        <v>686</v>
      </c>
      <c r="L95" s="23" t="s">
        <v>687</v>
      </c>
      <c r="M95" s="24" t="s">
        <v>688</v>
      </c>
      <c r="N95" s="24" t="s">
        <v>689</v>
      </c>
      <c r="O95" s="24" t="s">
        <v>690</v>
      </c>
      <c r="P95" s="25" t="s">
        <v>691</v>
      </c>
      <c r="AC95" s="10" t="str">
        <f>IFERROR(__xludf.DUMMYFUNCTION("GOOGLETRANSLATE(K95,""my"", ""en"")"),"The assignment is too ေသာင်း  ကည်")</f>
        <v>The assignment is too ေသာင်း  ကည်</v>
      </c>
      <c r="AD95" s="10" t="str">
        <f>IFERROR(__xludf.DUMMYFUNCTION("GOOGLETRANSLATE(L95,""my"", ""en"")"),"Local ေထာင် soap-stone strong ေရး  under development  Phil  ေရး Party")</f>
        <v>Local ေထာင် soap-stone strong ေရး  under development  Phil  ေရး Party</v>
      </c>
      <c r="AE95" s="10" t="str">
        <f>IFERROR(__xludf.DUMMYFUNCTION("GOOGLETRANSLATE(M95,""my"", ""en"")"),"959")</f>
        <v>959</v>
      </c>
      <c r="AF95" s="10" t="str">
        <f>IFERROR(__xludf.DUMMYFUNCTION("GOOGLETRANSLATE(N95,""my"", ""en"")"),"644")</f>
        <v>644</v>
      </c>
      <c r="AG95" s="10" t="str">
        <f>IFERROR(__xludf.DUMMYFUNCTION("GOOGLETRANSLATE(O95,""my"", ""en"")"),"1603")</f>
        <v>1603</v>
      </c>
      <c r="AH95" s="10" t="str">
        <f>IFERROR(__xludf.DUMMYFUNCTION("GOOGLETRANSLATE(P95,""my"", ""en"")"),"35.19%")</f>
        <v>35.19%</v>
      </c>
    </row>
    <row r="96" ht="24.0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3" t="s">
        <v>692</v>
      </c>
      <c r="L96" s="23" t="s">
        <v>693</v>
      </c>
      <c r="M96" s="24" t="s">
        <v>694</v>
      </c>
      <c r="N96" s="24" t="s">
        <v>695</v>
      </c>
      <c r="O96" s="24" t="s">
        <v>696</v>
      </c>
      <c r="P96" s="25" t="s">
        <v>697</v>
      </c>
      <c r="AC96" s="10" t="str">
        <f>IFERROR(__xludf.DUMMYFUNCTION("GOOGLETRANSLATE(K96,""my"", ""en"")"),"Data  complex")</f>
        <v>Data  complex</v>
      </c>
      <c r="AD96" s="10" t="str">
        <f>IFERROR(__xludf.DUMMYFUNCTION("GOOGLETRANSLATE(L96,""my"", ""en"")"),"Kayah State Democratic Party")</f>
        <v>Kayah State Democratic Party</v>
      </c>
      <c r="AE96" s="10" t="str">
        <f>IFERROR(__xludf.DUMMYFUNCTION("GOOGLETRANSLATE(M96,""my"", ""en"")"),"473")</f>
        <v>473</v>
      </c>
      <c r="AF96" s="10" t="str">
        <f>IFERROR(__xludf.DUMMYFUNCTION("GOOGLETRANSLATE(N96,""my"", ""en"")"),"136")</f>
        <v>136</v>
      </c>
      <c r="AG96" s="10" t="str">
        <f>IFERROR(__xludf.DUMMYFUNCTION("GOOGLETRANSLATE(O96,""my"", ""en"")"),"609")</f>
        <v>609</v>
      </c>
      <c r="AH96" s="10" t="str">
        <f>IFERROR(__xludf.DUMMYFUNCTION("GOOGLETRANSLATE(P96,""my"", ""en"")"),"13.37%")</f>
        <v>13.37%</v>
      </c>
    </row>
    <row r="97" ht="24.0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3" t="s">
        <v>698</v>
      </c>
      <c r="L97" s="23" t="s">
        <v>699</v>
      </c>
      <c r="M97" s="24" t="s">
        <v>700</v>
      </c>
      <c r="N97" s="24" t="s">
        <v>701</v>
      </c>
      <c r="O97" s="24" t="s">
        <v>702</v>
      </c>
      <c r="P97" s="25" t="s">
        <v>703</v>
      </c>
      <c r="AC97" s="10" t="str">
        <f>IFERROR(__xludf.DUMMYFUNCTION("GOOGLETRANSLATE(K97,""my"", ""en"")"),"Ram Gam")</f>
        <v>Ram Gam</v>
      </c>
      <c r="AD97" s="10" t="str">
        <f>IFERROR(__xludf.DUMMYFUNCTION("GOOGLETRANSLATE(L97,""my"", ""en"")"),"Local ေထာင် စုေ white  Game ေဆာင် Party")</f>
        <v>Local ေထာင် စုေ white  Game ေဆာင် Party</v>
      </c>
      <c r="AE97" s="10" t="str">
        <f>IFERROR(__xludf.DUMMYFUNCTION("GOOGLETRANSLATE(M97,""my"", ""en"")"),"46")</f>
        <v>46</v>
      </c>
      <c r="AF97" s="10" t="str">
        <f>IFERROR(__xludf.DUMMYFUNCTION("GOOGLETRANSLATE(N97,""my"", ""en"")"),"44")</f>
        <v>44</v>
      </c>
      <c r="AG97" s="10" t="str">
        <f>IFERROR(__xludf.DUMMYFUNCTION("GOOGLETRANSLATE(O97,""my"", ""en"")"),"90")</f>
        <v>90</v>
      </c>
      <c r="AH97" s="10" t="str">
        <f>IFERROR(__xludf.DUMMYFUNCTION("GOOGLETRANSLATE(P97,""my"", ""en"")"),"1.98%")</f>
        <v>1.98%</v>
      </c>
    </row>
    <row r="98" ht="24.0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3" t="s">
        <v>704</v>
      </c>
      <c r="L98" s="23" t="s">
        <v>705</v>
      </c>
      <c r="M98" s="24" t="s">
        <v>706</v>
      </c>
      <c r="N98" s="24" t="s">
        <v>707</v>
      </c>
      <c r="O98" s="24" t="s">
        <v>708</v>
      </c>
      <c r="P98" s="25" t="s">
        <v>709</v>
      </c>
      <c r="AC98" s="10" t="str">
        <f>IFERROR(__xludf.DUMMYFUNCTION("GOOGLETRANSLATE(K98,""my"", ""en"")"),"U Tint Lwin Htoo")</f>
        <v>U Tint Lwin Htoo</v>
      </c>
      <c r="AD98" s="10" t="str">
        <f>IFERROR(__xludf.DUMMYFUNCTION("GOOGLETRANSLATE(L98,""my"", ""en"")")," Game Democracy Force")</f>
        <v> Game Democracy Force</v>
      </c>
      <c r="AE98" s="10" t="str">
        <f>IFERROR(__xludf.DUMMYFUNCTION("GOOGLETRANSLATE(M98,""my"", ""en"")"),"26")</f>
        <v>26</v>
      </c>
      <c r="AF98" s="10" t="str">
        <f>IFERROR(__xludf.DUMMYFUNCTION("GOOGLETRANSLATE(N98,""my"", ""en"")"),"12")</f>
        <v>12</v>
      </c>
      <c r="AG98" s="10" t="str">
        <f>IFERROR(__xludf.DUMMYFUNCTION("GOOGLETRANSLATE(O98,""my"", ""en"")"),"38")</f>
        <v>38</v>
      </c>
      <c r="AH98" s="10" t="str">
        <f>IFERROR(__xludf.DUMMYFUNCTION("GOOGLETRANSLATE(P98,""my"", ""en"")"),"0.83%")</f>
        <v>0.83%</v>
      </c>
    </row>
    <row r="99" ht="24.0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3" t="s">
        <v>710</v>
      </c>
      <c r="L99" s="23" t="s">
        <v>711</v>
      </c>
      <c r="M99" s="24" t="s">
        <v>712</v>
      </c>
      <c r="N99" s="24" t="s">
        <v>713</v>
      </c>
      <c r="O99" s="24" t="s">
        <v>714</v>
      </c>
      <c r="P99" s="25" t="s">
        <v>715</v>
      </c>
      <c r="AC99" s="10" t="str">
        <f>IFERROR(__xludf.DUMMYFUNCTION("GOOGLETRANSLATE(K99,""my"", ""en"")"),"Data  Union")</f>
        <v>Data  Union</v>
      </c>
      <c r="AD99" s="10" t="str">
        <f>IFERROR(__xludf.DUMMYFUNCTION("GOOGLETRANSLATE(L99,""my"", ""en"")")," Game  Democratic Party political-Fi")</f>
        <v> Game  Democratic Party political-Fi</v>
      </c>
      <c r="AE99" s="10" t="str">
        <f>IFERROR(__xludf.DUMMYFUNCTION("GOOGLETRANSLATE(M99,""my"", ""en"")"),"22")</f>
        <v>22</v>
      </c>
      <c r="AF99" s="10" t="str">
        <f>IFERROR(__xludf.DUMMYFUNCTION("GOOGLETRANSLATE(N99,""my"", ""en"")"),"12")</f>
        <v>12</v>
      </c>
      <c r="AG99" s="10" t="str">
        <f>IFERROR(__xludf.DUMMYFUNCTION("GOOGLETRANSLATE(O99,""my"", ""en"")"),"34")</f>
        <v>34</v>
      </c>
      <c r="AH99" s="10" t="str">
        <f>IFERROR(__xludf.DUMMYFUNCTION("GOOGLETRANSLATE(P99,""my"", ""en"")"),"0.75%")</f>
        <v>0.75%</v>
      </c>
    </row>
    <row r="100" ht="21.75" customHeight="1">
      <c r="A100" s="17" t="s">
        <v>716</v>
      </c>
      <c r="B100" s="17" t="s">
        <v>717</v>
      </c>
      <c r="C100" s="18" t="s">
        <v>718</v>
      </c>
      <c r="D100" s="18" t="s">
        <v>719</v>
      </c>
      <c r="E100" s="18" t="s">
        <v>720</v>
      </c>
      <c r="F100" s="18" t="s">
        <v>721</v>
      </c>
      <c r="G100" s="18" t="s">
        <v>722</v>
      </c>
      <c r="H100" s="18" t="s">
        <v>723</v>
      </c>
      <c r="I100" s="18" t="s">
        <v>724</v>
      </c>
      <c r="J100" s="18" t="s">
        <v>725</v>
      </c>
      <c r="K100" s="27"/>
      <c r="L100" s="27"/>
      <c r="M100" s="18" t="s">
        <v>726</v>
      </c>
      <c r="N100" s="18" t="s">
        <v>727</v>
      </c>
      <c r="O100" s="18" t="s">
        <v>728</v>
      </c>
      <c r="P100" s="27"/>
      <c r="S100" s="10" t="str">
        <f>IFERROR(__xludf.DUMMYFUNCTION("GOOGLETRANSLATE(A100,""my"", ""en"")"),"14")</f>
        <v>14</v>
      </c>
      <c r="T100" s="10" t="str">
        <f>IFERROR(__xludf.DUMMYFUNCTION("GOOGLETRANSLATE(B100,""my"", ""en"")"),"မဲဆ  No. (2)")</f>
        <v>မဲဆ  No. (2)</v>
      </c>
      <c r="U100" s="10" t="str">
        <f>IFERROR(__xludf.DUMMYFUNCTION("GOOGLETRANSLATE(C100,""my"", ""en"")"),"10496")</f>
        <v>10496</v>
      </c>
      <c r="V100" s="10" t="str">
        <f>IFERROR(__xludf.DUMMYFUNCTION("GOOGLETRANSLATE(D100,""my"", ""en"")"),"4986")</f>
        <v>4986</v>
      </c>
      <c r="W100" s="10" t="str">
        <f>IFERROR(__xludf.DUMMYFUNCTION("GOOGLETRANSLATE(E100,""my"", ""en"")"),"775")</f>
        <v>775</v>
      </c>
      <c r="X100" s="10" t="str">
        <f>IFERROR(__xludf.DUMMYFUNCTION("GOOGLETRANSLATE(F100,""my"", ""en"")"),"5761")</f>
        <v>5761</v>
      </c>
      <c r="Y100" s="10" t="str">
        <f>IFERROR(__xludf.DUMMYFUNCTION("GOOGLETRANSLATE(G100,""my"", ""en"")"),"54.89")</f>
        <v>54.89</v>
      </c>
      <c r="Z100" s="10" t="str">
        <f>IFERROR(__xludf.DUMMYFUNCTION("GOOGLETRANSLATE(H100,""my"", ""en"")"),"665")</f>
        <v>665</v>
      </c>
      <c r="AA100" s="10" t="str">
        <f>IFERROR(__xludf.DUMMYFUNCTION("GOOGLETRANSLATE(I100,""my"", ""en"")"),"3")</f>
        <v>3</v>
      </c>
      <c r="AB100" s="10" t="str">
        <f>IFERROR(__xludf.DUMMYFUNCTION("GOOGLETRANSLATE(J100,""my"", ""en"")"),"668")</f>
        <v>668</v>
      </c>
      <c r="AE100" s="10" t="str">
        <f>IFERROR(__xludf.DUMMYFUNCTION("GOOGLETRANSLATE(M100,""my"", ""en"")"),"4383")</f>
        <v>4383</v>
      </c>
      <c r="AF100" s="10" t="str">
        <f>IFERROR(__xludf.DUMMYFUNCTION("GOOGLETRANSLATE(N100,""my"", ""en"")"),"710")</f>
        <v>710</v>
      </c>
      <c r="AG100" s="10" t="str">
        <f>IFERROR(__xludf.DUMMYFUNCTION("GOOGLETRANSLATE(O100,""my"", ""en"")"),"5093")</f>
        <v>5093</v>
      </c>
    </row>
    <row r="101" ht="21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3" t="s">
        <v>729</v>
      </c>
      <c r="L101" s="23" t="s">
        <v>730</v>
      </c>
      <c r="M101" s="24" t="s">
        <v>731</v>
      </c>
      <c r="N101" s="24" t="s">
        <v>732</v>
      </c>
      <c r="O101" s="24" t="s">
        <v>733</v>
      </c>
      <c r="P101" s="25" t="s">
        <v>734</v>
      </c>
      <c r="AC101" s="10" t="str">
        <f>IFERROR(__xludf.DUMMYFUNCTION("GOOGLETRANSLATE(K101,""my"", ""en"")"),"ေစာ  Albert")</f>
        <v>ေစာ  Albert</v>
      </c>
      <c r="AD101" s="10" t="str">
        <f>IFERROR(__xludf.DUMMYFUNCTION("GOOGLETRANSLATE(L101,""my"", ""en"")")," Game Democracy group   Pop Party")</f>
        <v> Game Democracy group   Pop Party</v>
      </c>
      <c r="AE101" s="10" t="str">
        <f>IFERROR(__xludf.DUMMYFUNCTION("GOOGLETRANSLATE(M101,""my"", ""en"")"),"2499")</f>
        <v>2499</v>
      </c>
      <c r="AF101" s="10" t="str">
        <f>IFERROR(__xludf.DUMMYFUNCTION("GOOGLETRANSLATE(N101,""my"", ""en"")"),"255")</f>
        <v>255</v>
      </c>
      <c r="AG101" s="10" t="str">
        <f>IFERROR(__xludf.DUMMYFUNCTION("GOOGLETRANSLATE(O101,""my"", ""en"")"),"2754")</f>
        <v>2754</v>
      </c>
      <c r="AH101" s="10" t="str">
        <f>IFERROR(__xludf.DUMMYFUNCTION("GOOGLETRANSLATE(P101,""my"", ""en"")"),"54.07%")</f>
        <v>54.07%</v>
      </c>
    </row>
    <row r="102" ht="22.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3" t="s">
        <v>735</v>
      </c>
      <c r="L102" s="23" t="s">
        <v>736</v>
      </c>
      <c r="M102" s="24" t="s">
        <v>737</v>
      </c>
      <c r="N102" s="24" t="s">
        <v>738</v>
      </c>
      <c r="O102" s="24" t="s">
        <v>739</v>
      </c>
      <c r="P102" s="25" t="s">
        <v>740</v>
      </c>
      <c r="AC102" s="10" t="str">
        <f>IFERROR(__xludf.DUMMYFUNCTION("GOOGLETRANSLATE(K102,""my"", ""en"")"),"စွော vague")</f>
        <v>စွော vague</v>
      </c>
      <c r="AD102" s="10" t="str">
        <f>IFERROR(__xludf.DUMMYFUNCTION("GOOGLETRANSLATE(L102,""my"", ""en"")"),"Local ေထာင် soap-stone strong ေရး  under development  Phil  ေရး Party")</f>
        <v>Local ေထာင် soap-stone strong ေရး  under development  Phil  ေရး Party</v>
      </c>
      <c r="AE102" s="10" t="str">
        <f>IFERROR(__xludf.DUMMYFUNCTION("GOOGLETRANSLATE(M102,""my"", ""en"")"),"661")</f>
        <v>661</v>
      </c>
      <c r="AF102" s="10" t="str">
        <f>IFERROR(__xludf.DUMMYFUNCTION("GOOGLETRANSLATE(N102,""my"", ""en"")"),"188")</f>
        <v>188</v>
      </c>
      <c r="AG102" s="10" t="str">
        <f>IFERROR(__xludf.DUMMYFUNCTION("GOOGLETRANSLATE(O102,""my"", ""en"")"),"849")</f>
        <v>849</v>
      </c>
      <c r="AH102" s="10" t="str">
        <f>IFERROR(__xludf.DUMMYFUNCTION("GOOGLETRANSLATE(P102,""my"", ""en"")"),"16.67%")</f>
        <v>16.67%</v>
      </c>
    </row>
    <row r="103" ht="22.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3" t="s">
        <v>741</v>
      </c>
      <c r="L103" s="23" t="s">
        <v>742</v>
      </c>
      <c r="M103" s="24" t="s">
        <v>743</v>
      </c>
      <c r="N103" s="24" t="s">
        <v>744</v>
      </c>
      <c r="O103" s="24" t="s">
        <v>745</v>
      </c>
      <c r="P103" s="25" t="s">
        <v>746</v>
      </c>
      <c r="AC103" s="10" t="str">
        <f>IFERROR(__xludf.DUMMYFUNCTION("GOOGLETRANSLATE(K103,""my"", ""en"")"),"ေကျာ Soe (b) Bo ဘိုေ")</f>
        <v>ေကျာ Soe (b) Bo ဘိုေ</v>
      </c>
      <c r="AD103" s="10" t="str">
        <f>IFERROR(__xludf.DUMMYFUNCTION("GOOGLETRANSLATE(L103,""my"", ""en"")"),"-shaped screen party")</f>
        <v>-shaped screen party</v>
      </c>
      <c r="AE103" s="10" t="str">
        <f>IFERROR(__xludf.DUMMYFUNCTION("GOOGLETRANSLATE(M103,""my"", ""en"")"),"589")</f>
        <v>589</v>
      </c>
      <c r="AF103" s="10" t="str">
        <f>IFERROR(__xludf.DUMMYFUNCTION("GOOGLETRANSLATE(N103,""my"", ""en"")"),"81")</f>
        <v>81</v>
      </c>
      <c r="AG103" s="10" t="str">
        <f>IFERROR(__xludf.DUMMYFUNCTION("GOOGLETRANSLATE(O103,""my"", ""en"")"),"670")</f>
        <v>670</v>
      </c>
      <c r="AH103" s="10" t="str">
        <f>IFERROR(__xludf.DUMMYFUNCTION("GOOGLETRANSLATE(P103,""my"", ""en"")"),"13.16%")</f>
        <v>13.16%</v>
      </c>
    </row>
    <row r="104" ht="22.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3" t="s">
        <v>747</v>
      </c>
      <c r="L104" s="23" t="s">
        <v>748</v>
      </c>
      <c r="M104" s="24" t="s">
        <v>749</v>
      </c>
      <c r="N104" s="24" t="s">
        <v>750</v>
      </c>
      <c r="O104" s="24" t="s">
        <v>751</v>
      </c>
      <c r="P104" s="25" t="s">
        <v>752</v>
      </c>
      <c r="AC104" s="10" t="str">
        <f>IFERROR(__xludf.DUMMYFUNCTION("GOOGLETRANSLATE(K104,""my"", ""en"")"),"ေနာ  ုဒ်")</f>
        <v>ေနာ  ုဒ်</v>
      </c>
      <c r="AD104" s="10" t="str">
        <f>IFERROR(__xludf.DUMMYFUNCTION("GOOGLETRANSLATE(L104,""my"", ""en"")"),"Kayah State Democratic Party")</f>
        <v>Kayah State Democratic Party</v>
      </c>
      <c r="AE104" s="10" t="str">
        <f>IFERROR(__xludf.DUMMYFUNCTION("GOOGLETRANSLATE(M104,""my"", ""en"")"),"473")</f>
        <v>473</v>
      </c>
      <c r="AF104" s="10" t="str">
        <f>IFERROR(__xludf.DUMMYFUNCTION("GOOGLETRANSLATE(N104,""my"", ""en"")"),"137")</f>
        <v>137</v>
      </c>
      <c r="AG104" s="10" t="str">
        <f>IFERROR(__xludf.DUMMYFUNCTION("GOOGLETRANSLATE(O104,""my"", ""en"")"),"610")</f>
        <v>610</v>
      </c>
      <c r="AH104" s="10" t="str">
        <f>IFERROR(__xludf.DUMMYFUNCTION("GOOGLETRANSLATE(P104,""my"", ""en"")"),"11.98%")</f>
        <v>11.98%</v>
      </c>
    </row>
    <row r="105" ht="21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3" t="s">
        <v>753</v>
      </c>
      <c r="L105" s="23" t="s">
        <v>754</v>
      </c>
      <c r="M105" s="24" t="s">
        <v>755</v>
      </c>
      <c r="N105" s="24" t="s">
        <v>756</v>
      </c>
      <c r="O105" s="24" t="s">
        <v>757</v>
      </c>
      <c r="P105" s="25" t="s">
        <v>758</v>
      </c>
      <c r="AC105" s="10" t="str">
        <f>IFERROR(__xludf.DUMMYFUNCTION("GOOGLETRANSLATE(K105,""my"", ""en"")"),"Data ")</f>
        <v>Data </v>
      </c>
      <c r="AD105" s="10" t="str">
        <f>IFERROR(__xludf.DUMMYFUNCTION("GOOGLETRANSLATE(L105,""my"", ""en"")")," Game  Democratic Party political-Fi")</f>
        <v> Game  Democratic Party political-Fi</v>
      </c>
      <c r="AE105" s="10" t="str">
        <f>IFERROR(__xludf.DUMMYFUNCTION("GOOGLETRANSLATE(M105,""my"", ""en"")"),"97")</f>
        <v>97</v>
      </c>
      <c r="AF105" s="10" t="str">
        <f>IFERROR(__xludf.DUMMYFUNCTION("GOOGLETRANSLATE(N105,""my"", ""en"")"),"23")</f>
        <v>23</v>
      </c>
      <c r="AG105" s="10" t="str">
        <f>IFERROR(__xludf.DUMMYFUNCTION("GOOGLETRANSLATE(O105,""my"", ""en"")"),"120")</f>
        <v>120</v>
      </c>
      <c r="AH105" s="10" t="str">
        <f>IFERROR(__xludf.DUMMYFUNCTION("GOOGLETRANSLATE(P105,""my"", ""en"")"),"2.36%")</f>
        <v>2.36%</v>
      </c>
    </row>
    <row r="106" ht="22.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3" t="s">
        <v>759</v>
      </c>
      <c r="L106" s="23" t="s">
        <v>760</v>
      </c>
      <c r="M106" s="24" t="s">
        <v>761</v>
      </c>
      <c r="N106" s="24" t="s">
        <v>762</v>
      </c>
      <c r="O106" s="24" t="s">
        <v>763</v>
      </c>
      <c r="P106" s="25" t="s">
        <v>764</v>
      </c>
      <c r="AC106" s="10" t="str">
        <f>IFERROR(__xludf.DUMMYFUNCTION("GOOGLETRANSLATE(K106,""my"", ""en"")")," Cashier")</f>
        <v> Cashier</v>
      </c>
      <c r="AD106" s="10" t="str">
        <f>IFERROR(__xludf.DUMMYFUNCTION("GOOGLETRANSLATE(L106,""my"", ""en"")")," Game Democracy Force")</f>
        <v> Game Democracy Force</v>
      </c>
      <c r="AE106" s="10" t="str">
        <f>IFERROR(__xludf.DUMMYFUNCTION("GOOGLETRANSLATE(M106,""my"", ""en"")"),"41")</f>
        <v>41</v>
      </c>
      <c r="AF106" s="10" t="str">
        <f>IFERROR(__xludf.DUMMYFUNCTION("GOOGLETRANSLATE(N106,""my"", ""en"")"),"7")</f>
        <v>7</v>
      </c>
      <c r="AG106" s="10" t="str">
        <f>IFERROR(__xludf.DUMMYFUNCTION("GOOGLETRANSLATE(O106,""my"", ""en"")"),"48")</f>
        <v>48</v>
      </c>
      <c r="AH106" s="10" t="str">
        <f>IFERROR(__xludf.DUMMYFUNCTION("GOOGLETRANSLATE(P106,""my"", ""en"")"),"0.94%")</f>
        <v>0.94%</v>
      </c>
    </row>
    <row r="107" ht="21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3" t="s">
        <v>765</v>
      </c>
      <c r="L107" s="23" t="s">
        <v>766</v>
      </c>
      <c r="M107" s="24" t="s">
        <v>767</v>
      </c>
      <c r="N107" s="24" t="s">
        <v>768</v>
      </c>
      <c r="O107" s="24" t="s">
        <v>769</v>
      </c>
      <c r="P107" s="25" t="s">
        <v>770</v>
      </c>
      <c r="AC107" s="10" t="str">
        <f>IFERROR(__xludf.DUMMYFUNCTION("GOOGLETRANSLATE(K107,""my"", ""en"")"),"Norwegian mountain will answer")</f>
        <v>Norwegian mountain will answer</v>
      </c>
      <c r="AD107" s="10" t="str">
        <f>IFERROR(__xludf.DUMMYFUNCTION("GOOGLETRANSLATE(L107,""my"", ""en"")"),"Local ေထာင် စုေ white  Game ေဆာင် Party")</f>
        <v>Local ေထာင် စုေ white  Game ေဆာင် Party</v>
      </c>
      <c r="AE107" s="10" t="str">
        <f>IFERROR(__xludf.DUMMYFUNCTION("GOOGLETRANSLATE(M107,""my"", ""en"")"),"23")</f>
        <v>23</v>
      </c>
      <c r="AF107" s="10" t="str">
        <f>IFERROR(__xludf.DUMMYFUNCTION("GOOGLETRANSLATE(N107,""my"", ""en"")"),"19")</f>
        <v>19</v>
      </c>
      <c r="AG107" s="10" t="str">
        <f>IFERROR(__xludf.DUMMYFUNCTION("GOOGLETRANSLATE(O107,""my"", ""en"")"),"42")</f>
        <v>42</v>
      </c>
      <c r="AH107" s="10" t="str">
        <f>IFERROR(__xludf.DUMMYFUNCTION("GOOGLETRANSLATE(P107,""my"", ""en"")"),"0.82%")</f>
        <v>0.82%</v>
      </c>
    </row>
    <row r="108" ht="22.5" customHeight="1">
      <c r="A108" s="17" t="s">
        <v>771</v>
      </c>
      <c r="B108" s="17" t="s">
        <v>772</v>
      </c>
      <c r="C108" s="18" t="s">
        <v>773</v>
      </c>
      <c r="D108" s="18" t="s">
        <v>774</v>
      </c>
      <c r="E108" s="18" t="s">
        <v>775</v>
      </c>
      <c r="F108" s="18" t="s">
        <v>776</v>
      </c>
      <c r="G108" s="18" t="s">
        <v>777</v>
      </c>
      <c r="H108" s="18" t="s">
        <v>778</v>
      </c>
      <c r="I108" s="18" t="s">
        <v>779</v>
      </c>
      <c r="J108" s="18" t="s">
        <v>780</v>
      </c>
      <c r="K108" s="27"/>
      <c r="L108" s="27"/>
      <c r="M108" s="18" t="s">
        <v>781</v>
      </c>
      <c r="N108" s="18" t="s">
        <v>782</v>
      </c>
      <c r="O108" s="18" t="s">
        <v>783</v>
      </c>
      <c r="P108" s="27"/>
      <c r="S108" s="10" t="str">
        <f>IFERROR(__xludf.DUMMYFUNCTION("GOOGLETRANSLATE(A108,""my"", ""en"")"),"15")</f>
        <v>15</v>
      </c>
      <c r="T108" s="10" t="str">
        <f>IFERROR(__xludf.DUMMYFUNCTION("GOOGLETRANSLATE(B108,""my"", ""en"")"),"မဲဆ  No. (3)")</f>
        <v>မဲဆ  No. (3)</v>
      </c>
      <c r="U108" s="10" t="str">
        <f>IFERROR(__xludf.DUMMYFUNCTION("GOOGLETRANSLATE(C108,""my"", ""en"")"),"4333")</f>
        <v>4333</v>
      </c>
      <c r="V108" s="10" t="str">
        <f>IFERROR(__xludf.DUMMYFUNCTION("GOOGLETRANSLATE(D108,""my"", ""en"")"),"2461")</f>
        <v>2461</v>
      </c>
      <c r="W108" s="10" t="str">
        <f>IFERROR(__xludf.DUMMYFUNCTION("GOOGLETRANSLATE(E108,""my"", ""en"")"),"1194")</f>
        <v>1194</v>
      </c>
      <c r="X108" s="10" t="str">
        <f>IFERROR(__xludf.DUMMYFUNCTION("GOOGLETRANSLATE(F108,""my"", ""en"")"),"3655")</f>
        <v>3655</v>
      </c>
      <c r="Y108" s="10" t="str">
        <f>IFERROR(__xludf.DUMMYFUNCTION("GOOGLETRANSLATE(G108,""my"", ""en"")"),"84.35")</f>
        <v>84.35</v>
      </c>
      <c r="Z108" s="10" t="str">
        <f>IFERROR(__xludf.DUMMYFUNCTION("GOOGLETRANSLATE(H108,""my"", ""en"")"),"77")</f>
        <v>77</v>
      </c>
      <c r="AA108" s="10" t="str">
        <f>IFERROR(__xludf.DUMMYFUNCTION("GOOGLETRANSLATE(I108,""my"", ""en"")"),"-")</f>
        <v>-</v>
      </c>
      <c r="AB108" s="10" t="str">
        <f>IFERROR(__xludf.DUMMYFUNCTION("GOOGLETRANSLATE(J108,""my"", ""en"")"),"77")</f>
        <v>77</v>
      </c>
      <c r="AE108" s="10" t="str">
        <f>IFERROR(__xludf.DUMMYFUNCTION("GOOGLETRANSLATE(M108,""my"", ""en"")"),"2391")</f>
        <v>2391</v>
      </c>
      <c r="AF108" s="10" t="str">
        <f>IFERROR(__xludf.DUMMYFUNCTION("GOOGLETRANSLATE(N108,""my"", ""en"")"),"1187")</f>
        <v>1187</v>
      </c>
      <c r="AG108" s="10" t="str">
        <f>IFERROR(__xludf.DUMMYFUNCTION("GOOGLETRANSLATE(O108,""my"", ""en"")"),"3578")</f>
        <v>3578</v>
      </c>
    </row>
    <row r="109" ht="22.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3" t="s">
        <v>784</v>
      </c>
      <c r="L109" s="23" t="s">
        <v>785</v>
      </c>
      <c r="M109" s="24" t="s">
        <v>786</v>
      </c>
      <c r="N109" s="24" t="s">
        <v>787</v>
      </c>
      <c r="O109" s="24" t="s">
        <v>788</v>
      </c>
      <c r="P109" s="25" t="s">
        <v>789</v>
      </c>
      <c r="AC109" s="10" t="str">
        <f>IFERROR(__xludf.DUMMYFUNCTION("GOOGLETRANSLATE(K109,""my"", ""en"")"),"ေကျာ million")</f>
        <v>ေကျာ million</v>
      </c>
      <c r="AD109" s="10" t="str">
        <f>IFERROR(__xludf.DUMMYFUNCTION("GOOGLETRANSLATE(L109,""my"", ""en"")"),"Local ေထာင် soap-stone strong ေရး  under development  Phil  ေရး Party")</f>
        <v>Local ေထာင် soap-stone strong ေရး  under development  Phil  ေရး Party</v>
      </c>
      <c r="AE109" s="10" t="str">
        <f>IFERROR(__xludf.DUMMYFUNCTION("GOOGLETRANSLATE(M109,""my"", ""en"")"),"938")</f>
        <v>938</v>
      </c>
      <c r="AF109" s="10" t="str">
        <f>IFERROR(__xludf.DUMMYFUNCTION("GOOGLETRANSLATE(N109,""my"", ""en"")"),"560")</f>
        <v>560</v>
      </c>
      <c r="AG109" s="10" t="str">
        <f>IFERROR(__xludf.DUMMYFUNCTION("GOOGLETRANSLATE(O109,""my"", ""en"")"),"1498")</f>
        <v>1498</v>
      </c>
      <c r="AH109" s="10" t="str">
        <f>IFERROR(__xludf.DUMMYFUNCTION("GOOGLETRANSLATE(P109,""my"", ""en"")"),"41.87%")</f>
        <v>41.87%</v>
      </c>
    </row>
    <row r="110" ht="24.0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3" t="s">
        <v>790</v>
      </c>
      <c r="L110" s="23" t="s">
        <v>791</v>
      </c>
      <c r="M110" s="24" t="s">
        <v>792</v>
      </c>
      <c r="N110" s="24" t="s">
        <v>793</v>
      </c>
      <c r="O110" s="24" t="s">
        <v>794</v>
      </c>
      <c r="P110" s="25" t="s">
        <v>795</v>
      </c>
      <c r="AC110" s="10" t="str">
        <f>IFERROR(__xludf.DUMMYFUNCTION("GOOGLETRANSLATE(K110,""my"", ""en"")"),"Win ေဇာ")</f>
        <v>Win ေဇာ</v>
      </c>
      <c r="AD110" s="10" t="str">
        <f>IFERROR(__xludf.DUMMYFUNCTION("GOOGLETRANSLATE(L110,""my"", ""en"")")," Game Democracy group   Pop Party")</f>
        <v> Game Democracy group   Pop Party</v>
      </c>
      <c r="AE110" s="10" t="str">
        <f>IFERROR(__xludf.DUMMYFUNCTION("GOOGLETRANSLATE(M110,""my"", ""en"")"),"788")</f>
        <v>788</v>
      </c>
      <c r="AF110" s="10" t="str">
        <f>IFERROR(__xludf.DUMMYFUNCTION("GOOGLETRANSLATE(N110,""my"", ""en"")"),"311")</f>
        <v>311</v>
      </c>
      <c r="AG110" s="10" t="str">
        <f>IFERROR(__xludf.DUMMYFUNCTION("GOOGLETRANSLATE(O110,""my"", ""en"")"),"1099")</f>
        <v>1099</v>
      </c>
      <c r="AH110" s="10" t="str">
        <f>IFERROR(__xludf.DUMMYFUNCTION("GOOGLETRANSLATE(P110,""my"", ""en"")"),"30.72%")</f>
        <v>30.72%</v>
      </c>
    </row>
    <row r="111" ht="24.0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3" t="s">
        <v>796</v>
      </c>
      <c r="L111" s="23" t="s">
        <v>797</v>
      </c>
      <c r="M111" s="24" t="s">
        <v>798</v>
      </c>
      <c r="N111" s="24" t="s">
        <v>799</v>
      </c>
      <c r="O111" s="24" t="s">
        <v>800</v>
      </c>
      <c r="P111" s="25" t="s">
        <v>801</v>
      </c>
      <c r="AC111" s="10" t="str">
        <f>IFERROR(__xludf.DUMMYFUNCTION("GOOGLETRANSLATE(K111,""my"", ""en"")"),"The bold  over pay")</f>
        <v>The bold  over pay</v>
      </c>
      <c r="AD111" s="10" t="str">
        <f>IFERROR(__xludf.DUMMYFUNCTION("GOOGLETRANSLATE(L111,""my"", ""en"")"),"Ethnic unity  working party ေရး")</f>
        <v>Ethnic unity  working party ေရး</v>
      </c>
      <c r="AE111" s="10" t="str">
        <f>IFERROR(__xludf.DUMMYFUNCTION("GOOGLETRANSLATE(M111,""my"", ""en"")"),"205")</f>
        <v>205</v>
      </c>
      <c r="AF111" s="10" t="str">
        <f>IFERROR(__xludf.DUMMYFUNCTION("GOOGLETRANSLATE(N111,""my"", ""en"")"),"114")</f>
        <v>114</v>
      </c>
      <c r="AG111" s="10" t="str">
        <f>IFERROR(__xludf.DUMMYFUNCTION("GOOGLETRANSLATE(O111,""my"", ""en"")"),"319")</f>
        <v>319</v>
      </c>
      <c r="AH111" s="10" t="str">
        <f>IFERROR(__xludf.DUMMYFUNCTION("GOOGLETRANSLATE(P111,""my"", ""en"")"),"8.91%")</f>
        <v>8.91%</v>
      </c>
    </row>
    <row r="112" ht="24.0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3" t="s">
        <v>802</v>
      </c>
      <c r="L112" s="23" t="s">
        <v>803</v>
      </c>
      <c r="M112" s="24" t="s">
        <v>804</v>
      </c>
      <c r="N112" s="24" t="s">
        <v>805</v>
      </c>
      <c r="O112" s="24" t="s">
        <v>806</v>
      </c>
      <c r="P112" s="25" t="s">
        <v>807</v>
      </c>
      <c r="AC112" s="10" t="str">
        <f>IFERROR(__xludf.DUMMYFUNCTION("GOOGLETRANSLATE(K112,""my"", ""en"")"),"Win not")</f>
        <v>Win not</v>
      </c>
      <c r="AD112" s="10" t="str">
        <f>IFERROR(__xludf.DUMMYFUNCTION("GOOGLETRANSLATE(L112,""my"", ""en"")"),"Kayah State Democratic Party")</f>
        <v>Kayah State Democratic Party</v>
      </c>
      <c r="AE112" s="10" t="str">
        <f>IFERROR(__xludf.DUMMYFUNCTION("GOOGLETRANSLATE(M112,""my"", ""en"")"),"221")</f>
        <v>221</v>
      </c>
      <c r="AF112" s="10" t="str">
        <f>IFERROR(__xludf.DUMMYFUNCTION("GOOGLETRANSLATE(N112,""my"", ""en"")"),"66")</f>
        <v>66</v>
      </c>
      <c r="AG112" s="10" t="str">
        <f>IFERROR(__xludf.DUMMYFUNCTION("GOOGLETRANSLATE(O112,""my"", ""en"")"),"287")</f>
        <v>287</v>
      </c>
      <c r="AH112" s="10" t="str">
        <f>IFERROR(__xludf.DUMMYFUNCTION("GOOGLETRANSLATE(P112,""my"", ""en"")"),"8.02%")</f>
        <v>8.02%</v>
      </c>
    </row>
    <row r="113" ht="24.0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3" t="s">
        <v>808</v>
      </c>
      <c r="L113" s="23" t="s">
        <v>809</v>
      </c>
      <c r="M113" s="24" t="s">
        <v>810</v>
      </c>
      <c r="N113" s="24" t="s">
        <v>811</v>
      </c>
      <c r="O113" s="24" t="s">
        <v>812</v>
      </c>
      <c r="P113" s="25" t="s">
        <v>813</v>
      </c>
      <c r="AC113" s="10" t="str">
        <f>IFERROR(__xludf.DUMMYFUNCTION("GOOGLETRANSLATE(K113,""my"", ""en"")"),"Data  Norwegian special ")</f>
        <v>Data  Norwegian special </v>
      </c>
      <c r="AD113" s="10" t="str">
        <f>IFERROR(__xludf.DUMMYFUNCTION("GOOGLETRANSLATE(L113,""my"", ""en"")"),"Local ေထာင် စုေ white  Game ေဆာင် Party")</f>
        <v>Local ေထာင် စုေ white  Game ေဆာင် Party</v>
      </c>
      <c r="AE113" s="10" t="str">
        <f>IFERROR(__xludf.DUMMYFUNCTION("GOOGLETRANSLATE(M113,""my"", ""en"")"),"114")</f>
        <v>114</v>
      </c>
      <c r="AF113" s="10" t="str">
        <f>IFERROR(__xludf.DUMMYFUNCTION("GOOGLETRANSLATE(N113,""my"", ""en"")"),"67")</f>
        <v>67</v>
      </c>
      <c r="AG113" s="10" t="str">
        <f>IFERROR(__xludf.DUMMYFUNCTION("GOOGLETRANSLATE(O113,""my"", ""en"")"),"181")</f>
        <v>181</v>
      </c>
      <c r="AH113" s="10" t="str">
        <f>IFERROR(__xludf.DUMMYFUNCTION("GOOGLETRANSLATE(P113,""my"", ""en"")"),"5.06%")</f>
        <v>5.06%</v>
      </c>
    </row>
    <row r="114" ht="24.0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3" t="s">
        <v>814</v>
      </c>
      <c r="L114" s="23" t="s">
        <v>815</v>
      </c>
      <c r="M114" s="24" t="s">
        <v>816</v>
      </c>
      <c r="N114" s="24" t="s">
        <v>817</v>
      </c>
      <c r="O114" s="24" t="s">
        <v>818</v>
      </c>
      <c r="P114" s="25" t="s">
        <v>819</v>
      </c>
      <c r="AC114" s="10" t="str">
        <f>IFERROR(__xludf.DUMMYFUNCTION("GOOGLETRANSLATE(K114,""my"", ""en"")"),"ေကျာ  Cashier")</f>
        <v>ေကျာ  Cashier</v>
      </c>
      <c r="AD114" s="10" t="str">
        <f>IFERROR(__xludf.DUMMYFUNCTION("GOOGLETRANSLATE(L114,""my"", ""en"")")," Game Democracy Force")</f>
        <v> Game Democracy Force</v>
      </c>
      <c r="AE114" s="10" t="str">
        <f>IFERROR(__xludf.DUMMYFUNCTION("GOOGLETRANSLATE(M114,""my"", ""en"")"),"85")</f>
        <v>85</v>
      </c>
      <c r="AF114" s="10" t="str">
        <f>IFERROR(__xludf.DUMMYFUNCTION("GOOGLETRANSLATE(N114,""my"", ""en"")"),"42")</f>
        <v>42</v>
      </c>
      <c r="AG114" s="10" t="str">
        <f>IFERROR(__xludf.DUMMYFUNCTION("GOOGLETRANSLATE(O114,""my"", ""en"")"),"127")</f>
        <v>127</v>
      </c>
      <c r="AH114" s="10" t="str">
        <f>IFERROR(__xludf.DUMMYFUNCTION("GOOGLETRANSLATE(P114,""my"", ""en"")"),"3.55%")</f>
        <v>3.55%</v>
      </c>
    </row>
    <row r="115" ht="24.0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3" t="s">
        <v>820</v>
      </c>
      <c r="L115" s="23" t="s">
        <v>821</v>
      </c>
      <c r="M115" s="24" t="s">
        <v>822</v>
      </c>
      <c r="N115" s="24" t="s">
        <v>823</v>
      </c>
      <c r="O115" s="24" t="s">
        <v>824</v>
      </c>
      <c r="P115" s="25" t="s">
        <v>825</v>
      </c>
      <c r="AC115" s="10" t="str">
        <f>IFERROR(__xludf.DUMMYFUNCTION("GOOGLETRANSLATE(K115,""my"", ""en"")"),"ေဇာ Win")</f>
        <v>ေဇာ Win</v>
      </c>
      <c r="AD115" s="10" t="str">
        <f>IFERROR(__xludf.DUMMYFUNCTION("GOOGLETRANSLATE(L115,""my"", ""en"")")," Game  Democratic Party political-Fi")</f>
        <v> Game  Democratic Party political-Fi</v>
      </c>
      <c r="AE115" s="10" t="str">
        <f>IFERROR(__xludf.DUMMYFUNCTION("GOOGLETRANSLATE(M115,""my"", ""en"")"),"40")</f>
        <v>40</v>
      </c>
      <c r="AF115" s="10" t="str">
        <f>IFERROR(__xludf.DUMMYFUNCTION("GOOGLETRANSLATE(N115,""my"", ""en"")"),"27")</f>
        <v>27</v>
      </c>
      <c r="AG115" s="10" t="str">
        <f>IFERROR(__xludf.DUMMYFUNCTION("GOOGLETRANSLATE(O115,""my"", ""en"")"),"67")</f>
        <v>67</v>
      </c>
      <c r="AH115" s="10" t="str">
        <f>IFERROR(__xludf.DUMMYFUNCTION("GOOGLETRANSLATE(P115,""my"", ""en"")"),"1.87%")</f>
        <v>1.87%</v>
      </c>
    </row>
    <row r="116" ht="24.75" customHeight="1">
      <c r="A116" s="17" t="s">
        <v>826</v>
      </c>
      <c r="B116" s="17" t="s">
        <v>827</v>
      </c>
      <c r="C116" s="18" t="s">
        <v>828</v>
      </c>
      <c r="D116" s="18" t="s">
        <v>829</v>
      </c>
      <c r="E116" s="18" t="s">
        <v>830</v>
      </c>
      <c r="F116" s="18" t="s">
        <v>831</v>
      </c>
      <c r="G116" s="18" t="s">
        <v>832</v>
      </c>
      <c r="H116" s="18" t="s">
        <v>833</v>
      </c>
      <c r="I116" s="18" t="s">
        <v>834</v>
      </c>
      <c r="J116" s="18" t="s">
        <v>835</v>
      </c>
      <c r="K116" s="27"/>
      <c r="L116" s="27"/>
      <c r="M116" s="18" t="s">
        <v>836</v>
      </c>
      <c r="N116" s="18" t="s">
        <v>837</v>
      </c>
      <c r="O116" s="18" t="s">
        <v>838</v>
      </c>
      <c r="P116" s="27"/>
      <c r="S116" s="10" t="str">
        <f>IFERROR(__xludf.DUMMYFUNCTION("GOOGLETRANSLATE(A116,""my"", ""en"")"),"16")</f>
        <v>16</v>
      </c>
      <c r="T116" s="10" t="str">
        <f>IFERROR(__xludf.DUMMYFUNCTION("GOOGLETRANSLATE(B116,""my"", ""en"")"),"မဲဆ  No. (4)")</f>
        <v>မဲဆ  No. (4)</v>
      </c>
      <c r="U116" s="10" t="str">
        <f>IFERROR(__xludf.DUMMYFUNCTION("GOOGLETRANSLATE(C116,""my"", ""en"")"),"3874")</f>
        <v>3874</v>
      </c>
      <c r="V116" s="10" t="str">
        <f>IFERROR(__xludf.DUMMYFUNCTION("GOOGLETRANSLATE(D116,""my"", ""en"")"),"2495")</f>
        <v>2495</v>
      </c>
      <c r="W116" s="10" t="str">
        <f>IFERROR(__xludf.DUMMYFUNCTION("GOOGLETRANSLATE(E116,""my"", ""en"")"),"1047")</f>
        <v>1047</v>
      </c>
      <c r="X116" s="10" t="str">
        <f>IFERROR(__xludf.DUMMYFUNCTION("GOOGLETRANSLATE(F116,""my"", ""en"")"),"3542")</f>
        <v>3542</v>
      </c>
      <c r="Y116" s="10" t="str">
        <f>IFERROR(__xludf.DUMMYFUNCTION("GOOGLETRANSLATE(G116,""my"", ""en"")"),"91.43")</f>
        <v>91.43</v>
      </c>
      <c r="Z116" s="10" t="str">
        <f>IFERROR(__xludf.DUMMYFUNCTION("GOOGLETRANSLATE(H116,""my"", ""en"")"),"144")</f>
        <v>144</v>
      </c>
      <c r="AA116" s="10" t="str">
        <f>IFERROR(__xludf.DUMMYFUNCTION("GOOGLETRANSLATE(I116,""my"", ""en"")"),"-")</f>
        <v>-</v>
      </c>
      <c r="AB116" s="10" t="str">
        <f>IFERROR(__xludf.DUMMYFUNCTION("GOOGLETRANSLATE(J116,""my"", ""en"")"),"144")</f>
        <v>144</v>
      </c>
      <c r="AE116" s="10" t="str">
        <f>IFERROR(__xludf.DUMMYFUNCTION("GOOGLETRANSLATE(M116,""my"", ""en"")"),"2385")</f>
        <v>2385</v>
      </c>
      <c r="AF116" s="10" t="str">
        <f>IFERROR(__xludf.DUMMYFUNCTION("GOOGLETRANSLATE(N116,""my"", ""en"")"),"1013")</f>
        <v>1013</v>
      </c>
      <c r="AG116" s="10" t="str">
        <f>IFERROR(__xludf.DUMMYFUNCTION("GOOGLETRANSLATE(O116,""my"", ""en"")"),"3398")</f>
        <v>3398</v>
      </c>
    </row>
    <row r="117" ht="24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3" t="s">
        <v>839</v>
      </c>
      <c r="L117" s="23" t="s">
        <v>840</v>
      </c>
      <c r="M117" s="24" t="s">
        <v>841</v>
      </c>
      <c r="N117" s="24" t="s">
        <v>842</v>
      </c>
      <c r="O117" s="24" t="s">
        <v>843</v>
      </c>
      <c r="P117" s="25" t="s">
        <v>844</v>
      </c>
      <c r="AC117" s="10" t="str">
        <f>IFERROR(__xludf.DUMMYFUNCTION("GOOGLETRANSLATE(K117,""my"", ""en"")"),"Cold water")</f>
        <v>Cold water</v>
      </c>
      <c r="AD117" s="10" t="str">
        <f>IFERROR(__xludf.DUMMYFUNCTION("GOOGLETRANSLATE(L117,""my"", ""en"")"),"Local ေထာင် soap-stone strong ေရး  under development  Phil  ေရး Party")</f>
        <v>Local ေထာင် soap-stone strong ေရး  under development  Phil  ေရး Party</v>
      </c>
      <c r="AE117" s="10" t="str">
        <f>IFERROR(__xludf.DUMMYFUNCTION("GOOGLETRANSLATE(M117,""my"", ""en"")"),"970")</f>
        <v>970</v>
      </c>
      <c r="AF117" s="10" t="str">
        <f>IFERROR(__xludf.DUMMYFUNCTION("GOOGLETRANSLATE(N117,""my"", ""en"")"),"475")</f>
        <v>475</v>
      </c>
      <c r="AG117" s="10" t="str">
        <f>IFERROR(__xludf.DUMMYFUNCTION("GOOGLETRANSLATE(O117,""my"", ""en"")"),"1445")</f>
        <v>1445</v>
      </c>
      <c r="AH117" s="10" t="str">
        <f>IFERROR(__xludf.DUMMYFUNCTION("GOOGLETRANSLATE(P117,""my"", ""en"")"),"42.53%")</f>
        <v>42.53%</v>
      </c>
    </row>
    <row r="118" ht="24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3" t="s">
        <v>845</v>
      </c>
      <c r="L118" s="23" t="s">
        <v>846</v>
      </c>
      <c r="M118" s="24" t="s">
        <v>847</v>
      </c>
      <c r="N118" s="24" t="s">
        <v>848</v>
      </c>
      <c r="O118" s="24" t="s">
        <v>849</v>
      </c>
      <c r="P118" s="25" t="s">
        <v>850</v>
      </c>
      <c r="AC118" s="10" t="str">
        <f>IFERROR(__xludf.DUMMYFUNCTION("GOOGLETRANSLATE(K118,""my"", ""en"")"),"Sai Han ေအး")</f>
        <v>Sai Han ေအး</v>
      </c>
      <c r="AD118" s="10" t="str">
        <f>IFERROR(__xludf.DUMMYFUNCTION("GOOGLETRANSLATE(L118,""my"", ""en"")")," Game Democracy group   Pop Party")</f>
        <v> Game Democracy group   Pop Party</v>
      </c>
      <c r="AE118" s="10" t="str">
        <f>IFERROR(__xludf.DUMMYFUNCTION("GOOGLETRANSLATE(M118,""my"", ""en"")"),"653")</f>
        <v>653</v>
      </c>
      <c r="AF118" s="10" t="str">
        <f>IFERROR(__xludf.DUMMYFUNCTION("GOOGLETRANSLATE(N118,""my"", ""en"")"),"266")</f>
        <v>266</v>
      </c>
      <c r="AG118" s="10" t="str">
        <f>IFERROR(__xludf.DUMMYFUNCTION("GOOGLETRANSLATE(O118,""my"", ""en"")"),"919")</f>
        <v>919</v>
      </c>
      <c r="AH118" s="10" t="str">
        <f>IFERROR(__xludf.DUMMYFUNCTION("GOOGLETRANSLATE(P118,""my"", ""en"")"),"27.04%")</f>
        <v>27.04%</v>
      </c>
    </row>
    <row r="119" ht="24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3" t="s">
        <v>851</v>
      </c>
      <c r="L119" s="23" t="s">
        <v>852</v>
      </c>
      <c r="M119" s="24" t="s">
        <v>853</v>
      </c>
      <c r="N119" s="24" t="s">
        <v>854</v>
      </c>
      <c r="O119" s="24" t="s">
        <v>855</v>
      </c>
      <c r="P119" s="25" t="s">
        <v>856</v>
      </c>
      <c r="AC119" s="10" t="str">
        <f>IFERROR(__xludf.DUMMYFUNCTION("GOOGLETRANSLATE(K119,""my"", ""en"")"),"Data   petitioners")</f>
        <v>Data   petitioners</v>
      </c>
      <c r="AD119" s="10" t="str">
        <f>IFERROR(__xludf.DUMMYFUNCTION("GOOGLETRANSLATE(L119,""my"", ""en"")"),"Kayah State Democratic Party")</f>
        <v>Kayah State Democratic Party</v>
      </c>
      <c r="AE119" s="10" t="str">
        <f>IFERROR(__xludf.DUMMYFUNCTION("GOOGLETRANSLATE(M119,""my"", ""en"")"),"350")</f>
        <v>350</v>
      </c>
      <c r="AF119" s="10" t="str">
        <f>IFERROR(__xludf.DUMMYFUNCTION("GOOGLETRANSLATE(N119,""my"", ""en"")"),"137")</f>
        <v>137</v>
      </c>
      <c r="AG119" s="10" t="str">
        <f>IFERROR(__xludf.DUMMYFUNCTION("GOOGLETRANSLATE(O119,""my"", ""en"")"),"487")</f>
        <v>487</v>
      </c>
      <c r="AH119" s="10" t="str">
        <f>IFERROR(__xludf.DUMMYFUNCTION("GOOGLETRANSLATE(P119,""my"", ""en"")"),"14.33%")</f>
        <v>14.33%</v>
      </c>
    </row>
    <row r="120" ht="21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3" t="s">
        <v>857</v>
      </c>
      <c r="L120" s="23" t="s">
        <v>858</v>
      </c>
      <c r="M120" s="24" t="s">
        <v>859</v>
      </c>
      <c r="N120" s="24" t="s">
        <v>860</v>
      </c>
      <c r="O120" s="24" t="s">
        <v>861</v>
      </c>
      <c r="P120" s="25" t="s">
        <v>862</v>
      </c>
      <c r="AC120" s="10" t="str">
        <f>IFERROR(__xludf.DUMMYFUNCTION("GOOGLETRANSLATE(K120,""my"", ""en"")"),"ေရ Win")</f>
        <v>ေရ Win</v>
      </c>
      <c r="AD120" s="10" t="str">
        <f>IFERROR(__xludf.DUMMYFUNCTION("GOOGLETRANSLATE(L120,""my"", ""en"")"),"Ethnic unity  working party ေရး")</f>
        <v>Ethnic unity  working party ေရး</v>
      </c>
      <c r="AE120" s="10" t="str">
        <f>IFERROR(__xludf.DUMMYFUNCTION("GOOGLETRANSLATE(M120,""my"", ""en"")"),"317")</f>
        <v>317</v>
      </c>
      <c r="AF120" s="10" t="str">
        <f>IFERROR(__xludf.DUMMYFUNCTION("GOOGLETRANSLATE(N120,""my"", ""en"")"),"71")</f>
        <v>71</v>
      </c>
      <c r="AG120" s="10" t="str">
        <f>IFERROR(__xludf.DUMMYFUNCTION("GOOGLETRANSLATE(O120,""my"", ""en"")"),"388")</f>
        <v>388</v>
      </c>
      <c r="AH120" s="10" t="str">
        <f>IFERROR(__xludf.DUMMYFUNCTION("GOOGLETRANSLATE(P120,""my"", ""en"")"),"11.42%")</f>
        <v>11.42%</v>
      </c>
    </row>
    <row r="121" ht="24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3" t="s">
        <v>863</v>
      </c>
      <c r="L121" s="23" t="s">
        <v>864</v>
      </c>
      <c r="M121" s="24" t="s">
        <v>865</v>
      </c>
      <c r="N121" s="24" t="s">
        <v>866</v>
      </c>
      <c r="O121" s="24" t="s">
        <v>867</v>
      </c>
      <c r="P121" s="25" t="s">
        <v>868</v>
      </c>
      <c r="AC121" s="10" t="str">
        <f>IFERROR(__xludf.DUMMYFUNCTION("GOOGLETRANSLATE(K121,""my"", ""en"")"),"ေဖေ farther")</f>
        <v>ေဖေ farther</v>
      </c>
      <c r="AD121" s="10" t="str">
        <f>IFERROR(__xludf.DUMMYFUNCTION("GOOGLETRANSLATE(L121,""my"", ""en"")"),"Local ေထာင် စုေ white  Game ေဆာင် Party")</f>
        <v>Local ေထာင် စုေ white  Game ေဆာင် Party</v>
      </c>
      <c r="AE121" s="10" t="str">
        <f>IFERROR(__xludf.DUMMYFUNCTION("GOOGLETRANSLATE(M121,""my"", ""en"")"),"74")</f>
        <v>74</v>
      </c>
      <c r="AF121" s="10" t="str">
        <f>IFERROR(__xludf.DUMMYFUNCTION("GOOGLETRANSLATE(N121,""my"", ""en"")"),"50")</f>
        <v>50</v>
      </c>
      <c r="AG121" s="10" t="str">
        <f>IFERROR(__xludf.DUMMYFUNCTION("GOOGLETRANSLATE(O121,""my"", ""en"")"),"124")</f>
        <v>124</v>
      </c>
      <c r="AH121" s="10" t="str">
        <f>IFERROR(__xludf.DUMMYFUNCTION("GOOGLETRANSLATE(P121,""my"", ""en"")"),"3.65%")</f>
        <v>3.65%</v>
      </c>
    </row>
    <row r="122" ht="24.0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3" t="s">
        <v>869</v>
      </c>
      <c r="L122" s="23" t="s">
        <v>870</v>
      </c>
      <c r="M122" s="24" t="s">
        <v>871</v>
      </c>
      <c r="N122" s="24" t="s">
        <v>872</v>
      </c>
      <c r="O122" s="24" t="s">
        <v>873</v>
      </c>
      <c r="P122" s="25" t="s">
        <v>874</v>
      </c>
      <c r="AC122" s="10" t="str">
        <f>IFERROR(__xludf.DUMMYFUNCTION("GOOGLETRANSLATE(K122,""my"", ""en"")"),"ဝင်းထွဋ်")</f>
        <v>ဝင်းထွဋ်</v>
      </c>
      <c r="AD122" s="10" t="str">
        <f>IFERROR(__xludf.DUMMYFUNCTION("GOOGLETRANSLATE(L122,""my"", ""en"")")," Game  Democratic Party political-Fi")</f>
        <v> Game  Democratic Party political-Fi</v>
      </c>
      <c r="AE122" s="10" t="str">
        <f>IFERROR(__xludf.DUMMYFUNCTION("GOOGLETRANSLATE(M122,""my"", ""en"")"),"10")</f>
        <v>10</v>
      </c>
      <c r="AF122" s="10" t="str">
        <f>IFERROR(__xludf.DUMMYFUNCTION("GOOGLETRANSLATE(N122,""my"", ""en"")"),"9")</f>
        <v>9</v>
      </c>
      <c r="AG122" s="10" t="str">
        <f>IFERROR(__xludf.DUMMYFUNCTION("GOOGLETRANSLATE(O122,""my"", ""en"")"),"19")</f>
        <v>19</v>
      </c>
      <c r="AH122" s="10" t="str">
        <f>IFERROR(__xludf.DUMMYFUNCTION("GOOGLETRANSLATE(P122,""my"", ""en"")"),"0.56%")</f>
        <v>0.56%</v>
      </c>
    </row>
    <row r="123" ht="21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3" t="s">
        <v>875</v>
      </c>
      <c r="L123" s="23" t="s">
        <v>876</v>
      </c>
      <c r="M123" s="24" t="s">
        <v>877</v>
      </c>
      <c r="N123" s="24" t="s">
        <v>878</v>
      </c>
      <c r="O123" s="24" t="s">
        <v>879</v>
      </c>
      <c r="P123" s="25" t="s">
        <v>880</v>
      </c>
      <c r="AC123" s="10" t="str">
        <f>IFERROR(__xludf.DUMMYFUNCTION("GOOGLETRANSLATE(K123,""my"", ""en"")"),"Saw Red")</f>
        <v>Saw Red</v>
      </c>
      <c r="AD123" s="10" t="str">
        <f>IFERROR(__xludf.DUMMYFUNCTION("GOOGLETRANSLATE(L123,""my"", ""en"")")," Game Democracy Force")</f>
        <v> Game Democracy Force</v>
      </c>
      <c r="AE123" s="10" t="str">
        <f>IFERROR(__xludf.DUMMYFUNCTION("GOOGLETRANSLATE(M123,""my"", ""en"")"),"11")</f>
        <v>11</v>
      </c>
      <c r="AF123" s="10" t="str">
        <f>IFERROR(__xludf.DUMMYFUNCTION("GOOGLETRANSLATE(N123,""my"", ""en"")"),"5")</f>
        <v>5</v>
      </c>
      <c r="AG123" s="10" t="str">
        <f>IFERROR(__xludf.DUMMYFUNCTION("GOOGLETRANSLATE(O123,""my"", ""en"")"),"16")</f>
        <v>16</v>
      </c>
      <c r="AH123" s="10" t="str">
        <f>IFERROR(__xludf.DUMMYFUNCTION("GOOGLETRANSLATE(P123,""my"", ""en"")"),"stands at 0.47%")</f>
        <v>stands at 0.47%</v>
      </c>
    </row>
    <row r="124" ht="22.5" customHeight="1">
      <c r="A124" s="17" t="s">
        <v>881</v>
      </c>
      <c r="B124" s="17" t="s">
        <v>882</v>
      </c>
      <c r="C124" s="18" t="s">
        <v>883</v>
      </c>
      <c r="D124" s="18" t="s">
        <v>884</v>
      </c>
      <c r="E124" s="18" t="s">
        <v>885</v>
      </c>
      <c r="F124" s="18" t="s">
        <v>886</v>
      </c>
      <c r="G124" s="18" t="s">
        <v>887</v>
      </c>
      <c r="H124" s="18" t="s">
        <v>888</v>
      </c>
      <c r="I124" s="18" t="s">
        <v>889</v>
      </c>
      <c r="J124" s="18" t="s">
        <v>890</v>
      </c>
      <c r="K124" s="27"/>
      <c r="L124" s="27"/>
      <c r="M124" s="18" t="s">
        <v>891</v>
      </c>
      <c r="N124" s="18" t="s">
        <v>892</v>
      </c>
      <c r="O124" s="18" t="s">
        <v>893</v>
      </c>
      <c r="P124" s="27"/>
      <c r="S124" s="10" t="str">
        <f>IFERROR(__xludf.DUMMYFUNCTION("GOOGLETRANSLATE(A124,""my"", ""en"")"),"17")</f>
        <v>17</v>
      </c>
      <c r="T124" s="10" t="str">
        <f>IFERROR(__xludf.DUMMYFUNCTION("GOOGLETRANSLATE(B124,""my"", ""en"")"),"မဲဆ  (5 points)")</f>
        <v>မဲဆ  (5 points)</v>
      </c>
      <c r="U124" s="10" t="str">
        <f>IFERROR(__xludf.DUMMYFUNCTION("GOOGLETRANSLATE(C124,""my"", ""en"")"),"5275")</f>
        <v>5275</v>
      </c>
      <c r="V124" s="10" t="str">
        <f>IFERROR(__xludf.DUMMYFUNCTION("GOOGLETRANSLATE(D124,""my"", ""en"")"),"3160")</f>
        <v>3160</v>
      </c>
      <c r="W124" s="10" t="str">
        <f>IFERROR(__xludf.DUMMYFUNCTION("GOOGLETRANSLATE(E124,""my"", ""en"")"),"1273")</f>
        <v>1273</v>
      </c>
      <c r="X124" s="10" t="str">
        <f>IFERROR(__xludf.DUMMYFUNCTION("GOOGLETRANSLATE(F124,""my"", ""en"")"),"4433")</f>
        <v>4433</v>
      </c>
      <c r="Y124" s="10" t="str">
        <f>IFERROR(__xludf.DUMMYFUNCTION("GOOGLETRANSLATE(G124,""my"", ""en"")"),"84.04")</f>
        <v>84.04</v>
      </c>
      <c r="Z124" s="10" t="str">
        <f>IFERROR(__xludf.DUMMYFUNCTION("GOOGLETRANSLATE(H124,""my"", ""en"")"),"243")</f>
        <v>243</v>
      </c>
      <c r="AA124" s="10" t="str">
        <f>IFERROR(__xludf.DUMMYFUNCTION("GOOGLETRANSLATE(I124,""my"", ""en"")"),"1")</f>
        <v>1</v>
      </c>
      <c r="AB124" s="10" t="str">
        <f>IFERROR(__xludf.DUMMYFUNCTION("GOOGLETRANSLATE(J124,""my"", ""en"")"),"244")</f>
        <v>244</v>
      </c>
      <c r="AE124" s="10" t="str">
        <f>IFERROR(__xludf.DUMMYFUNCTION("GOOGLETRANSLATE(M124,""my"", ""en"")"),"3000")</f>
        <v>3000</v>
      </c>
      <c r="AF124" s="10" t="str">
        <f>IFERROR(__xludf.DUMMYFUNCTION("GOOGLETRANSLATE(N124,""my"", ""en"")"),"1189")</f>
        <v>1189</v>
      </c>
      <c r="AG124" s="10" t="str">
        <f>IFERROR(__xludf.DUMMYFUNCTION("GOOGLETRANSLATE(O124,""my"", ""en"")"),"4189")</f>
        <v>4189</v>
      </c>
    </row>
    <row r="125" ht="24.0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3" t="s">
        <v>894</v>
      </c>
      <c r="L125" s="23" t="s">
        <v>895</v>
      </c>
      <c r="M125" s="24" t="s">
        <v>896</v>
      </c>
      <c r="N125" s="24" t="s">
        <v>897</v>
      </c>
      <c r="O125" s="24" t="s">
        <v>898</v>
      </c>
      <c r="P125" s="25" t="s">
        <v>899</v>
      </c>
      <c r="AC125" s="10" t="str">
        <f>IFERROR(__xludf.DUMMYFUNCTION("GOOGLETRANSLATE(K125,""my"", ""en"")"),"Sai Pan")</f>
        <v>Sai Pan</v>
      </c>
      <c r="AD125" s="10" t="str">
        <f>IFERROR(__xludf.DUMMYFUNCTION("GOOGLETRANSLATE(L125,""my"", ""en"")")," Game Democracy group   Pop Party")</f>
        <v> Game Democracy group   Pop Party</v>
      </c>
      <c r="AE125" s="10" t="str">
        <f>IFERROR(__xludf.DUMMYFUNCTION("GOOGLETRANSLATE(M125,""my"", ""en"")"),"1752")</f>
        <v>1752</v>
      </c>
      <c r="AF125" s="10" t="str">
        <f>IFERROR(__xludf.DUMMYFUNCTION("GOOGLETRANSLATE(N125,""my"", ""en"")"),"579")</f>
        <v>579</v>
      </c>
      <c r="AG125" s="10" t="str">
        <f>IFERROR(__xludf.DUMMYFUNCTION("GOOGLETRANSLATE(O125,""my"", ""en"")"),"2331")</f>
        <v>2331</v>
      </c>
      <c r="AH125" s="10" t="str">
        <f>IFERROR(__xludf.DUMMYFUNCTION("GOOGLETRANSLATE(P125,""my"", ""en"")"),"55.65%")</f>
        <v>55.65%</v>
      </c>
    </row>
    <row r="126" ht="24.0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3" t="s">
        <v>900</v>
      </c>
      <c r="L126" s="23" t="s">
        <v>901</v>
      </c>
      <c r="M126" s="24" t="s">
        <v>902</v>
      </c>
      <c r="N126" s="24" t="s">
        <v>903</v>
      </c>
      <c r="O126" s="24" t="s">
        <v>904</v>
      </c>
      <c r="P126" s="25" t="s">
        <v>905</v>
      </c>
      <c r="AC126" s="10" t="str">
        <f>IFERROR(__xludf.DUMMYFUNCTION("GOOGLETRANSLATE(K126,""my"", ""en"")"),"ေအာင်  Cashier")</f>
        <v>ေအာင်  Cashier</v>
      </c>
      <c r="AD126" s="10" t="str">
        <f>IFERROR(__xludf.DUMMYFUNCTION("GOOGLETRANSLATE(L126,""my"", ""en"")"),"Local ေထာင် soap-stone strong ေရး  under development  Phil  ေရး Party")</f>
        <v>Local ေထာင် soap-stone strong ေရး  under development  Phil  ေရး Party</v>
      </c>
      <c r="AE126" s="10" t="str">
        <f>IFERROR(__xludf.DUMMYFUNCTION("GOOGLETRANSLATE(M126,""my"", ""en"")"),"398")</f>
        <v>398</v>
      </c>
      <c r="AF126" s="10" t="str">
        <f>IFERROR(__xludf.DUMMYFUNCTION("GOOGLETRANSLATE(N126,""my"", ""en"")"),"363")</f>
        <v>363</v>
      </c>
      <c r="AG126" s="10" t="str">
        <f>IFERROR(__xludf.DUMMYFUNCTION("GOOGLETRANSLATE(O126,""my"", ""en"")"),"761")</f>
        <v>761</v>
      </c>
      <c r="AH126" s="10" t="str">
        <f>IFERROR(__xludf.DUMMYFUNCTION("GOOGLETRANSLATE(P126,""my"", ""en"")"),"18.17%")</f>
        <v>18.17%</v>
      </c>
    </row>
    <row r="127" ht="24.0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3" t="s">
        <v>906</v>
      </c>
      <c r="L127" s="23" t="s">
        <v>907</v>
      </c>
      <c r="M127" s="24" t="s">
        <v>908</v>
      </c>
      <c r="N127" s="24" t="s">
        <v>909</v>
      </c>
      <c r="O127" s="24" t="s">
        <v>910</v>
      </c>
      <c r="P127" s="25" t="s">
        <v>911</v>
      </c>
      <c r="AC127" s="10" t="str">
        <f>IFERROR(__xludf.DUMMYFUNCTION("GOOGLETRANSLATE(K127,""my"", ""en"")"),"ေကျာ ေကျာ Tun")</f>
        <v>ေကျာ ေကျာ Tun</v>
      </c>
      <c r="AD127" s="10" t="str">
        <f>IFERROR(__xludf.DUMMYFUNCTION("GOOGLETRANSLATE(L127,""my"", ""en"")"),"Kayah State Democratic Party")</f>
        <v>Kayah State Democratic Party</v>
      </c>
      <c r="AE127" s="10" t="str">
        <f>IFERROR(__xludf.DUMMYFUNCTION("GOOGLETRANSLATE(M127,""my"", ""en"")"),"426")</f>
        <v>426</v>
      </c>
      <c r="AF127" s="10" t="str">
        <f>IFERROR(__xludf.DUMMYFUNCTION("GOOGLETRANSLATE(N127,""my"", ""en"")"),"134")</f>
        <v>134</v>
      </c>
      <c r="AG127" s="10" t="str">
        <f>IFERROR(__xludf.DUMMYFUNCTION("GOOGLETRANSLATE(O127,""my"", ""en"")"),"560")</f>
        <v>560</v>
      </c>
      <c r="AH127" s="10" t="str">
        <f>IFERROR(__xludf.DUMMYFUNCTION("GOOGLETRANSLATE(P127,""my"", ""en"")"),"13.37%")</f>
        <v>13.37%</v>
      </c>
    </row>
    <row r="128" ht="24.0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3" t="s">
        <v>912</v>
      </c>
      <c r="L128" s="29" t="s">
        <v>913</v>
      </c>
      <c r="M128" s="30" t="s">
        <v>914</v>
      </c>
      <c r="N128" s="30" t="s">
        <v>915</v>
      </c>
      <c r="O128" s="24" t="s">
        <v>916</v>
      </c>
      <c r="P128" s="25" t="s">
        <v>917</v>
      </c>
      <c r="AC128" s="10" t="str">
        <f>IFERROR(__xludf.DUMMYFUNCTION("GOOGLETRANSLATE(K128,""my"", ""en"")"),"First year")</f>
        <v>First year</v>
      </c>
      <c r="AD128" s="10" t="str">
        <f>IFERROR(__xludf.DUMMYFUNCTION("GOOGLETRANSLATE(L128,""my"", ""en"")"),"In the Shan Nationalities League for Democracy members   Party")</f>
        <v>In the Shan Nationalities League for Democracy members   Party</v>
      </c>
      <c r="AE128" s="10" t="str">
        <f>IFERROR(__xludf.DUMMYFUNCTION("GOOGLETRANSLATE(M128,""my"", ""en"")"),"184")</f>
        <v>184</v>
      </c>
      <c r="AF128" s="10" t="str">
        <f>IFERROR(__xludf.DUMMYFUNCTION("GOOGLETRANSLATE(N128,""my"", ""en"")"),"37")</f>
        <v>37</v>
      </c>
      <c r="AG128" s="10" t="str">
        <f>IFERROR(__xludf.DUMMYFUNCTION("GOOGLETRANSLATE(O128,""my"", ""en"")"),"221")</f>
        <v>221</v>
      </c>
      <c r="AH128" s="10" t="str">
        <f>IFERROR(__xludf.DUMMYFUNCTION("GOOGLETRANSLATE(P128,""my"", ""en"")"),"5.28%")</f>
        <v>5.28%</v>
      </c>
    </row>
    <row r="129" ht="24.0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3" t="s">
        <v>918</v>
      </c>
      <c r="L129" s="23" t="s">
        <v>919</v>
      </c>
      <c r="M129" s="24" t="s">
        <v>920</v>
      </c>
      <c r="N129" s="24" t="s">
        <v>921</v>
      </c>
      <c r="O129" s="24" t="s">
        <v>922</v>
      </c>
      <c r="P129" s="25" t="s">
        <v>923</v>
      </c>
      <c r="AC129" s="10" t="str">
        <f>IFERROR(__xludf.DUMMYFUNCTION("GOOGLETRANSLATE(K129,""my"", ""en"")"),"Min Lwin")</f>
        <v>Min Lwin</v>
      </c>
      <c r="AD129" s="10" t="str">
        <f>IFERROR(__xludf.DUMMYFUNCTION("GOOGLETRANSLATE(L129,""my"", ""en"")"),"Local ေထာင် စုေ white  Game ေဆာင် Party")</f>
        <v>Local ေထာင် စုေ white  Game ေဆာင် Party</v>
      </c>
      <c r="AE129" s="10" t="str">
        <f>IFERROR(__xludf.DUMMYFUNCTION("GOOGLETRANSLATE(M129,""my"", ""en"")"),"141")</f>
        <v>141</v>
      </c>
      <c r="AF129" s="10" t="str">
        <f>IFERROR(__xludf.DUMMYFUNCTION("GOOGLETRANSLATE(N129,""my"", ""en"")"),"41")</f>
        <v>41</v>
      </c>
      <c r="AG129" s="10" t="str">
        <f>IFERROR(__xludf.DUMMYFUNCTION("GOOGLETRANSLATE(O129,""my"", ""en"")"),"182")</f>
        <v>182</v>
      </c>
      <c r="AH129" s="10" t="str">
        <f>IFERROR(__xludf.DUMMYFUNCTION("GOOGLETRANSLATE(P129,""my"", ""en"")"),"4.34%")</f>
        <v>4.34%</v>
      </c>
    </row>
    <row r="130" ht="24.0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3" t="s">
        <v>924</v>
      </c>
      <c r="L130" s="23" t="s">
        <v>925</v>
      </c>
      <c r="M130" s="24" t="s">
        <v>926</v>
      </c>
      <c r="N130" s="24" t="s">
        <v>927</v>
      </c>
      <c r="O130" s="24" t="s">
        <v>928</v>
      </c>
      <c r="P130" s="25" t="s">
        <v>929</v>
      </c>
      <c r="AC130" s="10" t="str">
        <f>IFERROR(__xludf.DUMMYFUNCTION("GOOGLETRANSLATE(K130,""my"", ""en"")"),"Data origin over ")</f>
        <v>Data origin over </v>
      </c>
      <c r="AD130" s="10" t="str">
        <f>IFERROR(__xludf.DUMMYFUNCTION("GOOGLETRANSLATE(L130,""my"", ""en"")"),"Personal ")</f>
        <v>Personal </v>
      </c>
      <c r="AE130" s="10" t="str">
        <f>IFERROR(__xludf.DUMMYFUNCTION("GOOGLETRANSLATE(M130,""my"", ""en"")"),"66")</f>
        <v>66</v>
      </c>
      <c r="AF130" s="10" t="str">
        <f>IFERROR(__xludf.DUMMYFUNCTION("GOOGLETRANSLATE(N130,""my"", ""en"")"),"23")</f>
        <v>23</v>
      </c>
      <c r="AG130" s="10" t="str">
        <f>IFERROR(__xludf.DUMMYFUNCTION("GOOGLETRANSLATE(O130,""my"", ""en"")"),"89")</f>
        <v>89</v>
      </c>
      <c r="AH130" s="10" t="str">
        <f>IFERROR(__xludf.DUMMYFUNCTION("GOOGLETRANSLATE(P130,""my"", ""en"")"),"2.12%")</f>
        <v>2.12%</v>
      </c>
    </row>
    <row r="131" ht="24.0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3" t="s">
        <v>930</v>
      </c>
      <c r="L131" s="23" t="s">
        <v>931</v>
      </c>
      <c r="M131" s="24" t="s">
        <v>932</v>
      </c>
      <c r="N131" s="24" t="s">
        <v>933</v>
      </c>
      <c r="O131" s="24" t="s">
        <v>934</v>
      </c>
      <c r="P131" s="25" t="s">
        <v>935</v>
      </c>
      <c r="AC131" s="10" t="str">
        <f>IFERROR(__xludf.DUMMYFUNCTION("GOOGLETRANSLATE(K131,""my"", ""en"")"),"ေအာင် million")</f>
        <v>ေအာင် million</v>
      </c>
      <c r="AD131" s="10" t="str">
        <f>IFERROR(__xludf.DUMMYFUNCTION("GOOGLETRANSLATE(L131,""my"", ""en"")")," Game Democracy Force")</f>
        <v> Game Democracy Force</v>
      </c>
      <c r="AE131" s="10" t="str">
        <f>IFERROR(__xludf.DUMMYFUNCTION("GOOGLETRANSLATE(M131,""my"", ""en"")"),"33")</f>
        <v>33</v>
      </c>
      <c r="AF131" s="10" t="str">
        <f>IFERROR(__xludf.DUMMYFUNCTION("GOOGLETRANSLATE(N131,""my"", ""en"")"),"12")</f>
        <v>12</v>
      </c>
      <c r="AG131" s="10" t="str">
        <f>IFERROR(__xludf.DUMMYFUNCTION("GOOGLETRANSLATE(O131,""my"", ""en"")"),"45")</f>
        <v>45</v>
      </c>
      <c r="AH131" s="10" t="str">
        <f>IFERROR(__xludf.DUMMYFUNCTION("GOOGLETRANSLATE(P131,""my"", ""en"")"),"1.07%")</f>
        <v>1.07%</v>
      </c>
    </row>
    <row r="132" ht="21.75" customHeight="1">
      <c r="A132" s="17" t="s">
        <v>936</v>
      </c>
      <c r="B132" s="17" t="s">
        <v>937</v>
      </c>
      <c r="C132" s="18" t="s">
        <v>938</v>
      </c>
      <c r="D132" s="18" t="s">
        <v>939</v>
      </c>
      <c r="E132" s="18" t="s">
        <v>940</v>
      </c>
      <c r="F132" s="18" t="s">
        <v>941</v>
      </c>
      <c r="G132" s="18" t="s">
        <v>942</v>
      </c>
      <c r="H132" s="18" t="s">
        <v>943</v>
      </c>
      <c r="I132" s="18" t="s">
        <v>944</v>
      </c>
      <c r="J132" s="18" t="s">
        <v>945</v>
      </c>
      <c r="K132" s="27"/>
      <c r="L132" s="27"/>
      <c r="M132" s="18" t="s">
        <v>946</v>
      </c>
      <c r="N132" s="18" t="s">
        <v>947</v>
      </c>
      <c r="O132" s="18" t="s">
        <v>948</v>
      </c>
      <c r="P132" s="27"/>
      <c r="S132" s="10" t="str">
        <f>IFERROR(__xludf.DUMMYFUNCTION("GOOGLETRANSLATE(A132,""my"", ""en"")"),"18")</f>
        <v>18</v>
      </c>
      <c r="T132" s="10" t="str">
        <f>IFERROR(__xludf.DUMMYFUNCTION("GOOGLETRANSLATE(B132,""my"", ""en"")"),"မဲဆ  No. (6)")</f>
        <v>မဲဆ  No. (6)</v>
      </c>
      <c r="U132" s="10" t="str">
        <f>IFERROR(__xludf.DUMMYFUNCTION("GOOGLETRANSLATE(C132,""my"", ""en"")"),"29778")</f>
        <v>29778</v>
      </c>
      <c r="V132" s="10" t="str">
        <f>IFERROR(__xludf.DUMMYFUNCTION("GOOGLETRANSLATE(D132,""my"", ""en"")"),"19762")</f>
        <v>19762</v>
      </c>
      <c r="W132" s="10" t="str">
        <f>IFERROR(__xludf.DUMMYFUNCTION("GOOGLETRANSLATE(E132,""my"", ""en"")"),"4493")</f>
        <v>4493</v>
      </c>
      <c r="X132" s="10" t="str">
        <f>IFERROR(__xludf.DUMMYFUNCTION("GOOGLETRANSLATE(F132,""my"", ""en"")"),"24255")</f>
        <v>24255</v>
      </c>
      <c r="Y132" s="10" t="str">
        <f>IFERROR(__xludf.DUMMYFUNCTION("GOOGLETRANSLATE(G132,""my"", ""en"")"),"81.45")</f>
        <v>81.45</v>
      </c>
      <c r="Z132" s="10" t="str">
        <f>IFERROR(__xludf.DUMMYFUNCTION("GOOGLETRANSLATE(H132,""my"", ""en"")"),"771")</f>
        <v>771</v>
      </c>
      <c r="AA132" s="10" t="str">
        <f>IFERROR(__xludf.DUMMYFUNCTION("GOOGLETRANSLATE(I132,""my"", ""en"")"),"2")</f>
        <v>2</v>
      </c>
      <c r="AB132" s="10" t="str">
        <f>IFERROR(__xludf.DUMMYFUNCTION("GOOGLETRANSLATE(J132,""my"", ""en"")"),"773")</f>
        <v>773</v>
      </c>
      <c r="AE132" s="10" t="str">
        <f>IFERROR(__xludf.DUMMYFUNCTION("GOOGLETRANSLATE(M132,""my"", ""en"")"),"19102")</f>
        <v>19102</v>
      </c>
      <c r="AF132" s="10" t="str">
        <f>IFERROR(__xludf.DUMMYFUNCTION("GOOGLETRANSLATE(N132,""my"", ""en"")"),"4380")</f>
        <v>4380</v>
      </c>
      <c r="AG132" s="10" t="str">
        <f>IFERROR(__xludf.DUMMYFUNCTION("GOOGLETRANSLATE(O132,""my"", ""en"")"),"23482")</f>
        <v>23482</v>
      </c>
    </row>
    <row r="133" ht="21.0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3" t="s">
        <v>949</v>
      </c>
      <c r="L133" s="23" t="s">
        <v>950</v>
      </c>
      <c r="M133" s="24" t="s">
        <v>951</v>
      </c>
      <c r="N133" s="24" t="s">
        <v>952</v>
      </c>
      <c r="O133" s="24" t="s">
        <v>953</v>
      </c>
      <c r="P133" s="25" t="s">
        <v>954</v>
      </c>
      <c r="AC133" s="10" t="str">
        <f>IFERROR(__xludf.DUMMYFUNCTION("GOOGLETRANSLATE(K133,""my"", ""en"")"),"ေဒ million  level ")</f>
        <v>ေဒ million  level </v>
      </c>
      <c r="AD133" s="10" t="str">
        <f>IFERROR(__xludf.DUMMYFUNCTION("GOOGLETRANSLATE(L133,""my"", ""en"")")," Game Democracy group   Pop Party")</f>
        <v> Game Democracy group   Pop Party</v>
      </c>
      <c r="AE133" s="10" t="str">
        <f>IFERROR(__xludf.DUMMYFUNCTION("GOOGLETRANSLATE(M133,""my"", ""en"")"),"9932")</f>
        <v>9932</v>
      </c>
      <c r="AF133" s="10" t="str">
        <f>IFERROR(__xludf.DUMMYFUNCTION("GOOGLETRANSLATE(N133,""my"", ""en"")"),"2017")</f>
        <v>2017</v>
      </c>
      <c r="AG133" s="10" t="str">
        <f>IFERROR(__xludf.DUMMYFUNCTION("GOOGLETRANSLATE(O133,""my"", ""en"")"),"11949")</f>
        <v>11949</v>
      </c>
      <c r="AH133" s="10" t="str">
        <f>IFERROR(__xludf.DUMMYFUNCTION("GOOGLETRANSLATE(P133,""my"", ""en"")"),"50.88%")</f>
        <v>50.88%</v>
      </c>
    </row>
    <row r="134" ht="21.0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3" t="s">
        <v>955</v>
      </c>
      <c r="L134" s="23" t="s">
        <v>956</v>
      </c>
      <c r="M134" s="24" t="s">
        <v>957</v>
      </c>
      <c r="N134" s="24" t="s">
        <v>958</v>
      </c>
      <c r="O134" s="24" t="s">
        <v>959</v>
      </c>
      <c r="P134" s="25" t="s">
        <v>960</v>
      </c>
      <c r="AC134" s="10" t="str">
        <f>IFERROR(__xludf.DUMMYFUNCTION("GOOGLETRANSLATE(K134,""my"", ""en"")"),"ေမာ lead")</f>
        <v>ေမာ lead</v>
      </c>
      <c r="AD134" s="10" t="str">
        <f>IFERROR(__xludf.DUMMYFUNCTION("GOOGLETRANSLATE(L134,""my"", ""en"")"),"Kayah State Democratic Party")</f>
        <v>Kayah State Democratic Party</v>
      </c>
      <c r="AE134" s="10" t="str">
        <f>IFERROR(__xludf.DUMMYFUNCTION("GOOGLETRANSLATE(M134,""my"", ""en"")"),"7007")</f>
        <v>7007</v>
      </c>
      <c r="AF134" s="10" t="str">
        <f>IFERROR(__xludf.DUMMYFUNCTION("GOOGLETRANSLATE(N134,""my"", ""en"")"),"1582")</f>
        <v>1582</v>
      </c>
      <c r="AG134" s="10" t="str">
        <f>IFERROR(__xludf.DUMMYFUNCTION("GOOGLETRANSLATE(O134,""my"", ""en"")"),"8589")</f>
        <v>8589</v>
      </c>
      <c r="AH134" s="10" t="str">
        <f>IFERROR(__xludf.DUMMYFUNCTION("GOOGLETRANSLATE(P134,""my"", ""en"")"),"36.58%")</f>
        <v>36.58%</v>
      </c>
    </row>
    <row r="135" ht="21.0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3" t="s">
        <v>961</v>
      </c>
      <c r="L135" s="23" t="s">
        <v>962</v>
      </c>
      <c r="M135" s="24" t="s">
        <v>963</v>
      </c>
      <c r="N135" s="24" t="s">
        <v>964</v>
      </c>
      <c r="O135" s="24" t="s">
        <v>965</v>
      </c>
      <c r="P135" s="25" t="s">
        <v>966</v>
      </c>
      <c r="AC135" s="10" t="str">
        <f>IFERROR(__xludf.DUMMYFUNCTION("GOOGLETRANSLATE(K135,""my"", ""en"")"),"For a court ေအာင်")</f>
        <v>For a court ေအာင်</v>
      </c>
      <c r="AD135" s="10" t="str">
        <f>IFERROR(__xludf.DUMMYFUNCTION("GOOGLETRANSLATE(L135,""my"", ""en"")"),"Local ေထာင် soap-stone strong ေရး  under development  Phil  ေရး Party")</f>
        <v>Local ေထာင် soap-stone strong ေရး  under development  Phil  ေရး Party</v>
      </c>
      <c r="AE135" s="10" t="str">
        <f>IFERROR(__xludf.DUMMYFUNCTION("GOOGLETRANSLATE(M135,""my"", ""en"")"),"1465")</f>
        <v>1465</v>
      </c>
      <c r="AF135" s="10" t="str">
        <f>IFERROR(__xludf.DUMMYFUNCTION("GOOGLETRANSLATE(N135,""my"", ""en"")"),"453")</f>
        <v>453</v>
      </c>
      <c r="AG135" s="10" t="str">
        <f>IFERROR(__xludf.DUMMYFUNCTION("GOOGLETRANSLATE(O135,""my"", ""en"")"),"1918")</f>
        <v>1918</v>
      </c>
      <c r="AH135" s="10" t="str">
        <f>IFERROR(__xludf.DUMMYFUNCTION("GOOGLETRANSLATE(P135,""my"", ""en"")"),"8.17%")</f>
        <v>8.17%</v>
      </c>
    </row>
    <row r="136" ht="21.0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3" t="s">
        <v>967</v>
      </c>
      <c r="L136" s="23" t="s">
        <v>968</v>
      </c>
      <c r="M136" s="24" t="s">
        <v>969</v>
      </c>
      <c r="N136" s="24" t="s">
        <v>970</v>
      </c>
      <c r="O136" s="24" t="s">
        <v>971</v>
      </c>
      <c r="P136" s="25" t="s">
        <v>972</v>
      </c>
      <c r="AC136" s="10" t="str">
        <f>IFERROR(__xludf.DUMMYFUNCTION("GOOGLETRANSLATE(K136,""my"", ""en"")"),"Reh")</f>
        <v>Reh</v>
      </c>
      <c r="AD136" s="10" t="str">
        <f>IFERROR(__xludf.DUMMYFUNCTION("GOOGLETRANSLATE(L136,""my"", ""en"")"),"Local ေထာင် စုေ white  Game ေဆာင် Party")</f>
        <v>Local ေထာင် စုေ white  Game ေဆာင် Party</v>
      </c>
      <c r="AE136" s="10" t="str">
        <f>IFERROR(__xludf.DUMMYFUNCTION("GOOGLETRANSLATE(M136,""my"", ""en"")"),"266")</f>
        <v>266</v>
      </c>
      <c r="AF136" s="10" t="str">
        <f>IFERROR(__xludf.DUMMYFUNCTION("GOOGLETRANSLATE(N136,""my"", ""en"")"),"107")</f>
        <v>107</v>
      </c>
      <c r="AG136" s="10" t="str">
        <f>IFERROR(__xludf.DUMMYFUNCTION("GOOGLETRANSLATE(O136,""my"", ""en"")"),"373")</f>
        <v>373</v>
      </c>
      <c r="AH136" s="10" t="str">
        <f>IFERROR(__xludf.DUMMYFUNCTION("GOOGLETRANSLATE(P136,""my"", ""en"")"),"1.59%")</f>
        <v>1.59%</v>
      </c>
    </row>
    <row r="137" ht="21.0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3" t="s">
        <v>973</v>
      </c>
      <c r="L137" s="23" t="s">
        <v>974</v>
      </c>
      <c r="M137" s="24" t="s">
        <v>975</v>
      </c>
      <c r="N137" s="24" t="s">
        <v>976</v>
      </c>
      <c r="O137" s="24" t="s">
        <v>977</v>
      </c>
      <c r="P137" s="25" t="s">
        <v>978</v>
      </c>
      <c r="AC137" s="10" t="str">
        <f>IFERROR(__xludf.DUMMYFUNCTION("GOOGLETRANSLATE(K137,""my"", ""en"")"),"Data  Thida h")</f>
        <v>Data  Thida h</v>
      </c>
      <c r="AD137" s="10" t="str">
        <f>IFERROR(__xludf.DUMMYFUNCTION("GOOGLETRANSLATE(L137,""my"", ""en"")"),"Ethnic unity  working party ေရး")</f>
        <v>Ethnic unity  working party ေရး</v>
      </c>
      <c r="AE137" s="10" t="str">
        <f>IFERROR(__xludf.DUMMYFUNCTION("GOOGLETRANSLATE(M137,""my"", ""en"")"),"230")</f>
        <v>230</v>
      </c>
      <c r="AF137" s="10" t="str">
        <f>IFERROR(__xludf.DUMMYFUNCTION("GOOGLETRANSLATE(N137,""my"", ""en"")"),"137")</f>
        <v>137</v>
      </c>
      <c r="AG137" s="10" t="str">
        <f>IFERROR(__xludf.DUMMYFUNCTION("GOOGLETRANSLATE(O137,""my"", ""en"")"),"367")</f>
        <v>367</v>
      </c>
      <c r="AH137" s="10" t="str">
        <f>IFERROR(__xludf.DUMMYFUNCTION("GOOGLETRANSLATE(P137,""my"", ""en"")"),"1.56%")</f>
        <v>1.56%</v>
      </c>
    </row>
    <row r="138" ht="21.0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3" t="s">
        <v>979</v>
      </c>
      <c r="L138" s="23" t="s">
        <v>980</v>
      </c>
      <c r="M138" s="24" t="s">
        <v>981</v>
      </c>
      <c r="N138" s="24" t="s">
        <v>982</v>
      </c>
      <c r="O138" s="24" t="s">
        <v>983</v>
      </c>
      <c r="P138" s="25" t="s">
        <v>984</v>
      </c>
      <c r="AC138" s="10" t="str">
        <f>IFERROR(__xludf.DUMMYFUNCTION("GOOGLETRANSLATE(K138,""my"", ""en"")"),"Data  vacantly")</f>
        <v>Data  vacantly</v>
      </c>
      <c r="AD138" s="10" t="str">
        <f>IFERROR(__xludf.DUMMYFUNCTION("GOOGLETRANSLATE(L138,""my"", ""en"")")," Game Democracy Force")</f>
        <v> Game Democracy Force</v>
      </c>
      <c r="AE138" s="10" t="str">
        <f>IFERROR(__xludf.DUMMYFUNCTION("GOOGLETRANSLATE(M138,""my"", ""en"")"),"202")</f>
        <v>202</v>
      </c>
      <c r="AF138" s="10" t="str">
        <f>IFERROR(__xludf.DUMMYFUNCTION("GOOGLETRANSLATE(N138,""my"", ""en"")"),"84")</f>
        <v>84</v>
      </c>
      <c r="AG138" s="10" t="str">
        <f>IFERROR(__xludf.DUMMYFUNCTION("GOOGLETRANSLATE(O138,""my"", ""en"")"),"286")</f>
        <v>286</v>
      </c>
      <c r="AH138" s="10" t="str">
        <f>IFERROR(__xludf.DUMMYFUNCTION("GOOGLETRANSLATE(P138,""my"", ""en"")"),"1.22%")</f>
        <v>1.22%</v>
      </c>
    </row>
    <row r="139" ht="21.75" customHeight="1">
      <c r="A139" s="17" t="s">
        <v>985</v>
      </c>
      <c r="B139" s="17" t="s">
        <v>986</v>
      </c>
      <c r="C139" s="18" t="s">
        <v>987</v>
      </c>
      <c r="D139" s="18" t="s">
        <v>988</v>
      </c>
      <c r="E139" s="18" t="s">
        <v>989</v>
      </c>
      <c r="F139" s="18" t="s">
        <v>990</v>
      </c>
      <c r="G139" s="18" t="s">
        <v>991</v>
      </c>
      <c r="H139" s="18" t="s">
        <v>992</v>
      </c>
      <c r="I139" s="18" t="s">
        <v>993</v>
      </c>
      <c r="J139" s="18" t="s">
        <v>994</v>
      </c>
      <c r="K139" s="27"/>
      <c r="L139" s="27"/>
      <c r="M139" s="18" t="s">
        <v>995</v>
      </c>
      <c r="N139" s="18" t="s">
        <v>996</v>
      </c>
      <c r="O139" s="18" t="s">
        <v>997</v>
      </c>
      <c r="P139" s="27"/>
      <c r="S139" s="10" t="str">
        <f>IFERROR(__xludf.DUMMYFUNCTION("GOOGLETRANSLATE(A139,""my"", ""en"")"),"19")</f>
        <v>19</v>
      </c>
      <c r="T139" s="10" t="str">
        <f>IFERROR(__xludf.DUMMYFUNCTION("GOOGLETRANSLATE(B139,""my"", ""en"")"),"မဲဆ  No. (7)")</f>
        <v>မဲဆ  No. (7)</v>
      </c>
      <c r="U139" s="10" t="str">
        <f>IFERROR(__xludf.DUMMYFUNCTION("GOOGLETRANSLATE(C139,""my"", ""en"")"),"26896")</f>
        <v>26896</v>
      </c>
      <c r="V139" s="10" t="str">
        <f>IFERROR(__xludf.DUMMYFUNCTION("GOOGLETRANSLATE(D139,""my"", ""en"")"),"17751")</f>
        <v>17751</v>
      </c>
      <c r="W139" s="10" t="str">
        <f>IFERROR(__xludf.DUMMYFUNCTION("GOOGLETRANSLATE(E139,""my"", ""en"")"),"3959")</f>
        <v>3959</v>
      </c>
      <c r="X139" s="10" t="str">
        <f>IFERROR(__xludf.DUMMYFUNCTION("GOOGLETRANSLATE(F139,""my"", ""en"")"),"21710")</f>
        <v>21710</v>
      </c>
      <c r="Y139" s="10" t="str">
        <f>IFERROR(__xludf.DUMMYFUNCTION("GOOGLETRANSLATE(G139,""my"", ""en"")"),"80.72")</f>
        <v>80.72</v>
      </c>
      <c r="Z139" s="10" t="str">
        <f>IFERROR(__xludf.DUMMYFUNCTION("GOOGLETRANSLATE(H139,""my"", ""en"")"),"822")</f>
        <v>822</v>
      </c>
      <c r="AA139" s="10" t="str">
        <f>IFERROR(__xludf.DUMMYFUNCTION("GOOGLETRANSLATE(I139,""my"", ""en"")"),"1")</f>
        <v>1</v>
      </c>
      <c r="AB139" s="10" t="str">
        <f>IFERROR(__xludf.DUMMYFUNCTION("GOOGLETRANSLATE(J139,""my"", ""en"")"),"823")</f>
        <v>823</v>
      </c>
      <c r="AE139" s="10" t="str">
        <f>IFERROR(__xludf.DUMMYFUNCTION("GOOGLETRANSLATE(M139,""my"", ""en"")"),"17031")</f>
        <v>17031</v>
      </c>
      <c r="AF139" s="10" t="str">
        <f>IFERROR(__xludf.DUMMYFUNCTION("GOOGLETRANSLATE(N139,""my"", ""en"")"),"3856")</f>
        <v>3856</v>
      </c>
      <c r="AG139" s="10" t="str">
        <f>IFERROR(__xludf.DUMMYFUNCTION("GOOGLETRANSLATE(O139,""my"", ""en"")"),"20887")</f>
        <v>20887</v>
      </c>
    </row>
    <row r="140" ht="21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3" t="s">
        <v>998</v>
      </c>
      <c r="L140" s="23" t="s">
        <v>999</v>
      </c>
      <c r="M140" s="24" t="s">
        <v>1000</v>
      </c>
      <c r="N140" s="24" t="s">
        <v>1001</v>
      </c>
      <c r="O140" s="24" t="s">
        <v>1002</v>
      </c>
      <c r="P140" s="25" t="s">
        <v>1003</v>
      </c>
      <c r="AC140" s="10" t="str">
        <f>IFERROR(__xludf.DUMMYFUNCTION("GOOGLETRANSLATE(K140,""my"", ""en"")"),"ေပါလ် Seng")</f>
        <v>ေပါလ် Seng</v>
      </c>
      <c r="AD140" s="10" t="str">
        <f>IFERROR(__xludf.DUMMYFUNCTION("GOOGLETRANSLATE(L140,""my"", ""en"")")," Game Democracy group   Pop Party")</f>
        <v> Game Democracy group   Pop Party</v>
      </c>
      <c r="AE140" s="10" t="str">
        <f>IFERROR(__xludf.DUMMYFUNCTION("GOOGLETRANSLATE(M140,""my"", ""en"")"),"10723")</f>
        <v>10723</v>
      </c>
      <c r="AF140" s="10" t="str">
        <f>IFERROR(__xludf.DUMMYFUNCTION("GOOGLETRANSLATE(N140,""my"", ""en"")"),"2134")</f>
        <v>2134</v>
      </c>
      <c r="AG140" s="10" t="str">
        <f>IFERROR(__xludf.DUMMYFUNCTION("GOOGLETRANSLATE(O140,""my"", ""en"")"),"12857")</f>
        <v>12857</v>
      </c>
      <c r="AH140" s="10" t="str">
        <f>IFERROR(__xludf.DUMMYFUNCTION("GOOGLETRANSLATE(P140,""my"", ""en"")"),"61.56%")</f>
        <v>61.56%</v>
      </c>
    </row>
    <row r="141" ht="22.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3" t="s">
        <v>1004</v>
      </c>
      <c r="L141" s="23" t="s">
        <v>1005</v>
      </c>
      <c r="M141" s="24" t="s">
        <v>1006</v>
      </c>
      <c r="N141" s="24" t="s">
        <v>1007</v>
      </c>
      <c r="O141" s="24" t="s">
        <v>1008</v>
      </c>
      <c r="P141" s="25" t="s">
        <v>1009</v>
      </c>
      <c r="AC141" s="10" t="str">
        <f>IFERROR(__xludf.DUMMYFUNCTION("GOOGLETRANSLATE(K141,""my"", ""en"")"),"ေဒ  L.")</f>
        <v>ေဒ  L.</v>
      </c>
      <c r="AD141" s="10" t="str">
        <f>IFERROR(__xludf.DUMMYFUNCTION("GOOGLETRANSLATE(L141,""my"", ""en"")"),"Kayan  Game Party")</f>
        <v>Kayan  Game Party</v>
      </c>
      <c r="AE141" s="10" t="str">
        <f>IFERROR(__xludf.DUMMYFUNCTION("GOOGLETRANSLATE(M141,""my"", ""en"")"),"3845")</f>
        <v>3845</v>
      </c>
      <c r="AF141" s="10" t="str">
        <f>IFERROR(__xludf.DUMMYFUNCTION("GOOGLETRANSLATE(N141,""my"", ""en"")"),"933")</f>
        <v>933</v>
      </c>
      <c r="AG141" s="10" t="str">
        <f>IFERROR(__xludf.DUMMYFUNCTION("GOOGLETRANSLATE(O141,""my"", ""en"")"),"4778")</f>
        <v>4778</v>
      </c>
      <c r="AH141" s="10" t="str">
        <f>IFERROR(__xludf.DUMMYFUNCTION("GOOGLETRANSLATE(P141,""my"", ""en"")"),"22.88%")</f>
        <v>22.88%</v>
      </c>
    </row>
    <row r="142" ht="21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3" t="s">
        <v>1010</v>
      </c>
      <c r="L142" s="23" t="s">
        <v>1011</v>
      </c>
      <c r="M142" s="24" t="s">
        <v>1012</v>
      </c>
      <c r="N142" s="24" t="s">
        <v>1013</v>
      </c>
      <c r="O142" s="24" t="s">
        <v>1014</v>
      </c>
      <c r="P142" s="25" t="s">
        <v>1015</v>
      </c>
      <c r="AC142" s="10" t="str">
        <f>IFERROR(__xludf.DUMMYFUNCTION("GOOGLETRANSLATE(K142,""my"", ""en"")"),"Data  Dor i")</f>
        <v>Data  Dor i</v>
      </c>
      <c r="AD142" s="10" t="str">
        <f>IFERROR(__xludf.DUMMYFUNCTION("GOOGLETRANSLATE(L142,""my"", ""en"")"),"Local ေထာင် soap-stone strong ေရး  under development  Phil  ေရး Party")</f>
        <v>Local ေထာင် soap-stone strong ေရး  under development  Phil  ေရး Party</v>
      </c>
      <c r="AE142" s="10" t="str">
        <f>IFERROR(__xludf.DUMMYFUNCTION("GOOGLETRANSLATE(M142,""my"", ""en"")"),"1542")</f>
        <v>1542</v>
      </c>
      <c r="AF142" s="10" t="str">
        <f>IFERROR(__xludf.DUMMYFUNCTION("GOOGLETRANSLATE(N142,""my"", ""en"")"),"466")</f>
        <v>466</v>
      </c>
      <c r="AG142" s="10" t="str">
        <f>IFERROR(__xludf.DUMMYFUNCTION("GOOGLETRANSLATE(O142,""my"", ""en"")"),"2008")</f>
        <v>2008</v>
      </c>
      <c r="AH142" s="10" t="str">
        <f>IFERROR(__xludf.DUMMYFUNCTION("GOOGLETRANSLATE(P142,""my"", ""en"")"),"9.61%")</f>
        <v>9.61%</v>
      </c>
    </row>
    <row r="143" ht="21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3" t="s">
        <v>1016</v>
      </c>
      <c r="L143" s="23" t="s">
        <v>1017</v>
      </c>
      <c r="M143" s="24" t="s">
        <v>1018</v>
      </c>
      <c r="N143" s="24" t="s">
        <v>1019</v>
      </c>
      <c r="O143" s="24" t="s">
        <v>1020</v>
      </c>
      <c r="P143" s="25" t="s">
        <v>1021</v>
      </c>
      <c r="AC143" s="10" t="str">
        <f>IFERROR(__xludf.DUMMYFUNCTION("GOOGLETRANSLATE(K143,""my"", ""en"")"),"ေမာင်  Game")</f>
        <v>ေမာင်  Game</v>
      </c>
      <c r="AD143" s="10" t="str">
        <f>IFERROR(__xludf.DUMMYFUNCTION("GOOGLETRANSLATE(L143,""my"", ""en"")"),"Local ေထာင် စုေ white  Game ေဆာင် Party")</f>
        <v>Local ေထာင် စုေ white  Game ေဆာင် Party</v>
      </c>
      <c r="AE143" s="10" t="str">
        <f>IFERROR(__xludf.DUMMYFUNCTION("GOOGLETRANSLATE(M143,""my"", ""en"")"),"639")</f>
        <v>639</v>
      </c>
      <c r="AF143" s="10" t="str">
        <f>IFERROR(__xludf.DUMMYFUNCTION("GOOGLETRANSLATE(N143,""my"", ""en"")"),"180")</f>
        <v>180</v>
      </c>
      <c r="AG143" s="10" t="str">
        <f>IFERROR(__xludf.DUMMYFUNCTION("GOOGLETRANSLATE(O143,""my"", ""en"")"),"819")</f>
        <v>819</v>
      </c>
      <c r="AH143" s="10" t="str">
        <f>IFERROR(__xludf.DUMMYFUNCTION("GOOGLETRANSLATE(P143,""my"", ""en"")"),"3.92%")</f>
        <v>3.92%</v>
      </c>
    </row>
    <row r="144" ht="22.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3" t="s">
        <v>1022</v>
      </c>
      <c r="L144" s="23" t="s">
        <v>1023</v>
      </c>
      <c r="M144" s="24" t="s">
        <v>1024</v>
      </c>
      <c r="N144" s="24" t="s">
        <v>1025</v>
      </c>
      <c r="O144" s="24" t="s">
        <v>1026</v>
      </c>
      <c r="P144" s="25" t="s">
        <v>1027</v>
      </c>
      <c r="AC144" s="10" t="str">
        <f>IFERROR(__xludf.DUMMYFUNCTION("GOOGLETRANSLATE(K144,""my"", ""en"")"),"ေစာ million  Cashier")</f>
        <v>ေစာ million  Cashier</v>
      </c>
      <c r="AD144" s="10" t="str">
        <f>IFERROR(__xludf.DUMMYFUNCTION("GOOGLETRANSLATE(L144,""my"", ""en"")")," Game Democracy Force")</f>
        <v> Game Democracy Force</v>
      </c>
      <c r="AE144" s="10" t="str">
        <f>IFERROR(__xludf.DUMMYFUNCTION("GOOGLETRANSLATE(M144,""my"", ""en"")"),"174")</f>
        <v>174</v>
      </c>
      <c r="AF144" s="10" t="str">
        <f>IFERROR(__xludf.DUMMYFUNCTION("GOOGLETRANSLATE(N144,""my"", ""en"")"),"73")</f>
        <v>73</v>
      </c>
      <c r="AG144" s="10" t="str">
        <f>IFERROR(__xludf.DUMMYFUNCTION("GOOGLETRANSLATE(O144,""my"", ""en"")"),"247")</f>
        <v>247</v>
      </c>
      <c r="AH144" s="10" t="str">
        <f>IFERROR(__xludf.DUMMYFUNCTION("GOOGLETRANSLATE(P144,""my"", ""en"")"),"1.18%")</f>
        <v>1.18%</v>
      </c>
    </row>
    <row r="145" ht="21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3" t="s">
        <v>1028</v>
      </c>
      <c r="L145" s="23" t="s">
        <v>1029</v>
      </c>
      <c r="M145" s="24" t="s">
        <v>1030</v>
      </c>
      <c r="N145" s="24" t="s">
        <v>1031</v>
      </c>
      <c r="O145" s="24" t="s">
        <v>1032</v>
      </c>
      <c r="P145" s="25" t="s">
        <v>1033</v>
      </c>
      <c r="AC145" s="10" t="str">
        <f>IFERROR(__xludf.DUMMYFUNCTION("GOOGLETRANSLATE(K145,""my"", ""en"")"),"Bo ဘိုေ farther")</f>
        <v>Bo ဘိုေ farther</v>
      </c>
      <c r="AD145" s="10" t="str">
        <f>IFERROR(__xludf.DUMMYFUNCTION("GOOGLETRANSLATE(L145,""my"", ""en"")")," Game  Democratic Party political-Fi")</f>
        <v> Game  Democratic Party political-Fi</v>
      </c>
      <c r="AE145" s="10" t="str">
        <f>IFERROR(__xludf.DUMMYFUNCTION("GOOGLETRANSLATE(M145,""my"", ""en"")"),"108")</f>
        <v>108</v>
      </c>
      <c r="AF145" s="10" t="str">
        <f>IFERROR(__xludf.DUMMYFUNCTION("GOOGLETRANSLATE(N145,""my"", ""en"")"),"70")</f>
        <v>70</v>
      </c>
      <c r="AG145" s="10" t="str">
        <f>IFERROR(__xludf.DUMMYFUNCTION("GOOGLETRANSLATE(O145,""my"", ""en"")"),"178")</f>
        <v>178</v>
      </c>
      <c r="AH145" s="10" t="str">
        <f>IFERROR(__xludf.DUMMYFUNCTION("GOOGLETRANSLATE(P145,""my"", ""en"")"),"0.85%")</f>
        <v>0.85%</v>
      </c>
    </row>
    <row r="146" ht="22.5" customHeight="1">
      <c r="A146" s="28" t="s">
        <v>1034</v>
      </c>
      <c r="B146" s="17" t="s">
        <v>1035</v>
      </c>
      <c r="C146" s="18" t="s">
        <v>1036</v>
      </c>
      <c r="D146" s="18" t="s">
        <v>1037</v>
      </c>
      <c r="E146" s="18" t="s">
        <v>1038</v>
      </c>
      <c r="F146" s="18" t="s">
        <v>1039</v>
      </c>
      <c r="G146" s="18" t="s">
        <v>1040</v>
      </c>
      <c r="H146" s="18" t="s">
        <v>1041</v>
      </c>
      <c r="I146" s="18" t="s">
        <v>1042</v>
      </c>
      <c r="J146" s="18" t="s">
        <v>1043</v>
      </c>
      <c r="K146" s="27"/>
      <c r="L146" s="27"/>
      <c r="M146" s="18" t="s">
        <v>1044</v>
      </c>
      <c r="N146" s="18" t="s">
        <v>1045</v>
      </c>
      <c r="O146" s="18" t="s">
        <v>1046</v>
      </c>
      <c r="P146" s="27"/>
      <c r="S146" s="10" t="str">
        <f>IFERROR(__xludf.DUMMYFUNCTION("GOOGLETRANSLATE(A146,""my"", ""en"")"),"20")</f>
        <v>20</v>
      </c>
      <c r="T146" s="10" t="str">
        <f>IFERROR(__xludf.DUMMYFUNCTION("GOOGLETRANSLATE(B146,""my"", ""en"")"),"မဲဆ  No. (8)")</f>
        <v>မဲဆ  No. (8)</v>
      </c>
      <c r="U146" s="10" t="str">
        <f>IFERROR(__xludf.DUMMYFUNCTION("GOOGLETRANSLATE(C146,""my"", ""en"")"),"10648")</f>
        <v>10648</v>
      </c>
      <c r="V146" s="10" t="str">
        <f>IFERROR(__xludf.DUMMYFUNCTION("GOOGLETRANSLATE(D146,""my"", ""en"")"),"6812")</f>
        <v>6812</v>
      </c>
      <c r="W146" s="10" t="str">
        <f>IFERROR(__xludf.DUMMYFUNCTION("GOOGLETRANSLATE(E146,""my"", ""en"")"),"1627")</f>
        <v>1627</v>
      </c>
      <c r="X146" s="10" t="str">
        <f>IFERROR(__xludf.DUMMYFUNCTION("GOOGLETRANSLATE(F146,""my"", ""en"")"),"8439")</f>
        <v>8439</v>
      </c>
      <c r="Y146" s="10" t="str">
        <f>IFERROR(__xludf.DUMMYFUNCTION("GOOGLETRANSLATE(G146,""my"", ""en"")"),"79.25")</f>
        <v>79.25</v>
      </c>
      <c r="Z146" s="10" t="str">
        <f>IFERROR(__xludf.DUMMYFUNCTION("GOOGLETRANSLATE(H146,""my"", ""en"")"),"390")</f>
        <v>390</v>
      </c>
      <c r="AA146" s="10" t="str">
        <f>IFERROR(__xludf.DUMMYFUNCTION("GOOGLETRANSLATE(I146,""my"", ""en"")"),"1")</f>
        <v>1</v>
      </c>
      <c r="AB146" s="10" t="str">
        <f>IFERROR(__xludf.DUMMYFUNCTION("GOOGLETRANSLATE(J146,""my"", ""en"")"),"391")</f>
        <v>391</v>
      </c>
      <c r="AE146" s="10" t="str">
        <f>IFERROR(__xludf.DUMMYFUNCTION("GOOGLETRANSLATE(M146,""my"", ""en"")"),"6470")</f>
        <v>6470</v>
      </c>
      <c r="AF146" s="10" t="str">
        <f>IFERROR(__xludf.DUMMYFUNCTION("GOOGLETRANSLATE(N146,""my"", ""en"")"),"1578")</f>
        <v>1578</v>
      </c>
      <c r="AG146" s="10" t="str">
        <f>IFERROR(__xludf.DUMMYFUNCTION("GOOGLETRANSLATE(O146,""my"", ""en"")"),"8048")</f>
        <v>8048</v>
      </c>
    </row>
    <row r="147" ht="21.0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3" t="s">
        <v>1047</v>
      </c>
      <c r="L147" s="23" t="s">
        <v>1048</v>
      </c>
      <c r="M147" s="24" t="s">
        <v>1049</v>
      </c>
      <c r="N147" s="24" t="s">
        <v>1050</v>
      </c>
      <c r="O147" s="24" t="s">
        <v>1051</v>
      </c>
      <c r="P147" s="25" t="s">
        <v>1052</v>
      </c>
      <c r="AC147" s="10" t="str">
        <f>IFERROR(__xludf.DUMMYFUNCTION("GOOGLETRANSLATE(K147,""my"", ""en"")"),"Reh")</f>
        <v>Reh</v>
      </c>
      <c r="AD147" s="10" t="str">
        <f>IFERROR(__xludf.DUMMYFUNCTION("GOOGLETRANSLATE(L147,""my"", ""en"")"),"Kayah State Democratic Party")</f>
        <v>Kayah State Democratic Party</v>
      </c>
      <c r="AE147" s="10" t="str">
        <f>IFERROR(__xludf.DUMMYFUNCTION("GOOGLETRANSLATE(M147,""my"", ""en"")"),"3349")</f>
        <v>3349</v>
      </c>
      <c r="AF147" s="10" t="str">
        <f>IFERROR(__xludf.DUMMYFUNCTION("GOOGLETRANSLATE(N147,""my"", ""en"")"),"706")</f>
        <v>706</v>
      </c>
      <c r="AG147" s="10" t="str">
        <f>IFERROR(__xludf.DUMMYFUNCTION("GOOGLETRANSLATE(O147,""my"", ""en"")"),"4055")</f>
        <v>4055</v>
      </c>
      <c r="AH147" s="10" t="str">
        <f>IFERROR(__xludf.DUMMYFUNCTION("GOOGLETRANSLATE(P147,""my"", ""en"")"),"50.38%")</f>
        <v>50.38%</v>
      </c>
    </row>
    <row r="148" ht="21.0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3" t="s">
        <v>1053</v>
      </c>
      <c r="L148" s="23" t="s">
        <v>1054</v>
      </c>
      <c r="M148" s="24" t="s">
        <v>1055</v>
      </c>
      <c r="N148" s="24" t="s">
        <v>1056</v>
      </c>
      <c r="O148" s="24" t="s">
        <v>1057</v>
      </c>
      <c r="P148" s="25" t="s">
        <v>1058</v>
      </c>
      <c r="AC148" s="10" t="str">
        <f>IFERROR(__xludf.DUMMYFUNCTION("GOOGLETRANSLATE(K148,""my"", ""en"")"),"Reh")</f>
        <v>Reh</v>
      </c>
      <c r="AD148" s="10" t="str">
        <f>IFERROR(__xludf.DUMMYFUNCTION("GOOGLETRANSLATE(L148,""my"", ""en"")")," Game Democracy group   Pop Party")</f>
        <v> Game Democracy group   Pop Party</v>
      </c>
      <c r="AE148" s="10" t="str">
        <f>IFERROR(__xludf.DUMMYFUNCTION("GOOGLETRANSLATE(M148,""my"", ""en"")"),"1467")</f>
        <v>1467</v>
      </c>
      <c r="AF148" s="10" t="str">
        <f>IFERROR(__xludf.DUMMYFUNCTION("GOOGLETRANSLATE(N148,""my"", ""en"")"),"391")</f>
        <v>391</v>
      </c>
      <c r="AG148" s="10" t="str">
        <f>IFERROR(__xludf.DUMMYFUNCTION("GOOGLETRANSLATE(O148,""my"", ""en"")"),"1858")</f>
        <v>1858</v>
      </c>
      <c r="AH148" s="10" t="str">
        <f>IFERROR(__xludf.DUMMYFUNCTION("GOOGLETRANSLATE(P148,""my"", ""en"")"),"23.10%")</f>
        <v>23.10%</v>
      </c>
    </row>
    <row r="149" ht="21.0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3" t="s">
        <v>1059</v>
      </c>
      <c r="L149" s="23" t="s">
        <v>1060</v>
      </c>
      <c r="M149" s="24" t="s">
        <v>1061</v>
      </c>
      <c r="N149" s="24" t="s">
        <v>1062</v>
      </c>
      <c r="O149" s="24" t="s">
        <v>1063</v>
      </c>
      <c r="P149" s="25" t="s">
        <v>1064</v>
      </c>
      <c r="AC149" s="10" t="str">
        <f>IFERROR(__xludf.DUMMYFUNCTION("GOOGLETRANSLATE(K149,""my"", ""en"")"),"Reh")</f>
        <v>Reh</v>
      </c>
      <c r="AD149" s="10" t="str">
        <f>IFERROR(__xludf.DUMMYFUNCTION("GOOGLETRANSLATE(L149,""my"", ""en"")"),"Local ေထာင် soap-stone strong ေရး  under development  Phil  ေရး Party")</f>
        <v>Local ေထာင် soap-stone strong ေရး  under development  Phil  ေရး Party</v>
      </c>
      <c r="AE149" s="10" t="str">
        <f>IFERROR(__xludf.DUMMYFUNCTION("GOOGLETRANSLATE(M149,""my"", ""en"")"),"1120")</f>
        <v>1120</v>
      </c>
      <c r="AF149" s="10" t="str">
        <f>IFERROR(__xludf.DUMMYFUNCTION("GOOGLETRANSLATE(N149,""my"", ""en"")"),"225")</f>
        <v>225</v>
      </c>
      <c r="AG149" s="10" t="str">
        <f>IFERROR(__xludf.DUMMYFUNCTION("GOOGLETRANSLATE(O149,""my"", ""en"")"),"1345")</f>
        <v>1345</v>
      </c>
      <c r="AH149" s="10" t="str">
        <f>IFERROR(__xludf.DUMMYFUNCTION("GOOGLETRANSLATE(P149,""my"", ""en"")"),"16.71%")</f>
        <v>16.71%</v>
      </c>
    </row>
    <row r="150" ht="21.0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3" t="s">
        <v>1065</v>
      </c>
      <c r="L150" s="23" t="s">
        <v>1066</v>
      </c>
      <c r="M150" s="24" t="s">
        <v>1067</v>
      </c>
      <c r="N150" s="24" t="s">
        <v>1068</v>
      </c>
      <c r="O150" s="24" t="s">
        <v>1069</v>
      </c>
      <c r="P150" s="25" t="s">
        <v>1070</v>
      </c>
      <c r="AC150" s="10" t="str">
        <f>IFERROR(__xludf.DUMMYFUNCTION("GOOGLETRANSLATE(K150,""my"", ""en"")"),"ေဒ ")</f>
        <v>ေဒ </v>
      </c>
      <c r="AD150" s="10" t="str">
        <f>IFERROR(__xludf.DUMMYFUNCTION("GOOGLETRANSLATE(L150,""my"", ""en"")"),"Personal ")</f>
        <v>Personal </v>
      </c>
      <c r="AE150" s="10" t="str">
        <f>IFERROR(__xludf.DUMMYFUNCTION("GOOGLETRANSLATE(M150,""my"", ""en"")"),"193")</f>
        <v>193</v>
      </c>
      <c r="AF150" s="10" t="str">
        <f>IFERROR(__xludf.DUMMYFUNCTION("GOOGLETRANSLATE(N150,""my"", ""en"")"),"76")</f>
        <v>76</v>
      </c>
      <c r="AG150" s="10" t="str">
        <f>IFERROR(__xludf.DUMMYFUNCTION("GOOGLETRANSLATE(O150,""my"", ""en"")"),"269")</f>
        <v>269</v>
      </c>
      <c r="AH150" s="10" t="str">
        <f>IFERROR(__xludf.DUMMYFUNCTION("GOOGLETRANSLATE(P150,""my"", ""en"")"),"3.34%")</f>
        <v>3.34%</v>
      </c>
    </row>
    <row r="151" ht="21.0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3" t="s">
        <v>1071</v>
      </c>
      <c r="L151" s="23" t="s">
        <v>1072</v>
      </c>
      <c r="M151" s="24" t="s">
        <v>1073</v>
      </c>
      <c r="N151" s="24" t="s">
        <v>1074</v>
      </c>
      <c r="O151" s="24" t="s">
        <v>1075</v>
      </c>
      <c r="P151" s="25" t="s">
        <v>1076</v>
      </c>
      <c r="AC151" s="10" t="str">
        <f>IFERROR(__xludf.DUMMYFUNCTION("GOOGLETRANSLATE(K151,""my"", ""en"")"),"Norwegian fathers")</f>
        <v>Norwegian fathers</v>
      </c>
      <c r="AD151" s="10" t="str">
        <f>IFERROR(__xludf.DUMMYFUNCTION("GOOGLETRANSLATE(L151,""my"", ""en"")"),"Ethnic unity  working party ေရး")</f>
        <v>Ethnic unity  working party ေရး</v>
      </c>
      <c r="AE151" s="10" t="str">
        <f>IFERROR(__xludf.DUMMYFUNCTION("GOOGLETRANSLATE(M151,""my"", ""en"")"),"178")</f>
        <v>178</v>
      </c>
      <c r="AF151" s="10" t="str">
        <f>IFERROR(__xludf.DUMMYFUNCTION("GOOGLETRANSLATE(N151,""my"", ""en"")"),"90")</f>
        <v>90</v>
      </c>
      <c r="AG151" s="10" t="str">
        <f>IFERROR(__xludf.DUMMYFUNCTION("GOOGLETRANSLATE(O151,""my"", ""en"")"),"268")</f>
        <v>268</v>
      </c>
      <c r="AH151" s="10" t="str">
        <f>IFERROR(__xludf.DUMMYFUNCTION("GOOGLETRANSLATE(P151,""my"", ""en"")"),"3.33%")</f>
        <v>3.33%</v>
      </c>
    </row>
    <row r="152" ht="21.0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3" t="s">
        <v>1077</v>
      </c>
      <c r="L152" s="23" t="s">
        <v>1078</v>
      </c>
      <c r="M152" s="24" t="s">
        <v>1079</v>
      </c>
      <c r="N152" s="24" t="s">
        <v>1080</v>
      </c>
      <c r="O152" s="24" t="s">
        <v>1081</v>
      </c>
      <c r="P152" s="25" t="s">
        <v>1082</v>
      </c>
      <c r="AC152" s="10" t="str">
        <f>IFERROR(__xludf.DUMMYFUNCTION("GOOGLETRANSLATE(K152,""my"", ""en"")"),"Saw  Shanxi")</f>
        <v>Saw  Shanxi</v>
      </c>
      <c r="AD152" s="10" t="str">
        <f>IFERROR(__xludf.DUMMYFUNCTION("GOOGLETRANSLATE(L152,""my"", ""en"")"),"Local ေထာင် စုေ white  Game ေဆာင် Party")</f>
        <v>Local ေထာင် စုေ white  Game ေဆာင် Party</v>
      </c>
      <c r="AE152" s="10" t="str">
        <f>IFERROR(__xludf.DUMMYFUNCTION("GOOGLETRANSLATE(M152,""my"", ""en"")"),"101")</f>
        <v>101</v>
      </c>
      <c r="AF152" s="10" t="str">
        <f>IFERROR(__xludf.DUMMYFUNCTION("GOOGLETRANSLATE(N152,""my"", ""en"")"),"62")</f>
        <v>62</v>
      </c>
      <c r="AG152" s="10" t="str">
        <f>IFERROR(__xludf.DUMMYFUNCTION("GOOGLETRANSLATE(O152,""my"", ""en"")"),"163")</f>
        <v>163</v>
      </c>
      <c r="AH152" s="10" t="str">
        <f>IFERROR(__xludf.DUMMYFUNCTION("GOOGLETRANSLATE(P152,""my"", ""en"")"),"2.02%")</f>
        <v>2.02%</v>
      </c>
    </row>
    <row r="153" ht="21.0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3" t="s">
        <v>1083</v>
      </c>
      <c r="L153" s="23" t="s">
        <v>1084</v>
      </c>
      <c r="M153" s="24" t="s">
        <v>1085</v>
      </c>
      <c r="N153" s="24" t="s">
        <v>1086</v>
      </c>
      <c r="O153" s="24" t="s">
        <v>1087</v>
      </c>
      <c r="P153" s="25" t="s">
        <v>1088</v>
      </c>
      <c r="AC153" s="10" t="str">
        <f>IFERROR(__xludf.DUMMYFUNCTION("GOOGLETRANSLATE(K153,""my"", ""en"")"),"U San Lwin")</f>
        <v>U San Lwin</v>
      </c>
      <c r="AD153" s="10" t="str">
        <f>IFERROR(__xludf.DUMMYFUNCTION("GOOGLETRANSLATE(L153,""my"", ""en"")")," Game Democracy Force")</f>
        <v> Game Democracy Force</v>
      </c>
      <c r="AE153" s="10" t="str">
        <f>IFERROR(__xludf.DUMMYFUNCTION("GOOGLETRANSLATE(M153,""my"", ""en"")"),"62")</f>
        <v>62</v>
      </c>
      <c r="AF153" s="10" t="str">
        <f>IFERROR(__xludf.DUMMYFUNCTION("GOOGLETRANSLATE(N153,""my"", ""en"")"),"28")</f>
        <v>28</v>
      </c>
      <c r="AG153" s="10" t="str">
        <f>IFERROR(__xludf.DUMMYFUNCTION("GOOGLETRANSLATE(O153,""my"", ""en"")"),"90")</f>
        <v>90</v>
      </c>
      <c r="AH153" s="10" t="str">
        <f>IFERROR(__xludf.DUMMYFUNCTION("GOOGLETRANSLATE(P153,""my"", ""en"")"),"1.12%")</f>
        <v>1.12%</v>
      </c>
    </row>
    <row r="154" ht="22.5" customHeight="1">
      <c r="A154" s="28" t="s">
        <v>1089</v>
      </c>
      <c r="B154" s="17" t="s">
        <v>1090</v>
      </c>
      <c r="C154" s="18" t="s">
        <v>1091</v>
      </c>
      <c r="D154" s="18" t="s">
        <v>1092</v>
      </c>
      <c r="E154" s="18" t="s">
        <v>1093</v>
      </c>
      <c r="F154" s="18" t="s">
        <v>1094</v>
      </c>
      <c r="G154" s="18" t="s">
        <v>1095</v>
      </c>
      <c r="H154" s="18" t="s">
        <v>1096</v>
      </c>
      <c r="I154" s="18" t="s">
        <v>1097</v>
      </c>
      <c r="J154" s="18" t="s">
        <v>1098</v>
      </c>
      <c r="K154" s="27"/>
      <c r="L154" s="27"/>
      <c r="M154" s="18" t="s">
        <v>1099</v>
      </c>
      <c r="N154" s="18" t="s">
        <v>1100</v>
      </c>
      <c r="O154" s="18" t="s">
        <v>1101</v>
      </c>
      <c r="P154" s="27"/>
      <c r="S154" s="10" t="str">
        <f>IFERROR(__xludf.DUMMYFUNCTION("GOOGLETRANSLATE(A154,""my"", ""en"")"),"21")</f>
        <v>21</v>
      </c>
      <c r="T154" s="10" t="str">
        <f>IFERROR(__xludf.DUMMYFUNCTION("GOOGLETRANSLATE(B154,""my"", ""en"")"),"မဲဆ  No. (9)")</f>
        <v>မဲဆ  No. (9)</v>
      </c>
      <c r="U154" s="10" t="str">
        <f>IFERROR(__xludf.DUMMYFUNCTION("GOOGLETRANSLATE(C154,""my"", ""en"")"),"9305")</f>
        <v>9305</v>
      </c>
      <c r="V154" s="10" t="str">
        <f>IFERROR(__xludf.DUMMYFUNCTION("GOOGLETRANSLATE(D154,""my"", ""en"")"),"5303")</f>
        <v>5303</v>
      </c>
      <c r="W154" s="10" t="str">
        <f>IFERROR(__xludf.DUMMYFUNCTION("GOOGLETRANSLATE(E154,""my"", ""en"")"),"936")</f>
        <v>936</v>
      </c>
      <c r="X154" s="10" t="str">
        <f>IFERROR(__xludf.DUMMYFUNCTION("GOOGLETRANSLATE(F154,""my"", ""en"")"),"6239")</f>
        <v>6239</v>
      </c>
      <c r="Y154" s="10" t="str">
        <f>IFERROR(__xludf.DUMMYFUNCTION("GOOGLETRANSLATE(G154,""my"", ""en"")"),"67.05")</f>
        <v>67.05</v>
      </c>
      <c r="Z154" s="10" t="str">
        <f>IFERROR(__xludf.DUMMYFUNCTION("GOOGLETRANSLATE(H154,""my"", ""en"")"),"480")</f>
        <v>480</v>
      </c>
      <c r="AA154" s="10" t="str">
        <f>IFERROR(__xludf.DUMMYFUNCTION("GOOGLETRANSLATE(I154,""my"", ""en"")"),"6")</f>
        <v>6</v>
      </c>
      <c r="AB154" s="10" t="str">
        <f>IFERROR(__xludf.DUMMYFUNCTION("GOOGLETRANSLATE(J154,""my"", ""en"")"),"486")</f>
        <v>486</v>
      </c>
      <c r="AE154" s="10" t="str">
        <f>IFERROR(__xludf.DUMMYFUNCTION("GOOGLETRANSLATE(M154,""my"", ""en"")"),"4875")</f>
        <v>4875</v>
      </c>
      <c r="AF154" s="10" t="str">
        <f>IFERROR(__xludf.DUMMYFUNCTION("GOOGLETRANSLATE(N154,""my"", ""en"")"),"878")</f>
        <v>878</v>
      </c>
      <c r="AG154" s="10" t="str">
        <f>IFERROR(__xludf.DUMMYFUNCTION("GOOGLETRANSLATE(O154,""my"", ""en"")"),"5753")</f>
        <v>5753</v>
      </c>
    </row>
    <row r="155" ht="22.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3" t="s">
        <v>1102</v>
      </c>
      <c r="L155" s="23" t="s">
        <v>1103</v>
      </c>
      <c r="M155" s="24" t="s">
        <v>1104</v>
      </c>
      <c r="N155" s="24" t="s">
        <v>1105</v>
      </c>
      <c r="O155" s="24" t="s">
        <v>1106</v>
      </c>
      <c r="P155" s="25" t="s">
        <v>1107</v>
      </c>
      <c r="AC155" s="10" t="str">
        <f>IFERROR(__xludf.DUMMYFUNCTION("GOOGLETRANSLATE(K155,""my"", ""en"")"),"Saw Doh")</f>
        <v>Saw Doh</v>
      </c>
      <c r="AD155" s="10" t="str">
        <f>IFERROR(__xludf.DUMMYFUNCTION("GOOGLETRANSLATE(L155,""my"", ""en"")"),"Kayah State Democratic Party")</f>
        <v>Kayah State Democratic Party</v>
      </c>
      <c r="AE155" s="10" t="str">
        <f>IFERROR(__xludf.DUMMYFUNCTION("GOOGLETRANSLATE(M155,""my"", ""en"")"),"2108")</f>
        <v>2108</v>
      </c>
      <c r="AF155" s="10" t="str">
        <f>IFERROR(__xludf.DUMMYFUNCTION("GOOGLETRANSLATE(N155,""my"", ""en"")"),"317")</f>
        <v>317</v>
      </c>
      <c r="AG155" s="10" t="str">
        <f>IFERROR(__xludf.DUMMYFUNCTION("GOOGLETRANSLATE(O155,""my"", ""en"")"),"2425")</f>
        <v>2425</v>
      </c>
      <c r="AH155" s="10" t="str">
        <f>IFERROR(__xludf.DUMMYFUNCTION("GOOGLETRANSLATE(P155,""my"", ""en"")"),"42.15%")</f>
        <v>42.15%</v>
      </c>
    </row>
    <row r="156" ht="22.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3" t="s">
        <v>1108</v>
      </c>
      <c r="L156" s="23" t="s">
        <v>1109</v>
      </c>
      <c r="M156" s="24" t="s">
        <v>1110</v>
      </c>
      <c r="N156" s="24" t="s">
        <v>1111</v>
      </c>
      <c r="O156" s="24" t="s">
        <v>1112</v>
      </c>
      <c r="P156" s="25" t="s">
        <v>1113</v>
      </c>
      <c r="AC156" s="10" t="str">
        <f>IFERROR(__xludf.DUMMYFUNCTION("GOOGLETRANSLATE(K156,""my"", ""en"")"),"Of the slice data ")</f>
        <v>Of the slice data </v>
      </c>
      <c r="AD156" s="10" t="str">
        <f>IFERROR(__xludf.DUMMYFUNCTION("GOOGLETRANSLATE(L156,""my"", ""en"")")," Game Democracy group   Pop Party")</f>
        <v> Game Democracy group   Pop Party</v>
      </c>
      <c r="AE156" s="10" t="str">
        <f>IFERROR(__xludf.DUMMYFUNCTION("GOOGLETRANSLATE(M156,""my"", ""en"")"),"1361")</f>
        <v>1361</v>
      </c>
      <c r="AF156" s="10" t="str">
        <f>IFERROR(__xludf.DUMMYFUNCTION("GOOGLETRANSLATE(N156,""my"", ""en"")"),"211")</f>
        <v>211</v>
      </c>
      <c r="AG156" s="10" t="str">
        <f>IFERROR(__xludf.DUMMYFUNCTION("GOOGLETRANSLATE(O156,""my"", ""en"")"),"1572")</f>
        <v>1572</v>
      </c>
      <c r="AH156" s="10" t="str">
        <f>IFERROR(__xludf.DUMMYFUNCTION("GOOGLETRANSLATE(P156,""my"", ""en"")"),"27.32%")</f>
        <v>27.32%</v>
      </c>
    </row>
    <row r="157" ht="22.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3" t="s">
        <v>1114</v>
      </c>
      <c r="L157" s="23" t="s">
        <v>1115</v>
      </c>
      <c r="M157" s="24" t="s">
        <v>1116</v>
      </c>
      <c r="N157" s="24" t="s">
        <v>1117</v>
      </c>
      <c r="O157" s="24" t="s">
        <v>1118</v>
      </c>
      <c r="P157" s="25" t="s">
        <v>1119</v>
      </c>
      <c r="AC157" s="10" t="str">
        <f>IFERROR(__xludf.DUMMYFUNCTION("GOOGLETRANSLATE(K157,""my"", ""en"")"),"Salt laughter")</f>
        <v>Salt laughter</v>
      </c>
      <c r="AD157" s="10" t="str">
        <f>IFERROR(__xludf.DUMMYFUNCTION("GOOGLETRANSLATE(L157,""my"", ""en"")"),"Local ေထာင် soap-stone strong ေရး  under development  Phil  ေရး Party")</f>
        <v>Local ေထာင် soap-stone strong ေရး  under development  Phil  ေရး Party</v>
      </c>
      <c r="AE157" s="10" t="str">
        <f>IFERROR(__xludf.DUMMYFUNCTION("GOOGLETRANSLATE(M157,""my"", ""en"")"),"722")</f>
        <v>722</v>
      </c>
      <c r="AF157" s="10" t="str">
        <f>IFERROR(__xludf.DUMMYFUNCTION("GOOGLETRANSLATE(N157,""my"", ""en"")"),"186")</f>
        <v>186</v>
      </c>
      <c r="AG157" s="10" t="str">
        <f>IFERROR(__xludf.DUMMYFUNCTION("GOOGLETRANSLATE(O157,""my"", ""en"")"),"908")</f>
        <v>908</v>
      </c>
      <c r="AH157" s="10" t="str">
        <f>IFERROR(__xludf.DUMMYFUNCTION("GOOGLETRANSLATE(P157,""my"", ""en"")"),"15.78%")</f>
        <v>15.78%</v>
      </c>
    </row>
    <row r="158" ht="24.0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3" t="s">
        <v>1120</v>
      </c>
      <c r="L158" s="23" t="s">
        <v>1121</v>
      </c>
      <c r="M158" s="24" t="s">
        <v>1122</v>
      </c>
      <c r="N158" s="24" t="s">
        <v>1123</v>
      </c>
      <c r="O158" s="24" t="s">
        <v>1124</v>
      </c>
      <c r="P158" s="25" t="s">
        <v>1125</v>
      </c>
      <c r="AC158" s="10" t="str">
        <f>IFERROR(__xludf.DUMMYFUNCTION("GOOGLETRANSLATE(K158,""my"", ""en"")"),"Data  level ")</f>
        <v>Data  level </v>
      </c>
      <c r="AD158" s="10" t="str">
        <f>IFERROR(__xludf.DUMMYFUNCTION("GOOGLETRANSLATE(L158,""my"", ""en"")"),"Personal ")</f>
        <v>Personal </v>
      </c>
      <c r="AE158" s="10" t="str">
        <f>IFERROR(__xludf.DUMMYFUNCTION("GOOGLETRANSLATE(M158,""my"", ""en"")"),"276")</f>
        <v>276</v>
      </c>
      <c r="AF158" s="10" t="str">
        <f>IFERROR(__xludf.DUMMYFUNCTION("GOOGLETRANSLATE(N158,""my"", ""en"")"),"50")</f>
        <v>50</v>
      </c>
      <c r="AG158" s="10" t="str">
        <f>IFERROR(__xludf.DUMMYFUNCTION("GOOGLETRANSLATE(O158,""my"", ""en"")"),"326")</f>
        <v>326</v>
      </c>
      <c r="AH158" s="10" t="str">
        <f>IFERROR(__xludf.DUMMYFUNCTION("GOOGLETRANSLATE(P158,""my"", ""en"")"),"5.66%")</f>
        <v>5.66%</v>
      </c>
    </row>
    <row r="159" ht="22.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3" t="s">
        <v>1126</v>
      </c>
      <c r="L159" s="23" t="s">
        <v>1127</v>
      </c>
      <c r="M159" s="24" t="s">
        <v>1128</v>
      </c>
      <c r="N159" s="24" t="s">
        <v>1129</v>
      </c>
      <c r="O159" s="24" t="s">
        <v>1130</v>
      </c>
      <c r="P159" s="25" t="s">
        <v>1131</v>
      </c>
      <c r="AC159" s="10" t="str">
        <f>IFERROR(__xludf.DUMMYFUNCTION("GOOGLETRANSLATE(K159,""my"", ""en"")"),"Pharaoh ")</f>
        <v>Pharaoh </v>
      </c>
      <c r="AD159" s="10" t="str">
        <f>IFERROR(__xludf.DUMMYFUNCTION("GOOGLETRANSLATE(L159,""my"", ""en"")"),"Local ေထာင် စုေ white  Game ေဆာင် Party")</f>
        <v>Local ေထာင် စုေ white  Game ေဆာင် Party</v>
      </c>
      <c r="AE159" s="10" t="str">
        <f>IFERROR(__xludf.DUMMYFUNCTION("GOOGLETRANSLATE(M159,""my"", ""en"")"),"202")</f>
        <v>202</v>
      </c>
      <c r="AF159" s="10" t="str">
        <f>IFERROR(__xludf.DUMMYFUNCTION("GOOGLETRANSLATE(N159,""my"", ""en"")"),"43")</f>
        <v>43</v>
      </c>
      <c r="AG159" s="10" t="str">
        <f>IFERROR(__xludf.DUMMYFUNCTION("GOOGLETRANSLATE(O159,""my"", ""en"")"),"245")</f>
        <v>245</v>
      </c>
      <c r="AH159" s="10" t="str">
        <f>IFERROR(__xludf.DUMMYFUNCTION("GOOGLETRANSLATE(P159,""my"", ""en"")"),"4.25%")</f>
        <v>4.25%</v>
      </c>
    </row>
    <row r="160" ht="22.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3" t="s">
        <v>1132</v>
      </c>
      <c r="L160" s="23" t="s">
        <v>1133</v>
      </c>
      <c r="M160" s="24" t="s">
        <v>1134</v>
      </c>
      <c r="N160" s="24" t="s">
        <v>1135</v>
      </c>
      <c r="O160" s="24" t="s">
        <v>1136</v>
      </c>
      <c r="P160" s="25" t="s">
        <v>1137</v>
      </c>
      <c r="AC160" s="10" t="str">
        <f>IFERROR(__xludf.DUMMYFUNCTION("GOOGLETRANSLATE(K160,""my"", ""en"")"),"The first bar")</f>
        <v>The first bar</v>
      </c>
      <c r="AD160" s="10" t="str">
        <f>IFERROR(__xludf.DUMMYFUNCTION("GOOGLETRANSLATE(L160,""my"", ""en"")"),"Personal ")</f>
        <v>Personal </v>
      </c>
      <c r="AE160" s="10" t="str">
        <f>IFERROR(__xludf.DUMMYFUNCTION("GOOGLETRANSLATE(M160,""my"", ""en"")"),"184")</f>
        <v>184</v>
      </c>
      <c r="AF160" s="10" t="str">
        <f>IFERROR(__xludf.DUMMYFUNCTION("GOOGLETRANSLATE(N160,""my"", ""en"")"),"60")</f>
        <v>60</v>
      </c>
      <c r="AG160" s="10" t="str">
        <f>IFERROR(__xludf.DUMMYFUNCTION("GOOGLETRANSLATE(O160,""my"", ""en"")"),"244")</f>
        <v>244</v>
      </c>
      <c r="AH160" s="10" t="str">
        <f>IFERROR(__xludf.DUMMYFUNCTION("GOOGLETRANSLATE(P160,""my"", ""en"")"),"4.24%")</f>
        <v>4.24%</v>
      </c>
    </row>
    <row r="161" ht="22.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3" t="s">
        <v>1138</v>
      </c>
      <c r="L161" s="23" t="s">
        <v>1139</v>
      </c>
      <c r="M161" s="24" t="s">
        <v>1140</v>
      </c>
      <c r="N161" s="24" t="s">
        <v>1141</v>
      </c>
      <c r="O161" s="24" t="s">
        <v>1142</v>
      </c>
      <c r="P161" s="25" t="s">
        <v>1143</v>
      </c>
      <c r="AC161" s="10" t="str">
        <f>IFERROR(__xludf.DUMMYFUNCTION("GOOGLETRANSLATE(K161,""my"", ""en"")"),"Htike ေအာင်")</f>
        <v>Htike ေအာင်</v>
      </c>
      <c r="AD161" s="10" t="str">
        <f>IFERROR(__xludf.DUMMYFUNCTION("GOOGLETRANSLATE(L161,""my"", ""en"")")," Game Democracy Force")</f>
        <v> Game Democracy Force</v>
      </c>
      <c r="AE161" s="10" t="str">
        <f>IFERROR(__xludf.DUMMYFUNCTION("GOOGLETRANSLATE(M161,""my"", ""en"")"),"22")</f>
        <v>22</v>
      </c>
      <c r="AF161" s="10" t="str">
        <f>IFERROR(__xludf.DUMMYFUNCTION("GOOGLETRANSLATE(N161,""my"", ""en"")"),"11")</f>
        <v>11</v>
      </c>
      <c r="AG161" s="10" t="str">
        <f>IFERROR(__xludf.DUMMYFUNCTION("GOOGLETRANSLATE(O161,""my"", ""en"")"),"33")</f>
        <v>33</v>
      </c>
      <c r="AH161" s="10" t="str">
        <f>IFERROR(__xludf.DUMMYFUNCTION("GOOGLETRANSLATE(P161,""my"", ""en"")"),"0.60%")</f>
        <v>0.60%</v>
      </c>
    </row>
    <row r="162" ht="21.75" customHeight="1">
      <c r="A162" s="28" t="s">
        <v>1144</v>
      </c>
      <c r="B162" s="17" t="s">
        <v>1145</v>
      </c>
      <c r="C162" s="18" t="s">
        <v>1146</v>
      </c>
      <c r="D162" s="18" t="s">
        <v>1147</v>
      </c>
      <c r="E162" s="18" t="s">
        <v>1148</v>
      </c>
      <c r="F162" s="18" t="s">
        <v>1149</v>
      </c>
      <c r="G162" s="18" t="s">
        <v>1150</v>
      </c>
      <c r="H162" s="18" t="s">
        <v>1151</v>
      </c>
      <c r="I162" s="18" t="s">
        <v>1152</v>
      </c>
      <c r="J162" s="18" t="s">
        <v>1153</v>
      </c>
      <c r="K162" s="27"/>
      <c r="L162" s="27"/>
      <c r="M162" s="18" t="s">
        <v>1154</v>
      </c>
      <c r="N162" s="18" t="s">
        <v>1155</v>
      </c>
      <c r="O162" s="18" t="s">
        <v>1156</v>
      </c>
      <c r="P162" s="27"/>
      <c r="S162" s="10" t="str">
        <f>IFERROR(__xludf.DUMMYFUNCTION("GOOGLETRANSLATE(A162,""my"", ""en"")"),"22")</f>
        <v>22</v>
      </c>
      <c r="T162" s="10" t="str">
        <f>IFERROR(__xludf.DUMMYFUNCTION("GOOGLETRANSLATE(B162,""my"", ""en"")"),"မဲဆ  No. (10)")</f>
        <v>မဲဆ  No. (10)</v>
      </c>
      <c r="U162" s="10" t="str">
        <f>IFERROR(__xludf.DUMMYFUNCTION("GOOGLETRANSLATE(C162,""my"", ""en"")"),"5628")</f>
        <v>5628</v>
      </c>
      <c r="V162" s="10" t="str">
        <f>IFERROR(__xludf.DUMMYFUNCTION("GOOGLETRANSLATE(D162,""my"", ""en"")"),"3205")</f>
        <v>3205</v>
      </c>
      <c r="W162" s="10" t="str">
        <f>IFERROR(__xludf.DUMMYFUNCTION("GOOGLETRANSLATE(E162,""my"", ""en"")"),"1105")</f>
        <v>1105</v>
      </c>
      <c r="X162" s="10" t="str">
        <f>IFERROR(__xludf.DUMMYFUNCTION("GOOGLETRANSLATE(F162,""my"", ""en"")"),"4310")</f>
        <v>4310</v>
      </c>
      <c r="Y162" s="10" t="str">
        <f>IFERROR(__xludf.DUMMYFUNCTION("GOOGLETRANSLATE(G162,""my"", ""en"")"),"76.58")</f>
        <v>76.58</v>
      </c>
      <c r="Z162" s="10" t="str">
        <f>IFERROR(__xludf.DUMMYFUNCTION("GOOGLETRANSLATE(H162,""my"", ""en"")"),"191")</f>
        <v>191</v>
      </c>
      <c r="AA162" s="10" t="str">
        <f>IFERROR(__xludf.DUMMYFUNCTION("GOOGLETRANSLATE(I162,""my"", ""en"")"),"2")</f>
        <v>2</v>
      </c>
      <c r="AB162" s="10" t="str">
        <f>IFERROR(__xludf.DUMMYFUNCTION("GOOGLETRANSLATE(J162,""my"", ""en"")"),"193")</f>
        <v>193</v>
      </c>
      <c r="AE162" s="10" t="str">
        <f>IFERROR(__xludf.DUMMYFUNCTION("GOOGLETRANSLATE(M162,""my"", ""en"")"),"3062")</f>
        <v>3062</v>
      </c>
      <c r="AF162" s="10" t="str">
        <f>IFERROR(__xludf.DUMMYFUNCTION("GOOGLETRANSLATE(N162,""my"", ""en"")"),"1055")</f>
        <v>1055</v>
      </c>
      <c r="AG162" s="10" t="str">
        <f>IFERROR(__xludf.DUMMYFUNCTION("GOOGLETRANSLATE(O162,""my"", ""en"")"),"4117")</f>
        <v>4117</v>
      </c>
    </row>
    <row r="163" ht="24.0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3" t="s">
        <v>1157</v>
      </c>
      <c r="L163" s="23" t="s">
        <v>1158</v>
      </c>
      <c r="M163" s="24" t="s">
        <v>1159</v>
      </c>
      <c r="N163" s="24" t="s">
        <v>1160</v>
      </c>
      <c r="O163" s="24" t="s">
        <v>1161</v>
      </c>
      <c r="P163" s="25" t="s">
        <v>1162</v>
      </c>
      <c r="AC163" s="10" t="str">
        <f>IFERROR(__xludf.DUMMYFUNCTION("GOOGLETRANSLATE(K163,""my"", ""en"")"),"Read mixed laugh ေညး")</f>
        <v>Read mixed laugh ေညး</v>
      </c>
      <c r="AD163" s="10" t="str">
        <f>IFERROR(__xludf.DUMMYFUNCTION("GOOGLETRANSLATE(L163,""my"", ""en"")"),"Kayah State Democratic Party")</f>
        <v>Kayah State Democratic Party</v>
      </c>
      <c r="AE163" s="10" t="str">
        <f>IFERROR(__xludf.DUMMYFUNCTION("GOOGLETRANSLATE(M163,""my"", ""en"")"),"1542")</f>
        <v>1542</v>
      </c>
      <c r="AF163" s="10" t="str">
        <f>IFERROR(__xludf.DUMMYFUNCTION("GOOGLETRANSLATE(N163,""my"", ""en"")"),"213")</f>
        <v>213</v>
      </c>
      <c r="AG163" s="10" t="str">
        <f>IFERROR(__xludf.DUMMYFUNCTION("GOOGLETRANSLATE(O163,""my"", ""en"")"),"1755")</f>
        <v>1755</v>
      </c>
      <c r="AH163" s="10" t="str">
        <f>IFERROR(__xludf.DUMMYFUNCTION("GOOGLETRANSLATE(P163,""my"", ""en"")"),"42.63%")</f>
        <v>42.63%</v>
      </c>
    </row>
    <row r="164" ht="22.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3" t="s">
        <v>1163</v>
      </c>
      <c r="L164" s="23" t="s">
        <v>1164</v>
      </c>
      <c r="M164" s="24" t="s">
        <v>1165</v>
      </c>
      <c r="N164" s="24" t="s">
        <v>1166</v>
      </c>
      <c r="O164" s="24" t="s">
        <v>1167</v>
      </c>
      <c r="P164" s="25" t="s">
        <v>1168</v>
      </c>
      <c r="AC164" s="10" t="str">
        <f>IFERROR(__xludf.DUMMYFUNCTION("GOOGLETRANSLATE(K164,""my"", ""en"")"),"U Win")</f>
        <v>U Win</v>
      </c>
      <c r="AD164" s="10" t="str">
        <f>IFERROR(__xludf.DUMMYFUNCTION("GOOGLETRANSLATE(L164,""my"", ""en"")"),"Local ေထာင် soap-stone strong ေရး  under development  Phil  ေရး Party")</f>
        <v>Local ေထာင် soap-stone strong ေရး  under development  Phil  ေရး Party</v>
      </c>
      <c r="AE164" s="10" t="str">
        <f>IFERROR(__xludf.DUMMYFUNCTION("GOOGLETRANSLATE(M164,""my"", ""en"")"),"640")</f>
        <v>640</v>
      </c>
      <c r="AF164" s="10" t="str">
        <f>IFERROR(__xludf.DUMMYFUNCTION("GOOGLETRANSLATE(N164,""my"", ""en"")"),"554")</f>
        <v>554</v>
      </c>
      <c r="AG164" s="10" t="str">
        <f>IFERROR(__xludf.DUMMYFUNCTION("GOOGLETRANSLATE(O164,""my"", ""en"")"),"1194")</f>
        <v>1194</v>
      </c>
      <c r="AH164" s="10" t="str">
        <f>IFERROR(__xludf.DUMMYFUNCTION("GOOGLETRANSLATE(P164,""my"", ""en"")"),"29.00%")</f>
        <v>29.00%</v>
      </c>
    </row>
    <row r="165" ht="24.0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3" t="s">
        <v>1169</v>
      </c>
      <c r="L165" s="23" t="s">
        <v>1170</v>
      </c>
      <c r="M165" s="24" t="s">
        <v>1171</v>
      </c>
      <c r="N165" s="24" t="s">
        <v>1172</v>
      </c>
      <c r="O165" s="24" t="s">
        <v>1173</v>
      </c>
      <c r="P165" s="25" t="s">
        <v>1174</v>
      </c>
      <c r="AC165" s="10" t="str">
        <f>IFERROR(__xludf.DUMMYFUNCTION("GOOGLETRANSLATE(K165,""my"", ""en"")"),"ေအာင် over ေကျာ")</f>
        <v>ေအာင် over ေကျာ</v>
      </c>
      <c r="AD165" s="10" t="str">
        <f>IFERROR(__xludf.DUMMYFUNCTION("GOOGLETRANSLATE(L165,""my"", ""en"")")," Game Democracy group   Pop Party")</f>
        <v> Game Democracy group   Pop Party</v>
      </c>
      <c r="AE165" s="10" t="str">
        <f>IFERROR(__xludf.DUMMYFUNCTION("GOOGLETRANSLATE(M165,""my"", ""en"")"),"604")</f>
        <v>604</v>
      </c>
      <c r="AF165" s="10" t="str">
        <f>IFERROR(__xludf.DUMMYFUNCTION("GOOGLETRANSLATE(N165,""my"", ""en"")"),"209")</f>
        <v>209</v>
      </c>
      <c r="AG165" s="10" t="str">
        <f>IFERROR(__xludf.DUMMYFUNCTION("GOOGLETRANSLATE(O165,""my"", ""en"")"),"813")</f>
        <v>813</v>
      </c>
      <c r="AH165" s="10" t="str">
        <f>IFERROR(__xludf.DUMMYFUNCTION("GOOGLETRANSLATE(P165,""my"", ""en"")"),"19.75%")</f>
        <v>19.75%</v>
      </c>
    </row>
    <row r="166" ht="33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2" t="s">
        <v>1175</v>
      </c>
      <c r="L166" s="23" t="s">
        <v>1176</v>
      </c>
      <c r="M166" s="24" t="s">
        <v>1177</v>
      </c>
      <c r="N166" s="24" t="s">
        <v>1178</v>
      </c>
      <c r="O166" s="24" t="s">
        <v>1179</v>
      </c>
      <c r="P166" s="25" t="s">
        <v>1180</v>
      </c>
      <c r="AC166" s="10" t="str">
        <f>IFERROR(__xludf.DUMMYFUNCTION("GOOGLETRANSLATE(K166,""my"", ""en"")"),"ေဒ  Than Than Lwin (b)
Data  church")</f>
        <v>ေဒ  Than Than Lwin (b)
Data  church</v>
      </c>
      <c r="AD166" s="10" t="str">
        <f>IFERROR(__xludf.DUMMYFUNCTION("GOOGLETRANSLATE(L166,""my"", ""en"")"),"Local ေထာင် စုေ white  Game ေဆာင် Party")</f>
        <v>Local ေထာင် စုေ white  Game ေဆာင် Party</v>
      </c>
      <c r="AE166" s="10" t="str">
        <f>IFERROR(__xludf.DUMMYFUNCTION("GOOGLETRANSLATE(M166,""my"", ""en"")"),"250")</f>
        <v>250</v>
      </c>
      <c r="AF166" s="10" t="str">
        <f>IFERROR(__xludf.DUMMYFUNCTION("GOOGLETRANSLATE(N166,""my"", ""en"")"),"71")</f>
        <v>71</v>
      </c>
      <c r="AG166" s="10" t="str">
        <f>IFERROR(__xludf.DUMMYFUNCTION("GOOGLETRANSLATE(O166,""my"", ""en"")"),"321")</f>
        <v>321</v>
      </c>
      <c r="AH166" s="10" t="str">
        <f>IFERROR(__xludf.DUMMYFUNCTION("GOOGLETRANSLATE(P166,""my"", ""en"")"),"7.80%")</f>
        <v>7.80%</v>
      </c>
    </row>
    <row r="167" ht="23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3" t="s">
        <v>1181</v>
      </c>
      <c r="L167" s="23" t="s">
        <v>1182</v>
      </c>
      <c r="M167" s="24" t="s">
        <v>1183</v>
      </c>
      <c r="N167" s="24" t="s">
        <v>1184</v>
      </c>
      <c r="O167" s="24" t="s">
        <v>1185</v>
      </c>
      <c r="P167" s="25" t="s">
        <v>1186</v>
      </c>
      <c r="AC167" s="10" t="str">
        <f>IFERROR(__xludf.DUMMYFUNCTION("GOOGLETRANSLATE(K167,""my"", ""en"")"),"U Thein")</f>
        <v>U Thein</v>
      </c>
      <c r="AD167" s="10" t="str">
        <f>IFERROR(__xludf.DUMMYFUNCTION("GOOGLETRANSLATE(L167,""my"", ""en"")")," Game Democracy Force")</f>
        <v> Game Democracy Force</v>
      </c>
      <c r="AE167" s="10" t="str">
        <f>IFERROR(__xludf.DUMMYFUNCTION("GOOGLETRANSLATE(M167,""my"", ""en"")"),"26")</f>
        <v>26</v>
      </c>
      <c r="AF167" s="10" t="str">
        <f>IFERROR(__xludf.DUMMYFUNCTION("GOOGLETRANSLATE(N167,""my"", ""en"")"),"8")</f>
        <v>8</v>
      </c>
      <c r="AG167" s="10" t="str">
        <f>IFERROR(__xludf.DUMMYFUNCTION("GOOGLETRANSLATE(O167,""my"", ""en"")"),"34")</f>
        <v>34</v>
      </c>
      <c r="AH167" s="10" t="str">
        <f>IFERROR(__xludf.DUMMYFUNCTION("GOOGLETRANSLATE(P167,""my"", ""en"")"),"0.82%")</f>
        <v>0.82%</v>
      </c>
    </row>
    <row r="168" ht="22.5" customHeight="1">
      <c r="A168" s="28" t="s">
        <v>1187</v>
      </c>
      <c r="B168" s="17" t="s">
        <v>1188</v>
      </c>
      <c r="C168" s="18" t="s">
        <v>1189</v>
      </c>
      <c r="D168" s="18" t="s">
        <v>1190</v>
      </c>
      <c r="E168" s="18" t="s">
        <v>1191</v>
      </c>
      <c r="F168" s="18" t="s">
        <v>1192</v>
      </c>
      <c r="G168" s="18" t="s">
        <v>1193</v>
      </c>
      <c r="H168" s="18" t="s">
        <v>1194</v>
      </c>
      <c r="I168" s="18" t="s">
        <v>1195</v>
      </c>
      <c r="J168" s="18" t="s">
        <v>1196</v>
      </c>
      <c r="K168" s="27"/>
      <c r="L168" s="27"/>
      <c r="M168" s="18" t="s">
        <v>1197</v>
      </c>
      <c r="N168" s="18" t="s">
        <v>1198</v>
      </c>
      <c r="O168" s="18" t="s">
        <v>1199</v>
      </c>
      <c r="P168" s="27"/>
      <c r="S168" s="10" t="str">
        <f>IFERROR(__xludf.DUMMYFUNCTION("GOOGLETRANSLATE(A168,""my"", ""en"")"),"23")</f>
        <v>23</v>
      </c>
      <c r="T168" s="10" t="str">
        <f>IFERROR(__xludf.DUMMYFUNCTION("GOOGLETRANSLATE(B168,""my"", ""en"")"),"မဲဆ  No. (11)")</f>
        <v>မဲဆ  No. (11)</v>
      </c>
      <c r="U168" s="10" t="str">
        <f>IFERROR(__xludf.DUMMYFUNCTION("GOOGLETRANSLATE(C168,""my"", ""en"")"),"49800")</f>
        <v>49800</v>
      </c>
      <c r="V168" s="10" t="str">
        <f>IFERROR(__xludf.DUMMYFUNCTION("GOOGLETRANSLATE(D168,""my"", ""en"")"),"29375")</f>
        <v>29375</v>
      </c>
      <c r="W168" s="10" t="str">
        <f>IFERROR(__xludf.DUMMYFUNCTION("GOOGLETRANSLATE(E168,""my"", ""en"")"),"8067")</f>
        <v>8067</v>
      </c>
      <c r="X168" s="10" t="str">
        <f>IFERROR(__xludf.DUMMYFUNCTION("GOOGLETRANSLATE(F168,""my"", ""en"")"),"37442")</f>
        <v>37442</v>
      </c>
      <c r="Y168" s="10" t="str">
        <f>IFERROR(__xludf.DUMMYFUNCTION("GOOGLETRANSLATE(G168,""my"", ""en"")"),"75.18")</f>
        <v>75.18</v>
      </c>
      <c r="Z168" s="10" t="str">
        <f>IFERROR(__xludf.DUMMYFUNCTION("GOOGLETRANSLATE(H168,""my"", ""en"")"),"1447")</f>
        <v>1447</v>
      </c>
      <c r="AA168" s="10" t="str">
        <f>IFERROR(__xludf.DUMMYFUNCTION("GOOGLETRANSLATE(I168,""my"", ""en"")"),"21")</f>
        <v>21</v>
      </c>
      <c r="AB168" s="10" t="str">
        <f>IFERROR(__xludf.DUMMYFUNCTION("GOOGLETRANSLATE(J168,""my"", ""en"")"),"1468")</f>
        <v>1468</v>
      </c>
      <c r="AE168" s="10" t="str">
        <f>IFERROR(__xludf.DUMMYFUNCTION("GOOGLETRANSLATE(M168,""my"", ""en"")"),"27911")</f>
        <v>27911</v>
      </c>
      <c r="AF168" s="10" t="str">
        <f>IFERROR(__xludf.DUMMYFUNCTION("GOOGLETRANSLATE(N168,""my"", ""en"")"),"8063")</f>
        <v>8063</v>
      </c>
      <c r="AG168" s="10" t="str">
        <f>IFERROR(__xludf.DUMMYFUNCTION("GOOGLETRANSLATE(O168,""my"", ""en"")"),"35974")</f>
        <v>35974</v>
      </c>
    </row>
    <row r="169" ht="22.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3" t="s">
        <v>1200</v>
      </c>
      <c r="L169" s="23" t="s">
        <v>1201</v>
      </c>
      <c r="M169" s="24" t="s">
        <v>1202</v>
      </c>
      <c r="N169" s="24" t="s">
        <v>1203</v>
      </c>
      <c r="O169" s="24" t="s">
        <v>1204</v>
      </c>
      <c r="P169" s="25" t="s">
        <v>1205</v>
      </c>
      <c r="AC169" s="10" t="str">
        <f>IFERROR(__xludf.DUMMYFUNCTION("GOOGLETRANSLATE(K169,""my"", ""en"")"),"Laugh ေြ")</f>
        <v>Laugh ေြ</v>
      </c>
      <c r="AD169" s="10" t="str">
        <f>IFERROR(__xludf.DUMMYFUNCTION("GOOGLETRANSLATE(L169,""my"", ""en"")")," Game Democracy group   Pop Party")</f>
        <v> Game Democracy group   Pop Party</v>
      </c>
      <c r="AE169" s="10" t="str">
        <f>IFERROR(__xludf.DUMMYFUNCTION("GOOGLETRANSLATE(M169,""my"", ""en"")"),"15166")</f>
        <v>15166</v>
      </c>
      <c r="AF169" s="10" t="str">
        <f>IFERROR(__xludf.DUMMYFUNCTION("GOOGLETRANSLATE(N169,""my"", ""en"")"),"3961")</f>
        <v>3961</v>
      </c>
      <c r="AG169" s="10" t="str">
        <f>IFERROR(__xludf.DUMMYFUNCTION("GOOGLETRANSLATE(O169,""my"", ""en"")"),"19127")</f>
        <v>19127</v>
      </c>
      <c r="AH169" s="10" t="str">
        <f>IFERROR(__xludf.DUMMYFUNCTION("GOOGLETRANSLATE(P169,""my"", ""en"")"),"53.17%")</f>
        <v>53.17%</v>
      </c>
    </row>
    <row r="170" ht="24.0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3" t="s">
        <v>1206</v>
      </c>
      <c r="L170" s="23" t="s">
        <v>1207</v>
      </c>
      <c r="M170" s="24" t="s">
        <v>1208</v>
      </c>
      <c r="N170" s="24" t="s">
        <v>1209</v>
      </c>
      <c r="O170" s="24" t="s">
        <v>1210</v>
      </c>
      <c r="P170" s="25" t="s">
        <v>1211</v>
      </c>
      <c r="AC170" s="10" t="str">
        <f>IFERROR(__xludf.DUMMYFUNCTION("GOOGLETRANSLATE(K170,""my"", ""en"")"),"ေဒ  Marie Tun")</f>
        <v>ေဒ  Marie Tun</v>
      </c>
      <c r="AD170" s="10" t="str">
        <f>IFERROR(__xludf.DUMMYFUNCTION("GOOGLETRANSLATE(L170,""my"", ""en"")"),"Kayah State Democratic Party")</f>
        <v>Kayah State Democratic Party</v>
      </c>
      <c r="AE170" s="10" t="str">
        <f>IFERROR(__xludf.DUMMYFUNCTION("GOOGLETRANSLATE(M170,""my"", ""en"")"),"5504")</f>
        <v>5504</v>
      </c>
      <c r="AF170" s="10" t="str">
        <f>IFERROR(__xludf.DUMMYFUNCTION("GOOGLETRANSLATE(N170,""my"", ""en"")"),"1522")</f>
        <v>1522</v>
      </c>
      <c r="AG170" s="10" t="str">
        <f>IFERROR(__xludf.DUMMYFUNCTION("GOOGLETRANSLATE(O170,""my"", ""en"")"),"7026")</f>
        <v>7026</v>
      </c>
      <c r="AH170" s="10" t="str">
        <f>IFERROR(__xludf.DUMMYFUNCTION("GOOGLETRANSLATE(P170,""my"", ""en"")"),"19.53%")</f>
        <v>19.53%</v>
      </c>
    </row>
    <row r="171" ht="22.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3" t="s">
        <v>1212</v>
      </c>
      <c r="L171" s="23" t="s">
        <v>1213</v>
      </c>
      <c r="M171" s="24" t="s">
        <v>1214</v>
      </c>
      <c r="N171" s="24" t="s">
        <v>1215</v>
      </c>
      <c r="O171" s="24" t="s">
        <v>1216</v>
      </c>
      <c r="P171" s="25" t="s">
        <v>1217</v>
      </c>
      <c r="AC171" s="10" t="str">
        <f>IFERROR(__xludf.DUMMYFUNCTION("GOOGLETRANSLATE(K171,""my"", ""en"")"),"Poe Reh ေအာင် Thein")</f>
        <v>Poe Reh ေအာင် Thein</v>
      </c>
      <c r="AD171" s="10" t="str">
        <f>IFERROR(__xludf.DUMMYFUNCTION("GOOGLETRANSLATE(L171,""my"", ""en"")"),"Local ေထာင် soap-stone strong ေရး  under development  Phil  ေရး Party")</f>
        <v>Local ေထာင် soap-stone strong ေရး  under development  Phil  ေရး Party</v>
      </c>
      <c r="AE171" s="10" t="str">
        <f>IFERROR(__xludf.DUMMYFUNCTION("GOOGLETRANSLATE(M171,""my"", ""en"")"),"3694")</f>
        <v>3694</v>
      </c>
      <c r="AF171" s="10" t="str">
        <f>IFERROR(__xludf.DUMMYFUNCTION("GOOGLETRANSLATE(N171,""my"", ""en"")"),"1546")</f>
        <v>1546</v>
      </c>
      <c r="AG171" s="10" t="str">
        <f>IFERROR(__xludf.DUMMYFUNCTION("GOOGLETRANSLATE(O171,""my"", ""en"")"),"5240")</f>
        <v>5240</v>
      </c>
      <c r="AH171" s="10" t="str">
        <f>IFERROR(__xludf.DUMMYFUNCTION("GOOGLETRANSLATE(P171,""my"", ""en"")"),"14.57%")</f>
        <v>14.57%</v>
      </c>
    </row>
    <row r="172" ht="22.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3" t="s">
        <v>1218</v>
      </c>
      <c r="L172" s="23" t="s">
        <v>1219</v>
      </c>
      <c r="M172" s="24" t="s">
        <v>1220</v>
      </c>
      <c r="N172" s="24" t="s">
        <v>1221</v>
      </c>
      <c r="O172" s="24" t="s">
        <v>1222</v>
      </c>
      <c r="P172" s="25" t="s">
        <v>1223</v>
      </c>
      <c r="AC172" s="10" t="str">
        <f>IFERROR(__xludf.DUMMYFUNCTION("GOOGLETRANSLATE(K172,""my"", ""en"")"),"Khun ေအာင် ေဇ")</f>
        <v>Khun ေအာင် ေဇ</v>
      </c>
      <c r="AD172" s="10" t="str">
        <f>IFERROR(__xludf.DUMMYFUNCTION("GOOGLETRANSLATE(L172,""my"", ""en"")"),"Pa -shaped members   Pop Party")</f>
        <v>Pa -shaped members   Pop Party</v>
      </c>
      <c r="AE172" s="10" t="str">
        <f>IFERROR(__xludf.DUMMYFUNCTION("GOOGLETRANSLATE(M172,""my"", ""en"")"),"1904")</f>
        <v>1904</v>
      </c>
      <c r="AF172" s="10" t="str">
        <f>IFERROR(__xludf.DUMMYFUNCTION("GOOGLETRANSLATE(N172,""my"", ""en"")"),"249")</f>
        <v>249</v>
      </c>
      <c r="AG172" s="10" t="str">
        <f>IFERROR(__xludf.DUMMYFUNCTION("GOOGLETRANSLATE(O172,""my"", ""en"")"),"2153")</f>
        <v>2153</v>
      </c>
      <c r="AH172" s="10" t="str">
        <f>IFERROR(__xludf.DUMMYFUNCTION("GOOGLETRANSLATE(P172,""my"", ""en"")"),"5.98%")</f>
        <v>5.98%</v>
      </c>
    </row>
    <row r="173" ht="22.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3" t="s">
        <v>1224</v>
      </c>
      <c r="L173" s="23" t="s">
        <v>1225</v>
      </c>
      <c r="M173" s="24" t="s">
        <v>1226</v>
      </c>
      <c r="N173" s="24" t="s">
        <v>1227</v>
      </c>
      <c r="O173" s="24" t="s">
        <v>1228</v>
      </c>
      <c r="P173" s="25" t="s">
        <v>1229</v>
      </c>
      <c r="AC173" s="10" t="str">
        <f>IFERROR(__xludf.DUMMYFUNCTION("GOOGLETRANSLATE(K173,""my"", ""en"")"),"Data ")</f>
        <v>Data </v>
      </c>
      <c r="AD173" s="10" t="str">
        <f>IFERROR(__xludf.DUMMYFUNCTION("GOOGLETRANSLATE(L173,""my"", ""en"")"),"Ethnic unity  working party ေရး")</f>
        <v>Ethnic unity  working party ေရး</v>
      </c>
      <c r="AE173" s="10" t="str">
        <f>IFERROR(__xludf.DUMMYFUNCTION("GOOGLETRANSLATE(M173,""my"", ""en"")"),"492")</f>
        <v>492</v>
      </c>
      <c r="AF173" s="10" t="str">
        <f>IFERROR(__xludf.DUMMYFUNCTION("GOOGLETRANSLATE(N173,""my"", ""en"")"),"220")</f>
        <v>220</v>
      </c>
      <c r="AG173" s="10" t="str">
        <f>IFERROR(__xludf.DUMMYFUNCTION("GOOGLETRANSLATE(O173,""my"", ""en"")"),"712")</f>
        <v>712</v>
      </c>
      <c r="AH173" s="10" t="str">
        <f>IFERROR(__xludf.DUMMYFUNCTION("GOOGLETRANSLATE(P173,""my"", ""en"")"),"1.98%")</f>
        <v>1.98%</v>
      </c>
    </row>
    <row r="174" ht="22.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3" t="s">
        <v>1230</v>
      </c>
      <c r="L174" s="23" t="s">
        <v>1231</v>
      </c>
      <c r="M174" s="24" t="s">
        <v>1232</v>
      </c>
      <c r="N174" s="24" t="s">
        <v>1233</v>
      </c>
      <c r="O174" s="24" t="s">
        <v>1234</v>
      </c>
      <c r="P174" s="25" t="s">
        <v>1235</v>
      </c>
      <c r="AC174" s="10" t="str">
        <f>IFERROR(__xludf.DUMMYFUNCTION("GOOGLETRANSLATE(K174,""my"", ""en"")"),"First look")</f>
        <v>First look</v>
      </c>
      <c r="AD174" s="10" t="str">
        <f>IFERROR(__xludf.DUMMYFUNCTION("GOOGLETRANSLATE(L174,""my"", ""en"")"),"Local ေထာင် စုေ white  Game ေဆာင် Party")</f>
        <v>Local ေထာင် စုေ white  Game ေဆာင် Party</v>
      </c>
      <c r="AE174" s="10" t="str">
        <f>IFERROR(__xludf.DUMMYFUNCTION("GOOGLETRANSLATE(M174,""my"", ""en"")"),"374")</f>
        <v>374</v>
      </c>
      <c r="AF174" s="10" t="str">
        <f>IFERROR(__xludf.DUMMYFUNCTION("GOOGLETRANSLATE(N174,""my"", ""en"")"),"267")</f>
        <v>267</v>
      </c>
      <c r="AG174" s="10" t="str">
        <f>IFERROR(__xludf.DUMMYFUNCTION("GOOGLETRANSLATE(O174,""my"", ""en"")"),"641")</f>
        <v>641</v>
      </c>
      <c r="AH174" s="10" t="str">
        <f>IFERROR(__xludf.DUMMYFUNCTION("GOOGLETRANSLATE(P174,""my"", ""en"")"),"1.78%")</f>
        <v>1.78%</v>
      </c>
    </row>
    <row r="175" ht="24.0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3" t="s">
        <v>1236</v>
      </c>
      <c r="L175" s="23" t="s">
        <v>1237</v>
      </c>
      <c r="M175" s="24" t="s">
        <v>1238</v>
      </c>
      <c r="N175" s="24" t="s">
        <v>1239</v>
      </c>
      <c r="O175" s="24" t="s">
        <v>1240</v>
      </c>
      <c r="P175" s="25" t="s">
        <v>1241</v>
      </c>
      <c r="AC175" s="10" t="str">
        <f>IFERROR(__xludf.DUMMYFUNCTION("GOOGLETRANSLATE(K175,""my"", ""en"")"),"ေဇာ answer")</f>
        <v>ေဇာ answer</v>
      </c>
      <c r="AD175" s="10" t="str">
        <f>IFERROR(__xludf.DUMMYFUNCTION("GOOGLETRANSLATE(L175,""my"", ""en"")")," Game Democracy Force")</f>
        <v> Game Democracy Force</v>
      </c>
      <c r="AE175" s="10" t="str">
        <f>IFERROR(__xludf.DUMMYFUNCTION("GOOGLETRANSLATE(M175,""my"", ""en"")"),"298")</f>
        <v>298</v>
      </c>
      <c r="AF175" s="10" t="str">
        <f>IFERROR(__xludf.DUMMYFUNCTION("GOOGLETRANSLATE(N175,""my"", ""en"")"),"125")</f>
        <v>125</v>
      </c>
      <c r="AG175" s="10" t="str">
        <f>IFERROR(__xludf.DUMMYFUNCTION("GOOGLETRANSLATE(O175,""my"", ""en"")"),"423")</f>
        <v>423</v>
      </c>
      <c r="AH175" s="10" t="str">
        <f>IFERROR(__xludf.DUMMYFUNCTION("GOOGLETRANSLATE(P175,""my"", ""en"")"),"1.18%")</f>
        <v>1.18%</v>
      </c>
    </row>
    <row r="176" ht="22.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6" t="s">
        <v>1242</v>
      </c>
      <c r="L176" s="40" t="s">
        <v>1243</v>
      </c>
      <c r="M176" s="41" t="s">
        <v>1244</v>
      </c>
      <c r="N176" s="41" t="s">
        <v>1245</v>
      </c>
      <c r="O176" s="37" t="s">
        <v>1246</v>
      </c>
      <c r="P176" s="38" t="s">
        <v>1247</v>
      </c>
      <c r="AC176" s="10" t="str">
        <f>IFERROR(__xludf.DUMMYFUNCTION("GOOGLETRANSLATE(K176,""my"", ""en"")"),"ေဇာ  Game")</f>
        <v>ေဇာ  Game</v>
      </c>
      <c r="AD176" s="10" t="str">
        <f>IFERROR(__xludf.DUMMYFUNCTION("GOOGLETRANSLATE(L176,""my"", ""en"")"),"In the Shan Nationalities League for Democracy members   Party")</f>
        <v>In the Shan Nationalities League for Democracy members   Party</v>
      </c>
      <c r="AE176" s="10" t="str">
        <f>IFERROR(__xludf.DUMMYFUNCTION("GOOGLETRANSLATE(M176,""my"", ""en"")"),"298")</f>
        <v>298</v>
      </c>
      <c r="AF176" s="10" t="str">
        <f>IFERROR(__xludf.DUMMYFUNCTION("GOOGLETRANSLATE(N176,""my"", ""en"")"),"71")</f>
        <v>71</v>
      </c>
      <c r="AG176" s="10" t="str">
        <f>IFERROR(__xludf.DUMMYFUNCTION("GOOGLETRANSLATE(O176,""my"", ""en"")"),"369")</f>
        <v>369</v>
      </c>
      <c r="AH176" s="10" t="str">
        <f>IFERROR(__xludf.DUMMYFUNCTION("GOOGLETRANSLATE(P176,""my"", ""en"")"),"1.02%")</f>
        <v>1.02%</v>
      </c>
    </row>
    <row r="177" ht="22.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6" t="s">
        <v>1248</v>
      </c>
      <c r="L177" s="36" t="s">
        <v>1249</v>
      </c>
      <c r="M177" s="37" t="s">
        <v>1250</v>
      </c>
      <c r="N177" s="37" t="s">
        <v>1251</v>
      </c>
      <c r="O177" s="37" t="s">
        <v>1252</v>
      </c>
      <c r="P177" s="38" t="s">
        <v>1253</v>
      </c>
      <c r="AC177" s="10" t="str">
        <f>IFERROR(__xludf.DUMMYFUNCTION("GOOGLETRANSLATE(K177,""my"", ""en"")"),"San")</f>
        <v>San</v>
      </c>
      <c r="AD177" s="10" t="str">
        <f>IFERROR(__xludf.DUMMYFUNCTION("GOOGLETRANSLATE(L177,""my"", ""en"")")," Game  Democratic Party political-Fi")</f>
        <v> Game  Democratic Party political-Fi</v>
      </c>
      <c r="AE177" s="10" t="str">
        <f>IFERROR(__xludf.DUMMYFUNCTION("GOOGLETRANSLATE(M177,""my"", ""en"")"),"181")</f>
        <v>181</v>
      </c>
      <c r="AF177" s="10" t="str">
        <f>IFERROR(__xludf.DUMMYFUNCTION("GOOGLETRANSLATE(N177,""my"", ""en"")"),"102")</f>
        <v>102</v>
      </c>
      <c r="AG177" s="10" t="str">
        <f>IFERROR(__xludf.DUMMYFUNCTION("GOOGLETRANSLATE(O177,""my"", ""en"")"),"283")</f>
        <v>283</v>
      </c>
      <c r="AH177" s="10" t="str">
        <f>IFERROR(__xludf.DUMMYFUNCTION("GOOGLETRANSLATE(P177,""my"", ""en"")"),"0.79%")</f>
        <v>0.79%</v>
      </c>
    </row>
    <row r="178" ht="21.75" customHeight="1">
      <c r="A178" s="28" t="s">
        <v>1254</v>
      </c>
      <c r="B178" s="17" t="s">
        <v>1255</v>
      </c>
      <c r="C178" s="18" t="s">
        <v>1256</v>
      </c>
      <c r="D178" s="18" t="s">
        <v>1257</v>
      </c>
      <c r="E178" s="18" t="s">
        <v>1258</v>
      </c>
      <c r="F178" s="18" t="s">
        <v>1259</v>
      </c>
      <c r="G178" s="18" t="s">
        <v>1260</v>
      </c>
      <c r="H178" s="18" t="s">
        <v>1261</v>
      </c>
      <c r="I178" s="18" t="s">
        <v>1262</v>
      </c>
      <c r="J178" s="18" t="s">
        <v>1263</v>
      </c>
      <c r="K178" s="27"/>
      <c r="L178" s="27"/>
      <c r="M178" s="18" t="s">
        <v>1264</v>
      </c>
      <c r="N178" s="18" t="s">
        <v>1265</v>
      </c>
      <c r="O178" s="18" t="s">
        <v>1266</v>
      </c>
      <c r="P178" s="27"/>
      <c r="S178" s="10" t="str">
        <f>IFERROR(__xludf.DUMMYFUNCTION("GOOGLETRANSLATE(A178,""my"", ""en"")"),"24")</f>
        <v>24</v>
      </c>
      <c r="T178" s="10" t="str">
        <f>IFERROR(__xludf.DUMMYFUNCTION("GOOGLETRANSLATE(B178,""my"", ""en"")"),"မဲဆ  No. (12)")</f>
        <v>မဲဆ  No. (12)</v>
      </c>
      <c r="U178" s="10" t="str">
        <f>IFERROR(__xludf.DUMMYFUNCTION("GOOGLETRANSLATE(C178,""my"", ""en"")"),"50467")</f>
        <v>50467</v>
      </c>
      <c r="V178" s="10" t="str">
        <f>IFERROR(__xludf.DUMMYFUNCTION("GOOGLETRANSLATE(D178,""my"", ""en"")"),"29769")</f>
        <v>29769</v>
      </c>
      <c r="W178" s="10" t="str">
        <f>IFERROR(__xludf.DUMMYFUNCTION("GOOGLETRANSLATE(E178,""my"", ""en"")"),"8546")</f>
        <v>8546</v>
      </c>
      <c r="X178" s="10" t="str">
        <f>IFERROR(__xludf.DUMMYFUNCTION("GOOGLETRANSLATE(F178,""my"", ""en"")"),"38315")</f>
        <v>38315</v>
      </c>
      <c r="Y178" s="10" t="str">
        <f>IFERROR(__xludf.DUMMYFUNCTION("GOOGLETRANSLATE(G178,""my"", ""en"")"),"75.92")</f>
        <v>75.92</v>
      </c>
      <c r="Z178" s="10" t="str">
        <f>IFERROR(__xludf.DUMMYFUNCTION("GOOGLETRANSLATE(H178,""my"", ""en"")"),"1071")</f>
        <v>1071</v>
      </c>
      <c r="AA178" s="10" t="str">
        <f>IFERROR(__xludf.DUMMYFUNCTION("GOOGLETRANSLATE(I178,""my"", ""en"")"),"61")</f>
        <v>61</v>
      </c>
      <c r="AB178" s="10" t="str">
        <f>IFERROR(__xludf.DUMMYFUNCTION("GOOGLETRANSLATE(J178,""my"", ""en"")"),"1132")</f>
        <v>1132</v>
      </c>
      <c r="AE178" s="10" t="str">
        <f>IFERROR(__xludf.DUMMYFUNCTION("GOOGLETRANSLATE(M178,""my"", ""en"")"),"28641")</f>
        <v>28641</v>
      </c>
      <c r="AF178" s="10" t="str">
        <f>IFERROR(__xludf.DUMMYFUNCTION("GOOGLETRANSLATE(N178,""my"", ""en"")"),"8542")</f>
        <v>8542</v>
      </c>
      <c r="AG178" s="10" t="str">
        <f>IFERROR(__xludf.DUMMYFUNCTION("GOOGLETRANSLATE(O178,""my"", ""en"")"),"37183")</f>
        <v>37183</v>
      </c>
    </row>
    <row r="179" ht="34.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3" t="s">
        <v>1267</v>
      </c>
      <c r="L179" s="23" t="s">
        <v>1268</v>
      </c>
      <c r="M179" s="24" t="s">
        <v>1269</v>
      </c>
      <c r="N179" s="24" t="s">
        <v>1270</v>
      </c>
      <c r="O179" s="24" t="s">
        <v>1271</v>
      </c>
      <c r="P179" s="31" t="s">
        <v>1272</v>
      </c>
      <c r="AC179" s="10" t="str">
        <f>IFERROR(__xludf.DUMMYFUNCTION("GOOGLETRANSLATE(K179,""my"", ""en"")"),"Khun ေရ umbrella (b) male ေဆွ")</f>
        <v>Khun ေရ umbrella (b) male ေဆွ</v>
      </c>
      <c r="AD179" s="10" t="str">
        <f>IFERROR(__xludf.DUMMYFUNCTION("GOOGLETRANSLATE(L179,""my"", ""en"")")," Game Democracy group   Pop Party")</f>
        <v> Game Democracy group   Pop Party</v>
      </c>
      <c r="AE179" s="10" t="str">
        <f>IFERROR(__xludf.DUMMYFUNCTION("GOOGLETRANSLATE(M179,""my"", ""en"")"),"18055")</f>
        <v>18055</v>
      </c>
      <c r="AF179" s="10" t="str">
        <f>IFERROR(__xludf.DUMMYFUNCTION("GOOGLETRANSLATE(N179,""my"", ""en"")"),"4714")</f>
        <v>4714</v>
      </c>
      <c r="AG179" s="10" t="str">
        <f>IFERROR(__xludf.DUMMYFUNCTION("GOOGLETRANSLATE(O179,""my"", ""en"")"),"22769")</f>
        <v>22769</v>
      </c>
      <c r="AH179" s="10" t="str">
        <f>IFERROR(__xludf.DUMMYFUNCTION("GOOGLETRANSLATE(P179,""my"", ""en"")"),"61.23%")</f>
        <v>61.23%</v>
      </c>
    </row>
    <row r="180" ht="22.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3" t="s">
        <v>1273</v>
      </c>
      <c r="L180" s="23" t="s">
        <v>1274</v>
      </c>
      <c r="M180" s="24" t="s">
        <v>1275</v>
      </c>
      <c r="N180" s="24" t="s">
        <v>1276</v>
      </c>
      <c r="O180" s="24" t="s">
        <v>1277</v>
      </c>
      <c r="P180" s="25" t="s">
        <v>1278</v>
      </c>
      <c r="AC180" s="10" t="str">
        <f>IFERROR(__xludf.DUMMYFUNCTION("GOOGLETRANSLATE(K180,""my"", ""en"")"),"Khin folded ေမာင် ")</f>
        <v>Khin folded ေမာင် </v>
      </c>
      <c r="AD180" s="10" t="str">
        <f>IFERROR(__xludf.DUMMYFUNCTION("GOOGLETRANSLATE(L180,""my"", ""en"")"),"Local ေထာင် soap-stone strong ေရး  under development  Phil  ေရး Party")</f>
        <v>Local ေထာင် soap-stone strong ေရး  under development  Phil  ေရး Party</v>
      </c>
      <c r="AE180" s="10" t="str">
        <f>IFERROR(__xludf.DUMMYFUNCTION("GOOGLETRANSLATE(M180,""my"", ""en"")"),"5354")</f>
        <v>5354</v>
      </c>
      <c r="AF180" s="10" t="str">
        <f>IFERROR(__xludf.DUMMYFUNCTION("GOOGLETRANSLATE(N180,""my"", ""en"")"),"2194")</f>
        <v>2194</v>
      </c>
      <c r="AG180" s="10" t="str">
        <f>IFERROR(__xludf.DUMMYFUNCTION("GOOGLETRANSLATE(O180,""my"", ""en"")"),"7548")</f>
        <v>7548</v>
      </c>
      <c r="AH180" s="10" t="str">
        <f>IFERROR(__xludf.DUMMYFUNCTION("GOOGLETRANSLATE(P180,""my"", ""en"")"),"20.29%")</f>
        <v>20.29%</v>
      </c>
    </row>
    <row r="181" ht="22.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3" t="s">
        <v>1279</v>
      </c>
      <c r="L181" s="23" t="s">
        <v>1280</v>
      </c>
      <c r="M181" s="24" t="s">
        <v>1281</v>
      </c>
      <c r="N181" s="24" t="s">
        <v>1282</v>
      </c>
      <c r="O181" s="24" t="s">
        <v>1283</v>
      </c>
      <c r="P181" s="25" t="s">
        <v>1284</v>
      </c>
      <c r="AC181" s="10" t="str">
        <f>IFERROR(__xludf.DUMMYFUNCTION("GOOGLETRANSLATE(K181,""my"", ""en"")"),"An ")</f>
        <v>An </v>
      </c>
      <c r="AD181" s="10" t="str">
        <f>IFERROR(__xludf.DUMMYFUNCTION("GOOGLETRANSLATE(L181,""my"", ""en"")"),"Kayah State Democratic Party")</f>
        <v>Kayah State Democratic Party</v>
      </c>
      <c r="AE181" s="10" t="str">
        <f>IFERROR(__xludf.DUMMYFUNCTION("GOOGLETRANSLATE(M181,""my"", ""en"")"),"3156")</f>
        <v>3156</v>
      </c>
      <c r="AF181" s="10" t="str">
        <f>IFERROR(__xludf.DUMMYFUNCTION("GOOGLETRANSLATE(N181,""my"", ""en"")"),"739")</f>
        <v>739</v>
      </c>
      <c r="AG181" s="10" t="str">
        <f>IFERROR(__xludf.DUMMYFUNCTION("GOOGLETRANSLATE(O181,""my"", ""en"")"),"3895")</f>
        <v>3895</v>
      </c>
      <c r="AH181" s="10" t="str">
        <f>IFERROR(__xludf.DUMMYFUNCTION("GOOGLETRANSLATE(P181,""my"", ""en"")"),"10.48%")</f>
        <v>10.48%</v>
      </c>
    </row>
    <row r="182" ht="21.0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3" t="s">
        <v>1285</v>
      </c>
      <c r="L182" s="23" t="s">
        <v>1286</v>
      </c>
      <c r="M182" s="24" t="s">
        <v>1287</v>
      </c>
      <c r="N182" s="24" t="s">
        <v>1288</v>
      </c>
      <c r="O182" s="24" t="s">
        <v>1289</v>
      </c>
      <c r="P182" s="25" t="s">
        <v>1290</v>
      </c>
      <c r="AC182" s="10" t="str">
        <f>IFERROR(__xludf.DUMMYFUNCTION("GOOGLETRANSLATE(K182,""my"", ""en"")"),"Thein ေအာင်")</f>
        <v>Thein ေအာင်</v>
      </c>
      <c r="AD182" s="10" t="str">
        <f>IFERROR(__xludf.DUMMYFUNCTION("GOOGLETRANSLATE(L182,""my"", ""en"")"),"Ethnic unity  working party ေရး")</f>
        <v>Ethnic unity  working party ေရး</v>
      </c>
      <c r="AE182" s="10" t="str">
        <f>IFERROR(__xludf.DUMMYFUNCTION("GOOGLETRANSLATE(M182,""my"", ""en"")"),"597")</f>
        <v>597</v>
      </c>
      <c r="AF182" s="10" t="str">
        <f>IFERROR(__xludf.DUMMYFUNCTION("GOOGLETRANSLATE(N182,""my"", ""en"")"),"168")</f>
        <v>168</v>
      </c>
      <c r="AG182" s="10" t="str">
        <f>IFERROR(__xludf.DUMMYFUNCTION("GOOGLETRANSLATE(O182,""my"", ""en"")"),"765")</f>
        <v>765</v>
      </c>
      <c r="AH182" s="10" t="str">
        <f>IFERROR(__xludf.DUMMYFUNCTION("GOOGLETRANSLATE(P182,""my"", ""en"")"),"2.06%")</f>
        <v>2.06%</v>
      </c>
    </row>
    <row r="183" ht="36.0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3" t="s">
        <v>1291</v>
      </c>
      <c r="L183" s="22" t="s">
        <v>1292</v>
      </c>
      <c r="M183" s="30" t="s">
        <v>1293</v>
      </c>
      <c r="N183" s="30" t="s">
        <v>1294</v>
      </c>
      <c r="O183" s="24" t="s">
        <v>1295</v>
      </c>
      <c r="P183" s="31" t="s">
        <v>1296</v>
      </c>
      <c r="AC183" s="10" t="str">
        <f>IFERROR(__xludf.DUMMYFUNCTION("GOOGLETRANSLATE(K183,""my"", ""en"")"),"Coral")</f>
        <v>Coral</v>
      </c>
      <c r="AD183" s="10" t="str">
        <f>IFERROR(__xludf.DUMMYFUNCTION("GOOGLETRANSLATE(L183,""my"", ""en"")"),"Burma  treated ငံေ တာင် farmer workers
ပည်သူ Party")</f>
        <v>Burma  treated ငံေ တာင် farmer workers
ပည်သူ Party</v>
      </c>
      <c r="AE183" s="10" t="str">
        <f>IFERROR(__xludf.DUMMYFUNCTION("GOOGLETRANSLATE(M183,""my"", ""en"")"),"561")</f>
        <v>561</v>
      </c>
      <c r="AF183" s="10" t="str">
        <f>IFERROR(__xludf.DUMMYFUNCTION("GOOGLETRANSLATE(N183,""my"", ""en"")"),"181")</f>
        <v>181</v>
      </c>
      <c r="AG183" s="10" t="str">
        <f>IFERROR(__xludf.DUMMYFUNCTION("GOOGLETRANSLATE(O183,""my"", ""en"")"),"742")</f>
        <v>742</v>
      </c>
      <c r="AH183" s="10" t="str">
        <f>IFERROR(__xludf.DUMMYFUNCTION("GOOGLETRANSLATE(P183,""my"", ""en"")"),"2.00%")</f>
        <v>2.00%</v>
      </c>
    </row>
    <row r="184" ht="22.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3" t="s">
        <v>1297</v>
      </c>
      <c r="L184" s="23" t="s">
        <v>1298</v>
      </c>
      <c r="M184" s="24" t="s">
        <v>1299</v>
      </c>
      <c r="N184" s="24" t="s">
        <v>1300</v>
      </c>
      <c r="O184" s="24" t="s">
        <v>1301</v>
      </c>
      <c r="P184" s="25" t="s">
        <v>1302</v>
      </c>
      <c r="AC184" s="10" t="str">
        <f>IFERROR(__xludf.DUMMYFUNCTION("GOOGLETRANSLATE(K184,""my"", ""en"")"),"Data  pendant Friend")</f>
        <v>Data  pendant Friend</v>
      </c>
      <c r="AD184" s="10" t="str">
        <f>IFERROR(__xludf.DUMMYFUNCTION("GOOGLETRANSLATE(L184,""my"", ""en"")"),"Local ေထာင် စုေ white  Game ေဆာင် Party")</f>
        <v>Local ေထာင် စုေ white  Game ေဆာင် Party</v>
      </c>
      <c r="AE184" s="10" t="str">
        <f>IFERROR(__xludf.DUMMYFUNCTION("GOOGLETRANSLATE(M184,""my"", ""en"")"),"374")</f>
        <v>374</v>
      </c>
      <c r="AF184" s="10" t="str">
        <f>IFERROR(__xludf.DUMMYFUNCTION("GOOGLETRANSLATE(N184,""my"", ""en"")"),"264")</f>
        <v>264</v>
      </c>
      <c r="AG184" s="10" t="str">
        <f>IFERROR(__xludf.DUMMYFUNCTION("GOOGLETRANSLATE(O184,""my"", ""en"")"),"638")</f>
        <v>638</v>
      </c>
      <c r="AH184" s="10" t="str">
        <f>IFERROR(__xludf.DUMMYFUNCTION("GOOGLETRANSLATE(P184,""my"", ""en"")"),"1.72%")</f>
        <v>1.72%</v>
      </c>
    </row>
    <row r="185" ht="37.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42" t="s">
        <v>1303</v>
      </c>
      <c r="L185" s="43" t="s">
        <v>1304</v>
      </c>
      <c r="M185" s="44" t="s">
        <v>1305</v>
      </c>
      <c r="N185" s="44" t="s">
        <v>1306</v>
      </c>
      <c r="O185" s="44" t="s">
        <v>1307</v>
      </c>
      <c r="P185" s="45" t="s">
        <v>1308</v>
      </c>
      <c r="AC185" s="10" t="str">
        <f>IFERROR(__xludf.DUMMYFUNCTION("GOOGLETRANSLATE(K185,""my"", ""en"")"),"Data  Thida (b)
ေဒ   strengthen ")</f>
        <v>Data  Thida (b)
ေဒ   strengthen </v>
      </c>
      <c r="AD185" s="10" t="str">
        <f>IFERROR(__xludf.DUMMYFUNCTION("GOOGLETRANSLATE(L185,""my"", ""en"")")," Game Democracy Force")</f>
        <v> Game Democracy Force</v>
      </c>
      <c r="AE185" s="10" t="str">
        <f>IFERROR(__xludf.DUMMYFUNCTION("GOOGLETRANSLATE(M185,""my"", ""en"")"),"208")</f>
        <v>208</v>
      </c>
      <c r="AF185" s="10" t="str">
        <f>IFERROR(__xludf.DUMMYFUNCTION("GOOGLETRANSLATE(N185,""my"", ""en"")"),"98")</f>
        <v>98</v>
      </c>
      <c r="AG185" s="10" t="str">
        <f>IFERROR(__xludf.DUMMYFUNCTION("GOOGLETRANSLATE(O185,""my"", ""en"")"),"306")</f>
        <v>306</v>
      </c>
      <c r="AH185" s="10" t="str">
        <f>IFERROR(__xludf.DUMMYFUNCTION("GOOGLETRANSLATE(P185,""my"", ""en"")"),"0.82%")</f>
        <v>0.82%</v>
      </c>
    </row>
    <row r="186" ht="21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6" t="s">
        <v>1309</v>
      </c>
      <c r="L186" s="40" t="s">
        <v>1310</v>
      </c>
      <c r="M186" s="41" t="s">
        <v>1311</v>
      </c>
      <c r="N186" s="41" t="s">
        <v>1312</v>
      </c>
      <c r="O186" s="37" t="s">
        <v>1313</v>
      </c>
      <c r="P186" s="38" t="s">
        <v>1314</v>
      </c>
      <c r="AC186" s="10" t="str">
        <f>IFERROR(__xludf.DUMMYFUNCTION("GOOGLETRANSLATE(K186,""my"", ""en"")"),"ေဇာ ေဇာ")</f>
        <v>ေဇာ ေဇာ</v>
      </c>
      <c r="AD186" s="10" t="str">
        <f>IFERROR(__xludf.DUMMYFUNCTION("GOOGLETRANSLATE(L186,""my"", ""en"")"),"In the Shan Nationalities League for Democracy members   Party")</f>
        <v>In the Shan Nationalities League for Democracy members   Party</v>
      </c>
      <c r="AE186" s="10" t="str">
        <f>IFERROR(__xludf.DUMMYFUNCTION("GOOGLETRANSLATE(M186,""my"", ""en"")"),"202")</f>
        <v>202</v>
      </c>
      <c r="AF186" s="10" t="str">
        <f>IFERROR(__xludf.DUMMYFUNCTION("GOOGLETRANSLATE(N186,""my"", ""en"")"),"92")</f>
        <v>92</v>
      </c>
      <c r="AG186" s="10" t="str">
        <f>IFERROR(__xludf.DUMMYFUNCTION("GOOGLETRANSLATE(O186,""my"", ""en"")"),"294")</f>
        <v>294</v>
      </c>
      <c r="AH186" s="10" t="str">
        <f>IFERROR(__xludf.DUMMYFUNCTION("GOOGLETRANSLATE(P186,""my"", ""en"")"),"0.79%")</f>
        <v>0.79%</v>
      </c>
    </row>
    <row r="187" ht="23.2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6" t="s">
        <v>1315</v>
      </c>
      <c r="L187" s="36" t="s">
        <v>1316</v>
      </c>
      <c r="M187" s="37" t="s">
        <v>1317</v>
      </c>
      <c r="N187" s="37" t="s">
        <v>1318</v>
      </c>
      <c r="O187" s="37" t="s">
        <v>1319</v>
      </c>
      <c r="P187" s="38" t="s">
        <v>1320</v>
      </c>
      <c r="AC187" s="10" t="str">
        <f>IFERROR(__xludf.DUMMYFUNCTION("GOOGLETRANSLATE(K187,""my"", ""en"")"),"Khin not")</f>
        <v>Khin not</v>
      </c>
      <c r="AD187" s="10" t="str">
        <f>IFERROR(__xludf.DUMMYFUNCTION("GOOGLETRANSLATE(L187,""my"", ""en"")")," Game  Democratic Party political-Fi")</f>
        <v> Game  Democratic Party political-Fi</v>
      </c>
      <c r="AE187" s="10" t="str">
        <f>IFERROR(__xludf.DUMMYFUNCTION("GOOGLETRANSLATE(M187,""my"", ""en"")"),"134")</f>
        <v>134</v>
      </c>
      <c r="AF187" s="10" t="str">
        <f>IFERROR(__xludf.DUMMYFUNCTION("GOOGLETRANSLATE(N187,""my"", ""en"")"),"92")</f>
        <v>92</v>
      </c>
      <c r="AG187" s="10" t="str">
        <f>IFERROR(__xludf.DUMMYFUNCTION("GOOGLETRANSLATE(O187,""my"", ""en"")"),"226")</f>
        <v>226</v>
      </c>
      <c r="AH187" s="10" t="str">
        <f>IFERROR(__xludf.DUMMYFUNCTION("GOOGLETRANSLATE(P187,""my"", ""en"")"),"0.61%")</f>
        <v>0.61%</v>
      </c>
    </row>
    <row r="188" ht="22.5" customHeight="1">
      <c r="A188" s="14"/>
      <c r="B188" s="15" t="s">
        <v>1321</v>
      </c>
      <c r="C188" s="16" t="s">
        <v>1322</v>
      </c>
      <c r="D188" s="15" t="s">
        <v>1323</v>
      </c>
      <c r="E188" s="16" t="s">
        <v>1324</v>
      </c>
      <c r="F188" s="16" t="s">
        <v>1325</v>
      </c>
      <c r="G188" s="16" t="s">
        <v>1326</v>
      </c>
      <c r="H188" s="16" t="s">
        <v>1327</v>
      </c>
      <c r="I188" s="16" t="s">
        <v>1328</v>
      </c>
      <c r="J188" s="16" t="s">
        <v>1329</v>
      </c>
      <c r="K188" s="14"/>
      <c r="L188" s="14"/>
      <c r="M188" s="16" t="s">
        <v>1330</v>
      </c>
      <c r="N188" s="16" t="s">
        <v>1331</v>
      </c>
      <c r="O188" s="16" t="s">
        <v>1332</v>
      </c>
      <c r="P188" s="14"/>
      <c r="T188" s="10" t="str">
        <f>IFERROR(__xludf.DUMMYFUNCTION("GOOGLETRANSLATE(B188,""my"", ""en"")"),"Karen State")</f>
        <v>Karen State</v>
      </c>
      <c r="U188" s="10" t="str">
        <f>IFERROR(__xludf.DUMMYFUNCTION("GOOGLETRANSLATE(C188,""my"", ""en"")"),"1236838")</f>
        <v>1236838</v>
      </c>
      <c r="V188" s="10" t="str">
        <f>IFERROR(__xludf.DUMMYFUNCTION("GOOGLETRANSLATE(D188,""my"", ""en"")"),"475242")</f>
        <v>475242</v>
      </c>
      <c r="W188" s="10" t="str">
        <f>IFERROR(__xludf.DUMMYFUNCTION("GOOGLETRANSLATE(E188,""my"", ""en"")"),"183021")</f>
        <v>183021</v>
      </c>
      <c r="X188" s="10" t="str">
        <f>IFERROR(__xludf.DUMMYFUNCTION("GOOGLETRANSLATE(F188,""my"", ""en"")"),"658263")</f>
        <v>658263</v>
      </c>
      <c r="Y188" s="10" t="str">
        <f>IFERROR(__xludf.DUMMYFUNCTION("GOOGLETRANSLATE(G188,""my"", ""en"")"),"53.22")</f>
        <v>53.22</v>
      </c>
      <c r="Z188" s="10" t="str">
        <f>IFERROR(__xludf.DUMMYFUNCTION("GOOGLETRANSLATE(H188,""my"", ""en"")"),"31305")</f>
        <v>31305</v>
      </c>
      <c r="AA188" s="10" t="str">
        <f>IFERROR(__xludf.DUMMYFUNCTION("GOOGLETRANSLATE(I188,""my"", ""en"")"),"4297")</f>
        <v>4297</v>
      </c>
      <c r="AB188" s="10" t="str">
        <f>IFERROR(__xludf.DUMMYFUNCTION("GOOGLETRANSLATE(J188,""my"", ""en"")"),"35602")</f>
        <v>35602</v>
      </c>
      <c r="AE188" s="10" t="str">
        <f>IFERROR(__xludf.DUMMYFUNCTION("GOOGLETRANSLATE(M188,""my"", ""en"")"),"449116")</f>
        <v>449116</v>
      </c>
      <c r="AF188" s="10" t="str">
        <f>IFERROR(__xludf.DUMMYFUNCTION("GOOGLETRANSLATE(N188,""my"", ""en"")"),"173545")</f>
        <v>173545</v>
      </c>
      <c r="AG188" s="10" t="str">
        <f>IFERROR(__xludf.DUMMYFUNCTION("GOOGLETRANSLATE(O188,""my"", ""en"")"),"622661")</f>
        <v>622661</v>
      </c>
    </row>
    <row r="189" ht="22.5" customHeight="1">
      <c r="A189" s="28" t="s">
        <v>1333</v>
      </c>
      <c r="B189" s="17" t="s">
        <v>1334</v>
      </c>
      <c r="C189" s="18" t="s">
        <v>1335</v>
      </c>
      <c r="D189" s="17" t="s">
        <v>1336</v>
      </c>
      <c r="E189" s="18" t="s">
        <v>1337</v>
      </c>
      <c r="F189" s="18" t="s">
        <v>1338</v>
      </c>
      <c r="G189" s="18" t="s">
        <v>1339</v>
      </c>
      <c r="H189" s="18" t="s">
        <v>1340</v>
      </c>
      <c r="I189" s="18" t="s">
        <v>1341</v>
      </c>
      <c r="J189" s="18" t="s">
        <v>1342</v>
      </c>
      <c r="K189" s="27"/>
      <c r="L189" s="27"/>
      <c r="M189" s="18" t="s">
        <v>1343</v>
      </c>
      <c r="N189" s="18" t="s">
        <v>1344</v>
      </c>
      <c r="O189" s="18" t="s">
        <v>1345</v>
      </c>
      <c r="P189" s="27"/>
      <c r="S189" s="10" t="str">
        <f>IFERROR(__xludf.DUMMYFUNCTION("GOOGLETRANSLATE(A189,""my"", ""en"")"),"25")</f>
        <v>25</v>
      </c>
      <c r="T189" s="10" t="str">
        <f>IFERROR(__xludf.DUMMYFUNCTION("GOOGLETRANSLATE(B189,""my"", ""en"")"),"မဲဆ  No. (1)")</f>
        <v>မဲဆ  No. (1)</v>
      </c>
      <c r="U189" s="10" t="str">
        <f>IFERROR(__xludf.DUMMYFUNCTION("GOOGLETRANSLATE(C189,""my"", ""en"")"),"97887")</f>
        <v>97887</v>
      </c>
      <c r="V189" s="10" t="str">
        <f>IFERROR(__xludf.DUMMYFUNCTION("GOOGLETRANSLATE(D189,""my"", ""en"")"),"36585")</f>
        <v>36585</v>
      </c>
      <c r="W189" s="10" t="str">
        <f>IFERROR(__xludf.DUMMYFUNCTION("GOOGLETRANSLATE(E189,""my"", ""en"")"),"14845")</f>
        <v>14845</v>
      </c>
      <c r="X189" s="10" t="str">
        <f>IFERROR(__xludf.DUMMYFUNCTION("GOOGLETRANSLATE(F189,""my"", ""en"")"),"51430")</f>
        <v>51430</v>
      </c>
      <c r="Y189" s="10" t="str">
        <f>IFERROR(__xludf.DUMMYFUNCTION("GOOGLETRANSLATE(G189,""my"", ""en"")"),"52.54")</f>
        <v>52.54</v>
      </c>
      <c r="Z189" s="10" t="str">
        <f>IFERROR(__xludf.DUMMYFUNCTION("GOOGLETRANSLATE(H189,""my"", ""en"")"),"2005")</f>
        <v>2005</v>
      </c>
      <c r="AA189" s="10" t="str">
        <f>IFERROR(__xludf.DUMMYFUNCTION("GOOGLETRANSLATE(I189,""my"", ""en"")"),"120")</f>
        <v>120</v>
      </c>
      <c r="AB189" s="10" t="str">
        <f>IFERROR(__xludf.DUMMYFUNCTION("GOOGLETRANSLATE(J189,""my"", ""en"")"),"2125")</f>
        <v>2125</v>
      </c>
      <c r="AE189" s="10" t="str">
        <f>IFERROR(__xludf.DUMMYFUNCTION("GOOGLETRANSLATE(M189,""my"", ""en"")"),"35050")</f>
        <v>35050</v>
      </c>
      <c r="AF189" s="10" t="str">
        <f>IFERROR(__xludf.DUMMYFUNCTION("GOOGLETRANSLATE(N189,""my"", ""en"")"),"14255")</f>
        <v>14255</v>
      </c>
      <c r="AG189" s="10" t="str">
        <f>IFERROR(__xludf.DUMMYFUNCTION("GOOGLETRANSLATE(O189,""my"", ""en"")"),"49305")</f>
        <v>49305</v>
      </c>
    </row>
    <row r="190" ht="21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3" t="s">
        <v>1346</v>
      </c>
      <c r="L190" s="23" t="s">
        <v>1347</v>
      </c>
      <c r="M190" s="24" t="s">
        <v>1348</v>
      </c>
      <c r="N190" s="24" t="s">
        <v>1349</v>
      </c>
      <c r="O190" s="24" t="s">
        <v>1350</v>
      </c>
      <c r="P190" s="25" t="s">
        <v>1351</v>
      </c>
      <c r="AC190" s="10" t="str">
        <f>IFERROR(__xludf.DUMMYFUNCTION("GOOGLETRANSLATE(K190,""my"", ""en"")"),"Show ေစာ San Thein")</f>
        <v>Show ေစာ San Thein</v>
      </c>
      <c r="AD190" s="10" t="str">
        <f>IFERROR(__xludf.DUMMYFUNCTION("GOOGLETRANSLATE(L190,""my"", ""en"")")," Game Democracy group   Pop Party")</f>
        <v> Game Democracy group   Pop Party</v>
      </c>
      <c r="AE190" s="10" t="str">
        <f>IFERROR(__xludf.DUMMYFUNCTION("GOOGLETRANSLATE(M190,""my"", ""en"")"),"19009")</f>
        <v>19009</v>
      </c>
      <c r="AF190" s="10" t="str">
        <f>IFERROR(__xludf.DUMMYFUNCTION("GOOGLETRANSLATE(N190,""my"", ""en"")"),"6696")</f>
        <v>6696</v>
      </c>
      <c r="AG190" s="10" t="str">
        <f>IFERROR(__xludf.DUMMYFUNCTION("GOOGLETRANSLATE(O190,""my"", ""en"")"),"25705")</f>
        <v>25705</v>
      </c>
      <c r="AH190" s="10" t="str">
        <f>IFERROR(__xludf.DUMMYFUNCTION("GOOGLETRANSLATE(P190,""my"", ""en"")"),"52.13%")</f>
        <v>52.13%</v>
      </c>
    </row>
    <row r="191" ht="22.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3" t="s">
        <v>1352</v>
      </c>
      <c r="L191" s="23" t="s">
        <v>1353</v>
      </c>
      <c r="M191" s="24" t="s">
        <v>1354</v>
      </c>
      <c r="N191" s="24" t="s">
        <v>1355</v>
      </c>
      <c r="O191" s="24" t="s">
        <v>1356</v>
      </c>
      <c r="P191" s="25" t="s">
        <v>1357</v>
      </c>
      <c r="AC191" s="10" t="str">
        <f>IFERROR(__xludf.DUMMYFUNCTION("GOOGLETRANSLATE(K191,""my"", ""en"")"),"From the invention ေအာင်  ")</f>
        <v>From the invention ေအာင်  </v>
      </c>
      <c r="AD191" s="10" t="str">
        <f>IFERROR(__xludf.DUMMYFUNCTION("GOOGLETRANSLATE(L191,""my"", ""en"")"),"Democratic Party triggered  Game")</f>
        <v>Democratic Party triggered  Game</v>
      </c>
      <c r="AE191" s="10" t="str">
        <f>IFERROR(__xludf.DUMMYFUNCTION("GOOGLETRANSLATE(M191,""my"", ""en"")"),"8427")</f>
        <v>8427</v>
      </c>
      <c r="AF191" s="10" t="str">
        <f>IFERROR(__xludf.DUMMYFUNCTION("GOOGLETRANSLATE(N191,""my"", ""en"")"),"3393")</f>
        <v>3393</v>
      </c>
      <c r="AG191" s="10" t="str">
        <f>IFERROR(__xludf.DUMMYFUNCTION("GOOGLETRANSLATE(O191,""my"", ""en"")"),"11820")</f>
        <v>11820</v>
      </c>
      <c r="AH191" s="10" t="str">
        <f>IFERROR(__xludf.DUMMYFUNCTION("GOOGLETRANSLATE(P191,""my"", ""en"")"),"23.97%")</f>
        <v>23.97%</v>
      </c>
    </row>
    <row r="192" ht="21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3" t="s">
        <v>1358</v>
      </c>
      <c r="L192" s="23" t="s">
        <v>1359</v>
      </c>
      <c r="M192" s="24" t="s">
        <v>1360</v>
      </c>
      <c r="N192" s="24" t="s">
        <v>1361</v>
      </c>
      <c r="O192" s="24" t="s">
        <v>1362</v>
      </c>
      <c r="P192" s="25" t="s">
        <v>1363</v>
      </c>
      <c r="AC192" s="10" t="str">
        <f>IFERROR(__xludf.DUMMYFUNCTION("GOOGLETRANSLATE(K192,""my"", ""en"")"),"ေအာင် not lakh")</f>
        <v>ေအာင် not lakh</v>
      </c>
      <c r="AD192" s="10" t="str">
        <f>IFERROR(__xludf.DUMMYFUNCTION("GOOGLETRANSLATE(L192,""my"", ""en"")"),"Local ေထာင် soap-stone strong ေရး  under development  Phil  ေရး Party")</f>
        <v>Local ေထာင် soap-stone strong ေရး  under development  Phil  ေရး Party</v>
      </c>
      <c r="AE192" s="10" t="str">
        <f>IFERROR(__xludf.DUMMYFUNCTION("GOOGLETRANSLATE(M192,""my"", ""en"")"),"7125")</f>
        <v>7125</v>
      </c>
      <c r="AF192" s="10" t="str">
        <f>IFERROR(__xludf.DUMMYFUNCTION("GOOGLETRANSLATE(N192,""my"", ""en"")"),"3814")</f>
        <v>3814</v>
      </c>
      <c r="AG192" s="10" t="str">
        <f>IFERROR(__xludf.DUMMYFUNCTION("GOOGLETRANSLATE(O192,""my"", ""en"")"),"10939")</f>
        <v>10939</v>
      </c>
      <c r="AH192" s="10" t="str">
        <f>IFERROR(__xludf.DUMMYFUNCTION("GOOGLETRANSLATE(P192,""my"", ""en"")"),"22.19%")</f>
        <v>22.19%</v>
      </c>
    </row>
    <row r="193" ht="22.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3" t="s">
        <v>1364</v>
      </c>
      <c r="L193" s="23" t="s">
        <v>1365</v>
      </c>
      <c r="M193" s="24" t="s">
        <v>1366</v>
      </c>
      <c r="N193" s="24" t="s">
        <v>1367</v>
      </c>
      <c r="O193" s="24" t="s">
        <v>1368</v>
      </c>
      <c r="P193" s="25" t="s">
        <v>1369</v>
      </c>
      <c r="AC193" s="10" t="str">
        <f>IFERROR(__xludf.DUMMYFUNCTION("GOOGLETRANSLATE(K193,""my"", ""en"")"),"An emerald  ိး ")</f>
        <v>An emerald  ိး </v>
      </c>
      <c r="AD193" s="10" t="str">
        <f>IFERROR(__xludf.DUMMYFUNCTION("GOOGLETRANSLATE(L193,""my"", ""en"")"),"Local ေထာင် စုေ white  Game ေဆာင် Party")</f>
        <v>Local ေထာင် စုေ white  Game ေဆာင် Party</v>
      </c>
      <c r="AE193" s="10" t="str">
        <f>IFERROR(__xludf.DUMMYFUNCTION("GOOGLETRANSLATE(M193,""my"", ""en"")"),"489")</f>
        <v>489</v>
      </c>
      <c r="AF193" s="10" t="str">
        <f>IFERROR(__xludf.DUMMYFUNCTION("GOOGLETRANSLATE(N193,""my"", ""en"")"),"352")</f>
        <v>352</v>
      </c>
      <c r="AG193" s="10" t="str">
        <f>IFERROR(__xludf.DUMMYFUNCTION("GOOGLETRANSLATE(O193,""my"", ""en"")"),"841")</f>
        <v>841</v>
      </c>
      <c r="AH193" s="10" t="str">
        <f>IFERROR(__xludf.DUMMYFUNCTION("GOOGLETRANSLATE(P193,""my"", ""en"")"),"1.71%")</f>
        <v>1.71%</v>
      </c>
    </row>
    <row r="194" ht="21.75" customHeight="1">
      <c r="A194" s="28" t="s">
        <v>1370</v>
      </c>
      <c r="B194" s="17" t="s">
        <v>1371</v>
      </c>
      <c r="C194" s="18" t="s">
        <v>1372</v>
      </c>
      <c r="D194" s="17" t="s">
        <v>1373</v>
      </c>
      <c r="E194" s="18" t="s">
        <v>1374</v>
      </c>
      <c r="F194" s="18" t="s">
        <v>1375</v>
      </c>
      <c r="G194" s="18" t="s">
        <v>1376</v>
      </c>
      <c r="H194" s="18" t="s">
        <v>1377</v>
      </c>
      <c r="I194" s="18" t="s">
        <v>1378</v>
      </c>
      <c r="J194" s="18" t="s">
        <v>1379</v>
      </c>
      <c r="K194" s="27"/>
      <c r="L194" s="27"/>
      <c r="M194" s="18" t="s">
        <v>1380</v>
      </c>
      <c r="N194" s="18" t="s">
        <v>1381</v>
      </c>
      <c r="O194" s="18" t="s">
        <v>1382</v>
      </c>
      <c r="P194" s="27"/>
      <c r="S194" s="10" t="str">
        <f>IFERROR(__xludf.DUMMYFUNCTION("GOOGLETRANSLATE(A194,""my"", ""en"")"),"26")</f>
        <v>26</v>
      </c>
      <c r="T194" s="10" t="str">
        <f>IFERROR(__xludf.DUMMYFUNCTION("GOOGLETRANSLATE(B194,""my"", ""en"")"),"မဲဆ  No. (2)")</f>
        <v>မဲဆ  No. (2)</v>
      </c>
      <c r="U194" s="10" t="str">
        <f>IFERROR(__xludf.DUMMYFUNCTION("GOOGLETRANSLATE(C194,""my"", ""en"")"),"107469")</f>
        <v>107469</v>
      </c>
      <c r="V194" s="10" t="str">
        <f>IFERROR(__xludf.DUMMYFUNCTION("GOOGLETRANSLATE(D194,""my"", ""en"")"),"38091")</f>
        <v>38091</v>
      </c>
      <c r="W194" s="10" t="str">
        <f>IFERROR(__xludf.DUMMYFUNCTION("GOOGLETRANSLATE(E194,""my"", ""en"")"),"15561")</f>
        <v>15561</v>
      </c>
      <c r="X194" s="10" t="str">
        <f>IFERROR(__xludf.DUMMYFUNCTION("GOOGLETRANSLATE(F194,""my"", ""en"")"),"53652")</f>
        <v>53652</v>
      </c>
      <c r="Y194" s="10" t="str">
        <f>IFERROR(__xludf.DUMMYFUNCTION("GOOGLETRANSLATE(G194,""my"", ""en"")"),"49.92")</f>
        <v>49.92</v>
      </c>
      <c r="Z194" s="10" t="str">
        <f>IFERROR(__xludf.DUMMYFUNCTION("GOOGLETRANSLATE(H194,""my"", ""en"")"),"3042")</f>
        <v>3042</v>
      </c>
      <c r="AA194" s="10" t="str">
        <f>IFERROR(__xludf.DUMMYFUNCTION("GOOGLETRANSLATE(I194,""my"", ""en"")"),"61")</f>
        <v>61</v>
      </c>
      <c r="AB194" s="10" t="str">
        <f>IFERROR(__xludf.DUMMYFUNCTION("GOOGLETRANSLATE(J194,""my"", ""en"")"),"3103")</f>
        <v>3103</v>
      </c>
      <c r="AE194" s="10" t="str">
        <f>IFERROR(__xludf.DUMMYFUNCTION("GOOGLETRANSLATE(M194,""my"", ""en"")"),"35742")</f>
        <v>35742</v>
      </c>
      <c r="AF194" s="10" t="str">
        <f>IFERROR(__xludf.DUMMYFUNCTION("GOOGLETRANSLATE(N194,""my"", ""en"")"),"14807")</f>
        <v>14807</v>
      </c>
      <c r="AG194" s="10" t="str">
        <f>IFERROR(__xludf.DUMMYFUNCTION("GOOGLETRANSLATE(O194,""my"", ""en"")"),"50549")</f>
        <v>50549</v>
      </c>
    </row>
    <row r="195" ht="22.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3" t="s">
        <v>1383</v>
      </c>
      <c r="L195" s="23" t="s">
        <v>1384</v>
      </c>
      <c r="M195" s="24" t="s">
        <v>1385</v>
      </c>
      <c r="N195" s="24" t="s">
        <v>1386</v>
      </c>
      <c r="O195" s="24" t="s">
        <v>1387</v>
      </c>
      <c r="P195" s="25" t="s">
        <v>1388</v>
      </c>
      <c r="AC195" s="10" t="str">
        <f>IFERROR(__xludf.DUMMYFUNCTION("GOOGLETRANSLATE(K195,""my"", ""en"")"),"Dr. Mya  ိး")</f>
        <v>Dr. Mya  ိး</v>
      </c>
      <c r="AD195" s="10" t="str">
        <f>IFERROR(__xludf.DUMMYFUNCTION("GOOGLETRANSLATE(L195,""my"", ""en"")")," Game Democracy group   Pop Party")</f>
        <v> Game Democracy group   Pop Party</v>
      </c>
      <c r="AE195" s="10" t="str">
        <f>IFERROR(__xludf.DUMMYFUNCTION("GOOGLETRANSLATE(M195,""my"", ""en"")"),"14627")</f>
        <v>14627</v>
      </c>
      <c r="AF195" s="10" t="str">
        <f>IFERROR(__xludf.DUMMYFUNCTION("GOOGLETRANSLATE(N195,""my"", ""en"")"),"5629")</f>
        <v>5629</v>
      </c>
      <c r="AG195" s="10" t="str">
        <f>IFERROR(__xludf.DUMMYFUNCTION("GOOGLETRANSLATE(O195,""my"", ""en"")"),"20256")</f>
        <v>20256</v>
      </c>
      <c r="AH195" s="10" t="str">
        <f>IFERROR(__xludf.DUMMYFUNCTION("GOOGLETRANSLATE(P195,""my"", ""en"")"),"40.07%")</f>
        <v>40.07%</v>
      </c>
    </row>
    <row r="196" ht="21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3" t="s">
        <v>1389</v>
      </c>
      <c r="L196" s="23" t="s">
        <v>1390</v>
      </c>
      <c r="M196" s="24" t="s">
        <v>1391</v>
      </c>
      <c r="N196" s="24" t="s">
        <v>1392</v>
      </c>
      <c r="O196" s="24" t="s">
        <v>1393</v>
      </c>
      <c r="P196" s="25" t="s">
        <v>1394</v>
      </c>
      <c r="AC196" s="10" t="str">
        <f>IFERROR(__xludf.DUMMYFUNCTION("GOOGLETRANSLATE(K196,""my"", ""en"")"),"မိေ cold-resistant compound")</f>
        <v>မိေ cold-resistant compound</v>
      </c>
      <c r="AD196" s="10" t="str">
        <f>IFERROR(__xludf.DUMMYFUNCTION("GOOGLETRANSLATE(L196,""my"", ""en"")"),"Mon  working party ေရး")</f>
        <v>Mon  working party ေရး</v>
      </c>
      <c r="AE196" s="10" t="str">
        <f>IFERROR(__xludf.DUMMYFUNCTION("GOOGLETRANSLATE(M196,""my"", ""en"")"),"10937")</f>
        <v>10937</v>
      </c>
      <c r="AF196" s="10" t="str">
        <f>IFERROR(__xludf.DUMMYFUNCTION("GOOGLETRANSLATE(N196,""my"", ""en"")"),"4694")</f>
        <v>4694</v>
      </c>
      <c r="AG196" s="10" t="str">
        <f>IFERROR(__xludf.DUMMYFUNCTION("GOOGLETRANSLATE(O196,""my"", ""en"")"),"15631")</f>
        <v>15631</v>
      </c>
      <c r="AH196" s="10" t="str">
        <f>IFERROR(__xludf.DUMMYFUNCTION("GOOGLETRANSLATE(P196,""my"", ""en"")"),"30.92%")</f>
        <v>30.92%</v>
      </c>
    </row>
    <row r="197" ht="21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3" t="s">
        <v>1395</v>
      </c>
      <c r="L197" s="23" t="s">
        <v>1396</v>
      </c>
      <c r="M197" s="24" t="s">
        <v>1397</v>
      </c>
      <c r="N197" s="24" t="s">
        <v>1398</v>
      </c>
      <c r="O197" s="24" t="s">
        <v>1399</v>
      </c>
      <c r="P197" s="25" t="s">
        <v>1400</v>
      </c>
      <c r="AC197" s="10" t="str">
        <f>IFERROR(__xludf.DUMMYFUNCTION("GOOGLETRANSLATE(K197,""my"", ""en"")"),"U Win")</f>
        <v>U Win</v>
      </c>
      <c r="AD197" s="10" t="str">
        <f>IFERROR(__xludf.DUMMYFUNCTION("GOOGLETRANSLATE(L197,""my"", ""en"")"),"Local ေထာင် soap-stone strong ေရး  under development  Phil  ေရး Party")</f>
        <v>Local ေထာင် soap-stone strong ေရး  under development  Phil  ေရး Party</v>
      </c>
      <c r="AE197" s="10" t="str">
        <f>IFERROR(__xludf.DUMMYFUNCTION("GOOGLETRANSLATE(M197,""my"", ""en"")"),"4335")</f>
        <v>4335</v>
      </c>
      <c r="AF197" s="10" t="str">
        <f>IFERROR(__xludf.DUMMYFUNCTION("GOOGLETRANSLATE(N197,""my"", ""en"")"),"2762")</f>
        <v>2762</v>
      </c>
      <c r="AG197" s="10" t="str">
        <f>IFERROR(__xludf.DUMMYFUNCTION("GOOGLETRANSLATE(O197,""my"", ""en"")"),"7097")</f>
        <v>7097</v>
      </c>
      <c r="AH197" s="10" t="str">
        <f>IFERROR(__xludf.DUMMYFUNCTION("GOOGLETRANSLATE(P197,""my"", ""en"")"),"14.04%")</f>
        <v>14.04%</v>
      </c>
    </row>
    <row r="198" ht="22.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3" t="s">
        <v>1401</v>
      </c>
      <c r="L198" s="23" t="s">
        <v>1402</v>
      </c>
      <c r="M198" s="24" t="s">
        <v>1403</v>
      </c>
      <c r="N198" s="24" t="s">
        <v>1404</v>
      </c>
      <c r="O198" s="24" t="s">
        <v>1405</v>
      </c>
      <c r="P198" s="25" t="s">
        <v>1406</v>
      </c>
      <c r="AC198" s="10" t="str">
        <f>IFERROR(__xludf.DUMMYFUNCTION("GOOGLETRANSLATE(K198,""my"", ""en"")"),"ေစာ Min Min  ")</f>
        <v>ေစာ Min Min  </v>
      </c>
      <c r="AD198" s="10" t="str">
        <f>IFERROR(__xludf.DUMMYFUNCTION("GOOGLETRANSLATE(L198,""my"", ""en"")"),"Democratic Party triggered  Game")</f>
        <v>Democratic Party triggered  Game</v>
      </c>
      <c r="AE198" s="10" t="str">
        <f>IFERROR(__xludf.DUMMYFUNCTION("GOOGLETRANSLATE(M198,""my"", ""en"")"),"5495")</f>
        <v>5495</v>
      </c>
      <c r="AF198" s="10" t="str">
        <f>IFERROR(__xludf.DUMMYFUNCTION("GOOGLETRANSLATE(N198,""my"", ""en"")"),"1534")</f>
        <v>1534</v>
      </c>
      <c r="AG198" s="10" t="str">
        <f>IFERROR(__xludf.DUMMYFUNCTION("GOOGLETRANSLATE(O198,""my"", ""en"")"),"7029")</f>
        <v>7029</v>
      </c>
      <c r="AH198" s="10" t="str">
        <f>IFERROR(__xludf.DUMMYFUNCTION("GOOGLETRANSLATE(P198,""my"", ""en"")"),"13.91%")</f>
        <v>13.91%</v>
      </c>
    </row>
    <row r="199" ht="21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3" t="s">
        <v>1407</v>
      </c>
      <c r="L199" s="23" t="s">
        <v>1408</v>
      </c>
      <c r="M199" s="24" t="s">
        <v>1409</v>
      </c>
      <c r="N199" s="24" t="s">
        <v>1410</v>
      </c>
      <c r="O199" s="24" t="s">
        <v>1411</v>
      </c>
      <c r="P199" s="25" t="s">
        <v>1412</v>
      </c>
      <c r="AC199" s="10" t="str">
        <f>IFERROR(__xludf.DUMMYFUNCTION("GOOGLETRANSLATE(K199,""my"", ""en"")"),"ေစာေ ေဇာ")</f>
        <v>ေစာေ ေဇာ</v>
      </c>
      <c r="AD199" s="10" t="str">
        <f>IFERROR(__xludf.DUMMYFUNCTION("GOOGLETRANSLATE(L199,""my"", ""en"")"),"Local ေထာင် စုေ white  Game ေဆာင် Party")</f>
        <v>Local ေထာင် စုေ white  Game ေဆာင် Party</v>
      </c>
      <c r="AE199" s="10" t="str">
        <f>IFERROR(__xludf.DUMMYFUNCTION("GOOGLETRANSLATE(M199,""my"", ""en"")"),"348")</f>
        <v>348</v>
      </c>
      <c r="AF199" s="10" t="str">
        <f>IFERROR(__xludf.DUMMYFUNCTION("GOOGLETRANSLATE(N199,""my"", ""en"")"),"188")</f>
        <v>188</v>
      </c>
      <c r="AG199" s="10" t="str">
        <f>IFERROR(__xludf.DUMMYFUNCTION("GOOGLETRANSLATE(O199,""my"", ""en"")"),"536")</f>
        <v>536</v>
      </c>
      <c r="AH199" s="10" t="str">
        <f>IFERROR(__xludf.DUMMYFUNCTION("GOOGLETRANSLATE(P199,""my"", ""en"")"),"1.06%")</f>
        <v>1.06%</v>
      </c>
    </row>
    <row r="200" ht="22.5" customHeight="1">
      <c r="A200" s="28" t="s">
        <v>1413</v>
      </c>
      <c r="B200" s="17" t="s">
        <v>1414</v>
      </c>
      <c r="C200" s="18" t="s">
        <v>1415</v>
      </c>
      <c r="D200" s="17" t="s">
        <v>1416</v>
      </c>
      <c r="E200" s="18" t="s">
        <v>1417</v>
      </c>
      <c r="F200" s="18" t="s">
        <v>1418</v>
      </c>
      <c r="G200" s="18" t="s">
        <v>1419</v>
      </c>
      <c r="H200" s="18" t="s">
        <v>1420</v>
      </c>
      <c r="I200" s="18" t="s">
        <v>1421</v>
      </c>
      <c r="J200" s="18" t="s">
        <v>1422</v>
      </c>
      <c r="K200" s="27"/>
      <c r="L200" s="27"/>
      <c r="M200" s="18" t="s">
        <v>1423</v>
      </c>
      <c r="N200" s="18" t="s">
        <v>1424</v>
      </c>
      <c r="O200" s="18" t="s">
        <v>1425</v>
      </c>
      <c r="P200" s="27"/>
      <c r="S200" s="10" t="str">
        <f>IFERROR(__xludf.DUMMYFUNCTION("GOOGLETRANSLATE(A200,""my"", ""en"")"),"27")</f>
        <v>27</v>
      </c>
      <c r="T200" s="10" t="str">
        <f>IFERROR(__xludf.DUMMYFUNCTION("GOOGLETRANSLATE(B200,""my"", ""en"")"),"မဲဆ  No. (3)")</f>
        <v>မဲဆ  No. (3)</v>
      </c>
      <c r="U200" s="10" t="str">
        <f>IFERROR(__xludf.DUMMYFUNCTION("GOOGLETRANSLATE(C200,""my"", ""en"")"),"66475")</f>
        <v>66475</v>
      </c>
      <c r="V200" s="10" t="str">
        <f>IFERROR(__xludf.DUMMYFUNCTION("GOOGLETRANSLATE(D200,""my"", ""en"")"),"26873")</f>
        <v>26873</v>
      </c>
      <c r="W200" s="10" t="str">
        <f>IFERROR(__xludf.DUMMYFUNCTION("GOOGLETRANSLATE(E200,""my"", ""en"")"),"10187")</f>
        <v>10187</v>
      </c>
      <c r="X200" s="10" t="str">
        <f>IFERROR(__xludf.DUMMYFUNCTION("GOOGLETRANSLATE(F200,""my"", ""en"")"),"37060")</f>
        <v>37060</v>
      </c>
      <c r="Y200" s="10" t="str">
        <f>IFERROR(__xludf.DUMMYFUNCTION("GOOGLETRANSLATE(G200,""my"", ""en"")"),"55.75")</f>
        <v>55.75</v>
      </c>
      <c r="Z200" s="10" t="str">
        <f>IFERROR(__xludf.DUMMYFUNCTION("GOOGLETRANSLATE(H200,""my"", ""en"")"),"1884")</f>
        <v>1884</v>
      </c>
      <c r="AA200" s="10" t="str">
        <f>IFERROR(__xludf.DUMMYFUNCTION("GOOGLETRANSLATE(I200,""my"", ""en"")"),"18")</f>
        <v>18</v>
      </c>
      <c r="AB200" s="10" t="str">
        <f>IFERROR(__xludf.DUMMYFUNCTION("GOOGLETRANSLATE(J200,""my"", ""en"")"),"1902")</f>
        <v>1902</v>
      </c>
      <c r="AE200" s="10" t="str">
        <f>IFERROR(__xludf.DUMMYFUNCTION("GOOGLETRANSLATE(M200,""my"", ""en"")"),"25467")</f>
        <v>25467</v>
      </c>
      <c r="AF200" s="10" t="str">
        <f>IFERROR(__xludf.DUMMYFUNCTION("GOOGLETRANSLATE(N200,""my"", ""en"")"),"9691")</f>
        <v>9691</v>
      </c>
      <c r="AG200" s="10" t="str">
        <f>IFERROR(__xludf.DUMMYFUNCTION("GOOGLETRANSLATE(O200,""my"", ""en"")"),"35158")</f>
        <v>35158</v>
      </c>
    </row>
    <row r="201" ht="22.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3" t="s">
        <v>1426</v>
      </c>
      <c r="L201" s="23" t="s">
        <v>1427</v>
      </c>
      <c r="M201" s="24" t="s">
        <v>1428</v>
      </c>
      <c r="N201" s="24" t="s">
        <v>1429</v>
      </c>
      <c r="O201" s="24" t="s">
        <v>1430</v>
      </c>
      <c r="P201" s="25" t="s">
        <v>1431</v>
      </c>
      <c r="AC201" s="10" t="str">
        <f>IFERROR(__xludf.DUMMYFUNCTION("GOOGLETRANSLATE(K201,""my"", ""en"")"),"Placing Saw Saw")</f>
        <v>Placing Saw Saw</v>
      </c>
      <c r="AD201" s="10" t="str">
        <f>IFERROR(__xludf.DUMMYFUNCTION("GOOGLETRANSLATE(L201,""my"", ""en"")")," Game Democracy group   Pop Party")</f>
        <v> Game Democracy group   Pop Party</v>
      </c>
      <c r="AE201" s="10" t="str">
        <f>IFERROR(__xludf.DUMMYFUNCTION("GOOGLETRANSLATE(M201,""my"", ""en"")"),"14587")</f>
        <v>14587</v>
      </c>
      <c r="AF201" s="10" t="str">
        <f>IFERROR(__xludf.DUMMYFUNCTION("GOOGLETRANSLATE(N201,""my"", ""en"")"),"4630")</f>
        <v>4630</v>
      </c>
      <c r="AG201" s="10" t="str">
        <f>IFERROR(__xludf.DUMMYFUNCTION("GOOGLETRANSLATE(O201,""my"", ""en"")"),"19217")</f>
        <v>19217</v>
      </c>
      <c r="AH201" s="10" t="str">
        <f>IFERROR(__xludf.DUMMYFUNCTION("GOOGLETRANSLATE(P201,""my"", ""en"")"),"54.66%")</f>
        <v>54.66%</v>
      </c>
    </row>
    <row r="202" ht="22.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3" t="s">
        <v>1432</v>
      </c>
      <c r="L202" s="23" t="s">
        <v>1433</v>
      </c>
      <c r="M202" s="24" t="s">
        <v>1434</v>
      </c>
      <c r="N202" s="24" t="s">
        <v>1435</v>
      </c>
      <c r="O202" s="24" t="s">
        <v>1436</v>
      </c>
      <c r="P202" s="25" t="s">
        <v>1437</v>
      </c>
      <c r="AC202" s="10" t="str">
        <f>IFERROR(__xludf.DUMMYFUNCTION("GOOGLETRANSLATE(K202,""my"", ""en"")"),"Saw bamboo window")</f>
        <v>Saw bamboo window</v>
      </c>
      <c r="AD202" s="10" t="str">
        <f>IFERROR(__xludf.DUMMYFUNCTION("GOOGLETRANSLATE(L202,""my"", ""en"")"),"Local ေထာင် soap-stone strong ေရး  under development  Phil  ေရး Party")</f>
        <v>Local ေထာင် soap-stone strong ေရး  under development  Phil  ေရး Party</v>
      </c>
      <c r="AE202" s="10" t="str">
        <f>IFERROR(__xludf.DUMMYFUNCTION("GOOGLETRANSLATE(M202,""my"", ""en"")"),"3284")</f>
        <v>3284</v>
      </c>
      <c r="AF202" s="10" t="str">
        <f>IFERROR(__xludf.DUMMYFUNCTION("GOOGLETRANSLATE(N202,""my"", ""en"")"),"2515")</f>
        <v>2515</v>
      </c>
      <c r="AG202" s="10" t="str">
        <f>IFERROR(__xludf.DUMMYFUNCTION("GOOGLETRANSLATE(O202,""my"", ""en"")"),"5799")</f>
        <v>5799</v>
      </c>
      <c r="AH202" s="10" t="str">
        <f>IFERROR(__xludf.DUMMYFUNCTION("GOOGLETRANSLATE(P202,""my"", ""en"")"),"16.49%")</f>
        <v>16.49%</v>
      </c>
    </row>
    <row r="203" ht="22.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3" t="s">
        <v>1438</v>
      </c>
      <c r="L203" s="23" t="s">
        <v>1439</v>
      </c>
      <c r="M203" s="24" t="s">
        <v>1440</v>
      </c>
      <c r="N203" s="24" t="s">
        <v>1441</v>
      </c>
      <c r="O203" s="24" t="s">
        <v>1442</v>
      </c>
      <c r="P203" s="25" t="s">
        <v>1443</v>
      </c>
      <c r="AC203" s="10" t="str">
        <f>IFERROR(__xludf.DUMMYFUNCTION("GOOGLETRANSLATE(K203,""my"", ""en"")"),"Saw Htoo")</f>
        <v>Saw Htoo</v>
      </c>
      <c r="AD203" s="10" t="str">
        <f>IFERROR(__xludf.DUMMYFUNCTION("GOOGLETRANSLATE(L203,""my"", ""en"")"),"Democratic Party triggered  Game")</f>
        <v>Democratic Party triggered  Game</v>
      </c>
      <c r="AE203" s="10" t="str">
        <f>IFERROR(__xludf.DUMMYFUNCTION("GOOGLETRANSLATE(M203,""my"", ""en"")"),"3880")</f>
        <v>3880</v>
      </c>
      <c r="AF203" s="10" t="str">
        <f>IFERROR(__xludf.DUMMYFUNCTION("GOOGLETRANSLATE(N203,""my"", ""en"")"),"1024")</f>
        <v>1024</v>
      </c>
      <c r="AG203" s="10" t="str">
        <f>IFERROR(__xludf.DUMMYFUNCTION("GOOGLETRANSLATE(O203,""my"", ""en"")"),"4904")</f>
        <v>4904</v>
      </c>
      <c r="AH203" s="10" t="str">
        <f>IFERROR(__xludf.DUMMYFUNCTION("GOOGLETRANSLATE(P203,""my"", ""en"")"),"13.95%")</f>
        <v>13.95%</v>
      </c>
    </row>
    <row r="204" ht="22.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3" t="s">
        <v>1444</v>
      </c>
      <c r="L204" s="23" t="s">
        <v>1445</v>
      </c>
      <c r="M204" s="24" t="s">
        <v>1446</v>
      </c>
      <c r="N204" s="24" t="s">
        <v>1447</v>
      </c>
      <c r="O204" s="24" t="s">
        <v>1448</v>
      </c>
      <c r="P204" s="25" t="s">
        <v>1449</v>
      </c>
      <c r="AC204" s="10" t="str">
        <f>IFERROR(__xludf.DUMMYFUNCTION("GOOGLETRANSLATE(K204,""my"", ""en"")"),"San Tun")</f>
        <v>San Tun</v>
      </c>
      <c r="AD204" s="10" t="str">
        <f>IFERROR(__xludf.DUMMYFUNCTION("GOOGLETRANSLATE(L204,""my"", ""en"")"),"Mon  working party ေရး")</f>
        <v>Mon  working party ေရး</v>
      </c>
      <c r="AE204" s="10" t="str">
        <f>IFERROR(__xludf.DUMMYFUNCTION("GOOGLETRANSLATE(M204,""my"", ""en"")"),"3281")</f>
        <v>3281</v>
      </c>
      <c r="AF204" s="10" t="str">
        <f>IFERROR(__xludf.DUMMYFUNCTION("GOOGLETRANSLATE(N204,""my"", ""en"")"),"1214")</f>
        <v>1214</v>
      </c>
      <c r="AG204" s="10" t="str">
        <f>IFERROR(__xludf.DUMMYFUNCTION("GOOGLETRANSLATE(O204,""my"", ""en"")"),"4495")</f>
        <v>4495</v>
      </c>
      <c r="AH204" s="10" t="str">
        <f>IFERROR(__xludf.DUMMYFUNCTION("GOOGLETRANSLATE(P204,""my"", ""en"")"),"12.79%")</f>
        <v>12.79%</v>
      </c>
    </row>
    <row r="205" ht="22.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3" t="s">
        <v>1450</v>
      </c>
      <c r="L205" s="23" t="s">
        <v>1451</v>
      </c>
      <c r="M205" s="24" t="s">
        <v>1452</v>
      </c>
      <c r="N205" s="24" t="s">
        <v>1453</v>
      </c>
      <c r="O205" s="24" t="s">
        <v>1454</v>
      </c>
      <c r="P205" s="25" t="s">
        <v>1455</v>
      </c>
      <c r="AC205" s="10" t="str">
        <f>IFERROR(__xludf.DUMMYFUNCTION("GOOGLETRANSLATE(K205,""my"", ""en"")"),"ေအး Thein")</f>
        <v>ေအး Thein</v>
      </c>
      <c r="AD205" s="10" t="str">
        <f>IFERROR(__xludf.DUMMYFUNCTION("GOOGLETRANSLATE(L205,""my"", ""en"")"),"Local ေထာင် စုေ white  Game ေဆာင် Party")</f>
        <v>Local ေထာင် စုေ white  Game ေဆာင် Party</v>
      </c>
      <c r="AE205" s="10" t="str">
        <f>IFERROR(__xludf.DUMMYFUNCTION("GOOGLETRANSLATE(M205,""my"", ""en"")"),"435")</f>
        <v>435</v>
      </c>
      <c r="AF205" s="10" t="str">
        <f>IFERROR(__xludf.DUMMYFUNCTION("GOOGLETRANSLATE(N205,""my"", ""en"")"),"308")</f>
        <v>308</v>
      </c>
      <c r="AG205" s="10" t="str">
        <f>IFERROR(__xludf.DUMMYFUNCTION("GOOGLETRANSLATE(O205,""my"", ""en"")"),"743")</f>
        <v>743</v>
      </c>
      <c r="AH205" s="10" t="str">
        <f>IFERROR(__xludf.DUMMYFUNCTION("GOOGLETRANSLATE(P205,""my"", ""en"")"),"2.11%")</f>
        <v>2.11%</v>
      </c>
    </row>
    <row r="206" ht="22.5" customHeight="1">
      <c r="A206" s="28" t="s">
        <v>1456</v>
      </c>
      <c r="B206" s="17" t="s">
        <v>1457</v>
      </c>
      <c r="C206" s="18" t="s">
        <v>1458</v>
      </c>
      <c r="D206" s="17" t="s">
        <v>1459</v>
      </c>
      <c r="E206" s="18" t="s">
        <v>1460</v>
      </c>
      <c r="F206" s="18" t="s">
        <v>1461</v>
      </c>
      <c r="G206" s="18" t="s">
        <v>1462</v>
      </c>
      <c r="H206" s="18" t="s">
        <v>1463</v>
      </c>
      <c r="I206" s="18" t="s">
        <v>1464</v>
      </c>
      <c r="J206" s="18" t="s">
        <v>1465</v>
      </c>
      <c r="K206" s="27"/>
      <c r="L206" s="27"/>
      <c r="M206" s="18" t="s">
        <v>1466</v>
      </c>
      <c r="N206" s="18" t="s">
        <v>1467</v>
      </c>
      <c r="O206" s="18" t="s">
        <v>1468</v>
      </c>
      <c r="P206" s="27"/>
      <c r="S206" s="10" t="str">
        <f>IFERROR(__xludf.DUMMYFUNCTION("GOOGLETRANSLATE(A206,""my"", ""en"")"),"28")</f>
        <v>28</v>
      </c>
      <c r="T206" s="10" t="str">
        <f>IFERROR(__xludf.DUMMYFUNCTION("GOOGLETRANSLATE(B206,""my"", ""en"")"),"မဲဆ  No. (4)")</f>
        <v>မဲဆ  No. (4)</v>
      </c>
      <c r="U206" s="10" t="str">
        <f>IFERROR(__xludf.DUMMYFUNCTION("GOOGLETRANSLATE(C206,""my"", ""en"")"),"97491")</f>
        <v>97491</v>
      </c>
      <c r="V206" s="10" t="str">
        <f>IFERROR(__xludf.DUMMYFUNCTION("GOOGLETRANSLATE(D206,""my"", ""en"")"),"34016")</f>
        <v>34016</v>
      </c>
      <c r="W206" s="10" t="str">
        <f>IFERROR(__xludf.DUMMYFUNCTION("GOOGLETRANSLATE(E206,""my"", ""en"")"),"12198")</f>
        <v>12198</v>
      </c>
      <c r="X206" s="10" t="str">
        <f>IFERROR(__xludf.DUMMYFUNCTION("GOOGLETRANSLATE(F206,""my"", ""en"")"),"46214")</f>
        <v>46214</v>
      </c>
      <c r="Y206" s="10" t="str">
        <f>IFERROR(__xludf.DUMMYFUNCTION("GOOGLETRANSLATE(G206,""my"", ""en"")"),"47.40")</f>
        <v>47.40</v>
      </c>
      <c r="Z206" s="10" t="str">
        <f>IFERROR(__xludf.DUMMYFUNCTION("GOOGLETRANSLATE(H206,""my"", ""en"")"),"2235")</f>
        <v>2235</v>
      </c>
      <c r="AA206" s="10" t="str">
        <f>IFERROR(__xludf.DUMMYFUNCTION("GOOGLETRANSLATE(I206,""my"", ""en"")"),"37")</f>
        <v>37</v>
      </c>
      <c r="AB206" s="10" t="str">
        <f>IFERROR(__xludf.DUMMYFUNCTION("GOOGLETRANSLATE(J206,""my"", ""en"")"),"2272")</f>
        <v>2272</v>
      </c>
      <c r="AE206" s="10" t="str">
        <f>IFERROR(__xludf.DUMMYFUNCTION("GOOGLETRANSLATE(M206,""my"", ""en"")"),"31868")</f>
        <v>31868</v>
      </c>
      <c r="AF206" s="10" t="str">
        <f>IFERROR(__xludf.DUMMYFUNCTION("GOOGLETRANSLATE(N206,""my"", ""en"")"),"12074")</f>
        <v>12074</v>
      </c>
      <c r="AG206" s="10" t="str">
        <f>IFERROR(__xludf.DUMMYFUNCTION("GOOGLETRANSLATE(O206,""my"", ""en"")"),"43942")</f>
        <v>43942</v>
      </c>
    </row>
    <row r="207" ht="24.0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3" t="s">
        <v>1469</v>
      </c>
      <c r="L207" s="23" t="s">
        <v>1470</v>
      </c>
      <c r="M207" s="24" t="s">
        <v>1471</v>
      </c>
      <c r="N207" s="24" t="s">
        <v>1472</v>
      </c>
      <c r="O207" s="24" t="s">
        <v>1473</v>
      </c>
      <c r="P207" s="25" t="s">
        <v>1474</v>
      </c>
      <c r="AC207" s="10" t="str">
        <f>IFERROR(__xludf.DUMMYFUNCTION("GOOGLETRANSLATE(K207,""my"", ""en"")"),"ေစာ ယှား ေဖာင် Nan Say Awa")</f>
        <v>ေစာ ယှား ေဖာင် Nan Say Awa</v>
      </c>
      <c r="AD207" s="10" t="str">
        <f>IFERROR(__xludf.DUMMYFUNCTION("GOOGLETRANSLATE(L207,""my"", ""en"")")," Game Democracy group   Pop Party")</f>
        <v> Game Democracy group   Pop Party</v>
      </c>
      <c r="AE207" s="10" t="str">
        <f>IFERROR(__xludf.DUMMYFUNCTION("GOOGLETRANSLATE(M207,""my"", ""en"")"),"13626")</f>
        <v>13626</v>
      </c>
      <c r="AF207" s="10" t="str">
        <f>IFERROR(__xludf.DUMMYFUNCTION("GOOGLETRANSLATE(N207,""my"", ""en"")"),"4010")</f>
        <v>4010</v>
      </c>
      <c r="AG207" s="10" t="str">
        <f>IFERROR(__xludf.DUMMYFUNCTION("GOOGLETRANSLATE(O207,""my"", ""en"")"),"17636")</f>
        <v>17636</v>
      </c>
      <c r="AH207" s="10" t="str">
        <f>IFERROR(__xludf.DUMMYFUNCTION("GOOGLETRANSLATE(P207,""my"", ""en"")"),"40.13%")</f>
        <v>40.13%</v>
      </c>
    </row>
    <row r="208" ht="24.0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3" t="s">
        <v>1475</v>
      </c>
      <c r="L208" s="23" t="s">
        <v>1476</v>
      </c>
      <c r="M208" s="24" t="s">
        <v>1477</v>
      </c>
      <c r="N208" s="24" t="s">
        <v>1478</v>
      </c>
      <c r="O208" s="24" t="s">
        <v>1479</v>
      </c>
      <c r="P208" s="25" t="s">
        <v>1480</v>
      </c>
      <c r="AC208" s="10" t="str">
        <f>IFERROR(__xludf.DUMMYFUNCTION("GOOGLETRANSLATE(K208,""my"", ""en"")"),"Data  Wei  Phil ")</f>
        <v>Data  Wei  Phil </v>
      </c>
      <c r="AD208" s="10" t="str">
        <f>IFERROR(__xludf.DUMMYFUNCTION("GOOGLETRANSLATE(L208,""my"", ""en"")"),"Mon  working party ေရး")</f>
        <v>Mon  working party ေရး</v>
      </c>
      <c r="AE208" s="10" t="str">
        <f>IFERROR(__xludf.DUMMYFUNCTION("GOOGLETRANSLATE(M208,""my"", ""en"")"),"5866")</f>
        <v>5866</v>
      </c>
      <c r="AF208" s="10" t="str">
        <f>IFERROR(__xludf.DUMMYFUNCTION("GOOGLETRANSLATE(N208,""my"", ""en"")"),"3853")</f>
        <v>3853</v>
      </c>
      <c r="AG208" s="10" t="str">
        <f>IFERROR(__xludf.DUMMYFUNCTION("GOOGLETRANSLATE(O208,""my"", ""en"")"),"9719")</f>
        <v>9719</v>
      </c>
      <c r="AH208" s="10" t="str">
        <f>IFERROR(__xludf.DUMMYFUNCTION("GOOGLETRANSLATE(P208,""my"", ""en"")"),"22.12%")</f>
        <v>22.12%</v>
      </c>
    </row>
    <row r="209" ht="23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3" t="s">
        <v>1481</v>
      </c>
      <c r="L209" s="23" t="s">
        <v>1482</v>
      </c>
      <c r="M209" s="24" t="s">
        <v>1483</v>
      </c>
      <c r="N209" s="24" t="s">
        <v>1484</v>
      </c>
      <c r="O209" s="24" t="s">
        <v>1485</v>
      </c>
      <c r="P209" s="25" t="s">
        <v>1486</v>
      </c>
      <c r="AC209" s="10" t="str">
        <f>IFERROR(__xludf.DUMMYFUNCTION("GOOGLETRANSLATE(K209,""my"", ""en"")"),"စွော complex")</f>
        <v>စွော complex</v>
      </c>
      <c r="AD209" s="10" t="str">
        <f>IFERROR(__xludf.DUMMYFUNCTION("GOOGLETRANSLATE(L209,""my"", ""en"")"),"Democratic Party triggered  Game")</f>
        <v>Democratic Party triggered  Game</v>
      </c>
      <c r="AE209" s="10" t="str">
        <f>IFERROR(__xludf.DUMMYFUNCTION("GOOGLETRANSLATE(M209,""my"", ""en"")"),"7181")</f>
        <v>7181</v>
      </c>
      <c r="AF209" s="10" t="str">
        <f>IFERROR(__xludf.DUMMYFUNCTION("GOOGLETRANSLATE(N209,""my"", ""en"")"),"1840")</f>
        <v>1840</v>
      </c>
      <c r="AG209" s="10" t="str">
        <f>IFERROR(__xludf.DUMMYFUNCTION("GOOGLETRANSLATE(O209,""my"", ""en"")"),"9021")</f>
        <v>9021</v>
      </c>
      <c r="AH209" s="10" t="str">
        <f>IFERROR(__xludf.DUMMYFUNCTION("GOOGLETRANSLATE(P209,""my"", ""en"")"),"20.53%")</f>
        <v>20.53%</v>
      </c>
    </row>
    <row r="210" ht="24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3" t="s">
        <v>1487</v>
      </c>
      <c r="L210" s="23" t="s">
        <v>1488</v>
      </c>
      <c r="M210" s="24" t="s">
        <v>1489</v>
      </c>
      <c r="N210" s="24" t="s">
        <v>1490</v>
      </c>
      <c r="O210" s="24" t="s">
        <v>1491</v>
      </c>
      <c r="P210" s="25" t="s">
        <v>1492</v>
      </c>
      <c r="AC210" s="10" t="str">
        <f>IFERROR(__xludf.DUMMYFUNCTION("GOOGLETRANSLATE(K210,""my"", ""en"")"),"ေစာ Win")</f>
        <v>ေစာ Win</v>
      </c>
      <c r="AD210" s="10" t="str">
        <f>IFERROR(__xludf.DUMMYFUNCTION("GOOGLETRANSLATE(L210,""my"", ""en"")"),"Local ေထာင် soap-stone strong ေရး  under development  Phil  ေရး Party")</f>
        <v>Local ေထာင် soap-stone strong ေရး  under development  Phil  ေရး Party</v>
      </c>
      <c r="AE210" s="10" t="str">
        <f>IFERROR(__xludf.DUMMYFUNCTION("GOOGLETRANSLATE(M210,""my"", ""en"")"),"5002")</f>
        <v>5002</v>
      </c>
      <c r="AF210" s="10" t="str">
        <f>IFERROR(__xludf.DUMMYFUNCTION("GOOGLETRANSLATE(N210,""my"", ""en"")"),"2230")</f>
        <v>2230</v>
      </c>
      <c r="AG210" s="10" t="str">
        <f>IFERROR(__xludf.DUMMYFUNCTION("GOOGLETRANSLATE(O210,""my"", ""en"")"),"7232")</f>
        <v>7232</v>
      </c>
      <c r="AH210" s="10" t="str">
        <f>IFERROR(__xludf.DUMMYFUNCTION("GOOGLETRANSLATE(P210,""my"", ""en"")"),"16.46%")</f>
        <v>16.46%</v>
      </c>
    </row>
    <row r="211" ht="24.0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3" t="s">
        <v>1493</v>
      </c>
      <c r="L211" s="23" t="s">
        <v>1494</v>
      </c>
      <c r="M211" s="24" t="s">
        <v>1495</v>
      </c>
      <c r="N211" s="24" t="s">
        <v>1496</v>
      </c>
      <c r="O211" s="24" t="s">
        <v>1497</v>
      </c>
      <c r="P211" s="25" t="s">
        <v>1498</v>
      </c>
      <c r="AC211" s="10" t="str">
        <f>IFERROR(__xludf.DUMMYFUNCTION("GOOGLETRANSLATE(K211,""my"", ""en"")"),"Data  cool microclimate")</f>
        <v>Data  cool microclimate</v>
      </c>
      <c r="AD211" s="10" t="str">
        <f>IFERROR(__xludf.DUMMYFUNCTION("GOOGLETRANSLATE(L211,""my"", ""en"")"),"Local ေထာင် စုေ white  Game ေဆာင် Party")</f>
        <v>Local ေထာင် စုေ white  Game ေဆာင် Party</v>
      </c>
      <c r="AE211" s="10" t="str">
        <f>IFERROR(__xludf.DUMMYFUNCTION("GOOGLETRANSLATE(M211,""my"", ""en"")"),"193")</f>
        <v>193</v>
      </c>
      <c r="AF211" s="10" t="str">
        <f>IFERROR(__xludf.DUMMYFUNCTION("GOOGLETRANSLATE(N211,""my"", ""en"")"),"141")</f>
        <v>141</v>
      </c>
      <c r="AG211" s="10" t="str">
        <f>IFERROR(__xludf.DUMMYFUNCTION("GOOGLETRANSLATE(O211,""my"", ""en"")"),"334")</f>
        <v>334</v>
      </c>
      <c r="AH211" s="10" t="str">
        <f>IFERROR(__xludf.DUMMYFUNCTION("GOOGLETRANSLATE(P211,""my"", ""en"")"),"0.76%")</f>
        <v>0.76%</v>
      </c>
    </row>
    <row r="212" ht="24.0" customHeight="1">
      <c r="A212" s="17" t="s">
        <v>1499</v>
      </c>
      <c r="B212" s="17" t="s">
        <v>1500</v>
      </c>
      <c r="C212" s="18" t="s">
        <v>1501</v>
      </c>
      <c r="D212" s="17" t="s">
        <v>1502</v>
      </c>
      <c r="E212" s="18" t="s">
        <v>1503</v>
      </c>
      <c r="F212" s="18" t="s">
        <v>1504</v>
      </c>
      <c r="G212" s="18" t="s">
        <v>1505</v>
      </c>
      <c r="H212" s="18" t="s">
        <v>1506</v>
      </c>
      <c r="I212" s="18" t="s">
        <v>1507</v>
      </c>
      <c r="J212" s="18" t="s">
        <v>1508</v>
      </c>
      <c r="K212" s="27"/>
      <c r="L212" s="27"/>
      <c r="M212" s="18" t="s">
        <v>1509</v>
      </c>
      <c r="N212" s="18" t="s">
        <v>1510</v>
      </c>
      <c r="O212" s="18" t="s">
        <v>1511</v>
      </c>
      <c r="P212" s="27"/>
      <c r="S212" s="10" t="str">
        <f>IFERROR(__xludf.DUMMYFUNCTION("GOOGLETRANSLATE(A212,""my"", ""en"")"),"29")</f>
        <v>29</v>
      </c>
      <c r="T212" s="10" t="str">
        <f>IFERROR(__xludf.DUMMYFUNCTION("GOOGLETRANSLATE(B212,""my"", ""en"")"),"မဲဆ  (5 points)")</f>
        <v>မဲဆ  (5 points)</v>
      </c>
      <c r="U212" s="10" t="str">
        <f>IFERROR(__xludf.DUMMYFUNCTION("GOOGLETRANSLATE(C212,""my"", ""en"")"),"22830")</f>
        <v>22830</v>
      </c>
      <c r="V212" s="10" t="str">
        <f>IFERROR(__xludf.DUMMYFUNCTION("GOOGLETRANSLATE(D212,""my"", ""en"")"),"10128")</f>
        <v>10128</v>
      </c>
      <c r="W212" s="10" t="str">
        <f>IFERROR(__xludf.DUMMYFUNCTION("GOOGLETRANSLATE(E212,""my"", ""en"")"),"5910")</f>
        <v>5910</v>
      </c>
      <c r="X212" s="10" t="str">
        <f>IFERROR(__xludf.DUMMYFUNCTION("GOOGLETRANSLATE(F212,""my"", ""en"")"),"16038")</f>
        <v>16038</v>
      </c>
      <c r="Y212" s="10" t="str">
        <f>IFERROR(__xludf.DUMMYFUNCTION("GOOGLETRANSLATE(G212,""my"", ""en"")"),"70.25")</f>
        <v>70.25</v>
      </c>
      <c r="Z212" s="10" t="str">
        <f>IFERROR(__xludf.DUMMYFUNCTION("GOOGLETRANSLATE(H212,""my"", ""en"")"),"539")</f>
        <v>539</v>
      </c>
      <c r="AA212" s="10" t="str">
        <f>IFERROR(__xludf.DUMMYFUNCTION("GOOGLETRANSLATE(I212,""my"", ""en"")"),"23")</f>
        <v>23</v>
      </c>
      <c r="AB212" s="10" t="str">
        <f>IFERROR(__xludf.DUMMYFUNCTION("GOOGLETRANSLATE(J212,""my"", ""en"")"),"562")</f>
        <v>562</v>
      </c>
      <c r="AE212" s="10" t="str">
        <f>IFERROR(__xludf.DUMMYFUNCTION("GOOGLETRANSLATE(M212,""my"", ""en"")"),"9770")</f>
        <v>9770</v>
      </c>
      <c r="AF212" s="10" t="str">
        <f>IFERROR(__xludf.DUMMYFUNCTION("GOOGLETRANSLATE(N212,""my"", ""en"")"),"5706")</f>
        <v>5706</v>
      </c>
      <c r="AG212" s="10" t="str">
        <f>IFERROR(__xludf.DUMMYFUNCTION("GOOGLETRANSLATE(O212,""my"", ""en"")"),"15476")</f>
        <v>15476</v>
      </c>
    </row>
    <row r="213" ht="22.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3" t="s">
        <v>1512</v>
      </c>
      <c r="L213" s="23" t="s">
        <v>1513</v>
      </c>
      <c r="M213" s="24" t="s">
        <v>1514</v>
      </c>
      <c r="N213" s="24" t="s">
        <v>1515</v>
      </c>
      <c r="O213" s="24" t="s">
        <v>1516</v>
      </c>
      <c r="P213" s="25" t="s">
        <v>1517</v>
      </c>
      <c r="AC213" s="10" t="str">
        <f>IFERROR(__xludf.DUMMYFUNCTION("GOOGLETRANSLATE(K213,""my"", ""en"")"),"Sai million  Cashier")</f>
        <v>Sai million  Cashier</v>
      </c>
      <c r="AD213" s="10" t="str">
        <f>IFERROR(__xludf.DUMMYFUNCTION("GOOGLETRANSLATE(L213,""my"", ""en"")"),"Local ေထာင် soap-stone strong ေရး  under development  Phil  ေရး Party")</f>
        <v>Local ေထာင် soap-stone strong ေရး  under development  Phil  ေရး Party</v>
      </c>
      <c r="AE213" s="10" t="str">
        <f>IFERROR(__xludf.DUMMYFUNCTION("GOOGLETRANSLATE(M213,""my"", ""en"")"),"4331")</f>
        <v>4331</v>
      </c>
      <c r="AF213" s="10" t="str">
        <f>IFERROR(__xludf.DUMMYFUNCTION("GOOGLETRANSLATE(N213,""my"", ""en"")"),"3410")</f>
        <v>3410</v>
      </c>
      <c r="AG213" s="10" t="str">
        <f>IFERROR(__xludf.DUMMYFUNCTION("GOOGLETRANSLATE(O213,""my"", ""en"")"),"7741")</f>
        <v>7741</v>
      </c>
      <c r="AH213" s="10" t="str">
        <f>IFERROR(__xludf.DUMMYFUNCTION("GOOGLETRANSLATE(P213,""my"", ""en"")"),"50.02%")</f>
        <v>50.02%</v>
      </c>
    </row>
    <row r="214" ht="24.0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3" t="s">
        <v>1518</v>
      </c>
      <c r="L214" s="23" t="s">
        <v>1519</v>
      </c>
      <c r="M214" s="24" t="s">
        <v>1520</v>
      </c>
      <c r="N214" s="24" t="s">
        <v>1521</v>
      </c>
      <c r="O214" s="24" t="s">
        <v>1522</v>
      </c>
      <c r="P214" s="25" t="s">
        <v>1523</v>
      </c>
      <c r="AC214" s="10" t="str">
        <f>IFERROR(__xludf.DUMMYFUNCTION("GOOGLETRANSLATE(K214,""my"", ""en"")"),"There Hein")</f>
        <v>There Hein</v>
      </c>
      <c r="AD214" s="10" t="str">
        <f>IFERROR(__xludf.DUMMYFUNCTION("GOOGLETRANSLATE(L214,""my"", ""en"")")," Game Democracy group   Pop Party")</f>
        <v> Game Democracy group   Pop Party</v>
      </c>
      <c r="AE214" s="10" t="str">
        <f>IFERROR(__xludf.DUMMYFUNCTION("GOOGLETRANSLATE(M214,""my"", ""en"")"),"4293")</f>
        <v>4293</v>
      </c>
      <c r="AF214" s="10" t="str">
        <f>IFERROR(__xludf.DUMMYFUNCTION("GOOGLETRANSLATE(N214,""my"", ""en"")"),"1799")</f>
        <v>1799</v>
      </c>
      <c r="AG214" s="10" t="str">
        <f>IFERROR(__xludf.DUMMYFUNCTION("GOOGLETRANSLATE(O214,""my"", ""en"")"),"6092")</f>
        <v>6092</v>
      </c>
      <c r="AH214" s="10" t="str">
        <f>IFERROR(__xludf.DUMMYFUNCTION("GOOGLETRANSLATE(P214,""my"", ""en"")"),"39.36%")</f>
        <v>39.36%</v>
      </c>
    </row>
    <row r="215" ht="24.0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3" t="s">
        <v>1524</v>
      </c>
      <c r="L215" s="23" t="s">
        <v>1525</v>
      </c>
      <c r="M215" s="24" t="s">
        <v>1526</v>
      </c>
      <c r="N215" s="24" t="s">
        <v>1527</v>
      </c>
      <c r="O215" s="24" t="s">
        <v>1528</v>
      </c>
      <c r="P215" s="25" t="s">
        <v>1529</v>
      </c>
      <c r="AC215" s="10" t="str">
        <f>IFERROR(__xludf.DUMMYFUNCTION("GOOGLETRANSLATE(K215,""my"", ""en"")"),"ေစာေ precisely Lin Soe")</f>
        <v>ေစာေ precisely Lin Soe</v>
      </c>
      <c r="AD215" s="10" t="str">
        <f>IFERROR(__xludf.DUMMYFUNCTION("GOOGLETRANSLATE(L215,""my"", ""en"")"),"Democratic Party triggered  Game")</f>
        <v>Democratic Party triggered  Game</v>
      </c>
      <c r="AE215" s="10" t="str">
        <f>IFERROR(__xludf.DUMMYFUNCTION("GOOGLETRANSLATE(M215,""my"", ""en"")"),"945")</f>
        <v>945</v>
      </c>
      <c r="AF215" s="10" t="str">
        <f>IFERROR(__xludf.DUMMYFUNCTION("GOOGLETRANSLATE(N215,""my"", ""en"")"),"333")</f>
        <v>333</v>
      </c>
      <c r="AG215" s="10" t="str">
        <f>IFERROR(__xludf.DUMMYFUNCTION("GOOGLETRANSLATE(O215,""my"", ""en"")"),"1278")</f>
        <v>1278</v>
      </c>
      <c r="AH215" s="10" t="str">
        <f>IFERROR(__xludf.DUMMYFUNCTION("GOOGLETRANSLATE(P215,""my"", ""en"")"),"8.26%")</f>
        <v>8.26%</v>
      </c>
    </row>
    <row r="216" ht="24.0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3" t="s">
        <v>1530</v>
      </c>
      <c r="L216" s="23" t="s">
        <v>1531</v>
      </c>
      <c r="M216" s="24" t="s">
        <v>1532</v>
      </c>
      <c r="N216" s="24" t="s">
        <v>1533</v>
      </c>
      <c r="O216" s="24" t="s">
        <v>1534</v>
      </c>
      <c r="P216" s="25" t="s">
        <v>1535</v>
      </c>
      <c r="AC216" s="10" t="str">
        <f>IFERROR(__xludf.DUMMYFUNCTION("GOOGLETRANSLATE(K216,""my"", ""en"")"),"Sai save ")</f>
        <v>Sai save </v>
      </c>
      <c r="AD216" s="10" t="str">
        <f>IFERROR(__xludf.DUMMYFUNCTION("GOOGLETRANSLATE(L216,""my"", ""en"")"),"Local ေထာင် စုေ white  Game ေဆာင် Party")</f>
        <v>Local ေထာင် စုေ white  Game ေဆာင် Party</v>
      </c>
      <c r="AE216" s="10" t="str">
        <f>IFERROR(__xludf.DUMMYFUNCTION("GOOGLETRANSLATE(M216,""my"", ""en"")"),"201")</f>
        <v>201</v>
      </c>
      <c r="AF216" s="10" t="str">
        <f>IFERROR(__xludf.DUMMYFUNCTION("GOOGLETRANSLATE(N216,""my"", ""en"")"),"164")</f>
        <v>164</v>
      </c>
      <c r="AG216" s="10" t="str">
        <f>IFERROR(__xludf.DUMMYFUNCTION("GOOGLETRANSLATE(O216,""my"", ""en"")"),"365")</f>
        <v>365</v>
      </c>
      <c r="AH216" s="10" t="str">
        <f>IFERROR(__xludf.DUMMYFUNCTION("GOOGLETRANSLATE(P216,""my"", ""en"")"),"2.36%")</f>
        <v>2.36%</v>
      </c>
    </row>
    <row r="217" ht="22.5" customHeight="1">
      <c r="A217" s="17" t="s">
        <v>1536</v>
      </c>
      <c r="B217" s="17" t="s">
        <v>1537</v>
      </c>
      <c r="C217" s="18" t="s">
        <v>1538</v>
      </c>
      <c r="D217" s="17" t="s">
        <v>1539</v>
      </c>
      <c r="E217" s="18" t="s">
        <v>1540</v>
      </c>
      <c r="F217" s="18" t="s">
        <v>1541</v>
      </c>
      <c r="G217" s="18" t="s">
        <v>1542</v>
      </c>
      <c r="H217" s="18" t="s">
        <v>1543</v>
      </c>
      <c r="I217" s="18" t="s">
        <v>1544</v>
      </c>
      <c r="J217" s="18" t="s">
        <v>1545</v>
      </c>
      <c r="K217" s="27"/>
      <c r="L217" s="27"/>
      <c r="M217" s="18" t="s">
        <v>1546</v>
      </c>
      <c r="N217" s="18" t="s">
        <v>1547</v>
      </c>
      <c r="O217" s="18" t="s">
        <v>1548</v>
      </c>
      <c r="P217" s="27"/>
      <c r="S217" s="10" t="str">
        <f>IFERROR(__xludf.DUMMYFUNCTION("GOOGLETRANSLATE(A217,""my"", ""en"")"),"30")</f>
        <v>30</v>
      </c>
      <c r="T217" s="10" t="str">
        <f>IFERROR(__xludf.DUMMYFUNCTION("GOOGLETRANSLATE(B217,""my"", ""en"")"),"မဲဆ  No. (6)")</f>
        <v>မဲဆ  No. (6)</v>
      </c>
      <c r="U217" s="10" t="str">
        <f>IFERROR(__xludf.DUMMYFUNCTION("GOOGLETRANSLATE(C217,""my"", ""en"")"),"184458")</f>
        <v>184458</v>
      </c>
      <c r="V217" s="10" t="str">
        <f>IFERROR(__xludf.DUMMYFUNCTION("GOOGLETRANSLATE(D217,""my"", ""en"")"),"68877")</f>
        <v>68877</v>
      </c>
      <c r="W217" s="10" t="str">
        <f>IFERROR(__xludf.DUMMYFUNCTION("GOOGLETRANSLATE(E217,""my"", ""en"")"),"33337")</f>
        <v>33337</v>
      </c>
      <c r="X217" s="10" t="str">
        <f>IFERROR(__xludf.DUMMYFUNCTION("GOOGLETRANSLATE(F217,""my"", ""en"")"),"102214")</f>
        <v>102214</v>
      </c>
      <c r="Y217" s="10" t="str">
        <f>IFERROR(__xludf.DUMMYFUNCTION("GOOGLETRANSLATE(G217,""my"", ""en"")"),"55.41")</f>
        <v>55.41</v>
      </c>
      <c r="Z217" s="10" t="str">
        <f>IFERROR(__xludf.DUMMYFUNCTION("GOOGLETRANSLATE(H217,""my"", ""en"")"),"3658")</f>
        <v>3658</v>
      </c>
      <c r="AA217" s="10" t="str">
        <f>IFERROR(__xludf.DUMMYFUNCTION("GOOGLETRANSLATE(I217,""my"", ""en"")"),"75")</f>
        <v>75</v>
      </c>
      <c r="AB217" s="10" t="str">
        <f>IFERROR(__xludf.DUMMYFUNCTION("GOOGLETRANSLATE(J217,""my"", ""en"")"),"3733")</f>
        <v>3733</v>
      </c>
      <c r="AE217" s="10" t="str">
        <f>IFERROR(__xludf.DUMMYFUNCTION("GOOGLETRANSLATE(M217,""my"", ""en"")"),"66350")</f>
        <v>66350</v>
      </c>
      <c r="AF217" s="10" t="str">
        <f>IFERROR(__xludf.DUMMYFUNCTION("GOOGLETRANSLATE(N217,""my"", ""en"")"),"32131")</f>
        <v>32131</v>
      </c>
      <c r="AG217" s="10" t="str">
        <f>IFERROR(__xludf.DUMMYFUNCTION("GOOGLETRANSLATE(O217,""my"", ""en"")"),"98481")</f>
        <v>98481</v>
      </c>
    </row>
    <row r="218" ht="21.0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3" t="s">
        <v>1549</v>
      </c>
      <c r="L218" s="23" t="s">
        <v>1550</v>
      </c>
      <c r="M218" s="24" t="s">
        <v>1551</v>
      </c>
      <c r="N218" s="24" t="s">
        <v>1552</v>
      </c>
      <c r="O218" s="24" t="s">
        <v>1553</v>
      </c>
      <c r="P218" s="25" t="s">
        <v>1554</v>
      </c>
      <c r="AC218" s="10" t="str">
        <f>IFERROR(__xludf.DUMMYFUNCTION("GOOGLETRANSLATE(K218,""my"", ""en"")"),"ေစာ not laugh (b) ")</f>
        <v>ေစာ not laugh (b) </v>
      </c>
      <c r="AD218" s="10" t="str">
        <f>IFERROR(__xludf.DUMMYFUNCTION("GOOGLETRANSLATE(L218,""my"", ""en"")")," Game Democracy group   Pop Party")</f>
        <v> Game Democracy group   Pop Party</v>
      </c>
      <c r="AE218" s="10" t="str">
        <f>IFERROR(__xludf.DUMMYFUNCTION("GOOGLETRANSLATE(M218,""my"", ""en"")"),"39996")</f>
        <v>39996</v>
      </c>
      <c r="AF218" s="10" t="str">
        <f>IFERROR(__xludf.DUMMYFUNCTION("GOOGLETRANSLATE(N218,""my"", ""en"")"),"17341")</f>
        <v>17341</v>
      </c>
      <c r="AG218" s="10" t="str">
        <f>IFERROR(__xludf.DUMMYFUNCTION("GOOGLETRANSLATE(O218,""my"", ""en"")"),"57337")</f>
        <v>57337</v>
      </c>
      <c r="AH218" s="10" t="str">
        <f>IFERROR(__xludf.DUMMYFUNCTION("GOOGLETRANSLATE(P218,""my"", ""en"")"),"58.22%")</f>
        <v>58.22%</v>
      </c>
    </row>
    <row r="219" ht="22.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3" t="s">
        <v>1555</v>
      </c>
      <c r="L219" s="23" t="s">
        <v>1556</v>
      </c>
      <c r="M219" s="24" t="s">
        <v>1557</v>
      </c>
      <c r="N219" s="24" t="s">
        <v>1558</v>
      </c>
      <c r="O219" s="24" t="s">
        <v>1559</v>
      </c>
      <c r="P219" s="25" t="s">
        <v>1560</v>
      </c>
      <c r="AC219" s="10" t="str">
        <f>IFERROR(__xludf.DUMMYFUNCTION("GOOGLETRANSLATE(K219,""my"", ""en"")"),"Nang ေမ")</f>
        <v>Nang ေမ</v>
      </c>
      <c r="AD219" s="10" t="str">
        <f>IFERROR(__xludf.DUMMYFUNCTION("GOOGLETRANSLATE(L219,""my"", ""en"")"),"Democratic Party triggered  Game")</f>
        <v>Democratic Party triggered  Game</v>
      </c>
      <c r="AE219" s="10" t="str">
        <f>IFERROR(__xludf.DUMMYFUNCTION("GOOGLETRANSLATE(M219,""my"", ""en"")"),"9167")</f>
        <v>9167</v>
      </c>
      <c r="AF219" s="10" t="str">
        <f>IFERROR(__xludf.DUMMYFUNCTION("GOOGLETRANSLATE(N219,""my"", ""en"")"),"4669")</f>
        <v>4669</v>
      </c>
      <c r="AG219" s="10" t="str">
        <f>IFERROR(__xludf.DUMMYFUNCTION("GOOGLETRANSLATE(O219,""my"", ""en"")"),"13836")</f>
        <v>13836</v>
      </c>
      <c r="AH219" s="10" t="str">
        <f>IFERROR(__xludf.DUMMYFUNCTION("GOOGLETRANSLATE(P219,""my"", ""en"")"),"14.05%")</f>
        <v>14.05%</v>
      </c>
    </row>
    <row r="220" ht="36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2" t="s">
        <v>1561</v>
      </c>
      <c r="L220" s="32" t="s">
        <v>1562</v>
      </c>
      <c r="M220" s="33" t="s">
        <v>1563</v>
      </c>
      <c r="N220" s="33" t="s">
        <v>1564</v>
      </c>
      <c r="O220" s="33" t="s">
        <v>1565</v>
      </c>
      <c r="P220" s="31" t="s">
        <v>1566</v>
      </c>
      <c r="AC220" s="10" t="str">
        <f>IFERROR(__xludf.DUMMYFUNCTION("GOOGLETRANSLATE(K220,""my"", ""en"")"),"ေစာ not Win ေအာင် (b)
Saw Htoo")</f>
        <v>ေစာ not Win ေအာင် (b)
Saw Htoo</v>
      </c>
      <c r="AD220" s="10" t="str">
        <f>IFERROR(__xludf.DUMMYFUNCTION("GOOGLETRANSLATE(L220,""my"", ""en"")"),"Local ေထာင် soap-stone strong ေရး  under development  Phil  ေရး Party")</f>
        <v>Local ေထာင် soap-stone strong ေရး  under development  Phil  ေရး Party</v>
      </c>
      <c r="AE220" s="10" t="str">
        <f>IFERROR(__xludf.DUMMYFUNCTION("GOOGLETRANSLATE(M220,""my"", ""en"")"),"6822")</f>
        <v>6822</v>
      </c>
      <c r="AF220" s="10" t="str">
        <f>IFERROR(__xludf.DUMMYFUNCTION("GOOGLETRANSLATE(N220,""my"", ""en"")"),"4950")</f>
        <v>4950</v>
      </c>
      <c r="AG220" s="10" t="str">
        <f>IFERROR(__xludf.DUMMYFUNCTION("GOOGLETRANSLATE(O220,""my"", ""en"")"),"11772")</f>
        <v>11772</v>
      </c>
      <c r="AH220" s="10" t="str">
        <f>IFERROR(__xludf.DUMMYFUNCTION("GOOGLETRANSLATE(P220,""my"", ""en"")"),"11.95%")</f>
        <v>11.95%</v>
      </c>
    </row>
    <row r="221" ht="22.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3" t="s">
        <v>1567</v>
      </c>
      <c r="L221" s="23" t="s">
        <v>1568</v>
      </c>
      <c r="M221" s="24" t="s">
        <v>1569</v>
      </c>
      <c r="N221" s="24" t="s">
        <v>1570</v>
      </c>
      <c r="O221" s="24" t="s">
        <v>1571</v>
      </c>
      <c r="P221" s="25" t="s">
        <v>1572</v>
      </c>
      <c r="AC221" s="10" t="str">
        <f>IFERROR(__xludf.DUMMYFUNCTION("GOOGLETRANSLATE(K221,""my"", ""en"")"),"Data  again  Also standard")</f>
        <v>Data  again  Also standard</v>
      </c>
      <c r="AD221" s="10" t="str">
        <f>IFERROR(__xludf.DUMMYFUNCTION("GOOGLETRANSLATE(L221,""my"", ""en"")"),"Mon  working party ေရး")</f>
        <v>Mon  working party ေရး</v>
      </c>
      <c r="AE221" s="10" t="str">
        <f>IFERROR(__xludf.DUMMYFUNCTION("GOOGLETRANSLATE(M221,""my"", ""en"")"),"7666")</f>
        <v>7666</v>
      </c>
      <c r="AF221" s="10" t="str">
        <f>IFERROR(__xludf.DUMMYFUNCTION("GOOGLETRANSLATE(N221,""my"", ""en"")"),"3348")</f>
        <v>3348</v>
      </c>
      <c r="AG221" s="10" t="str">
        <f>IFERROR(__xludf.DUMMYFUNCTION("GOOGLETRANSLATE(O221,""my"", ""en"")"),"11014")</f>
        <v>11014</v>
      </c>
      <c r="AH221" s="10" t="str">
        <f>IFERROR(__xludf.DUMMYFUNCTION("GOOGLETRANSLATE(P221,""my"", ""en"")"),"11.18%")</f>
        <v>11.18%</v>
      </c>
    </row>
    <row r="222" ht="21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3" t="s">
        <v>1573</v>
      </c>
      <c r="L222" s="23" t="s">
        <v>1574</v>
      </c>
      <c r="M222" s="24" t="s">
        <v>1575</v>
      </c>
      <c r="N222" s="24" t="s">
        <v>1576</v>
      </c>
      <c r="O222" s="24" t="s">
        <v>1577</v>
      </c>
      <c r="P222" s="25" t="s">
        <v>1578</v>
      </c>
      <c r="AC222" s="10" t="str">
        <f>IFERROR(__xludf.DUMMYFUNCTION("GOOGLETRANSLATE(K222,""my"", ""en"")"),"စွော Aye Maung")</f>
        <v>စွော Aye Maung</v>
      </c>
      <c r="AD222" s="10" t="str">
        <f>IFERROR(__xludf.DUMMYFUNCTION("GOOGLETRANSLATE(L222,""my"", ""en"")"),"Personal ")</f>
        <v>Personal </v>
      </c>
      <c r="AE222" s="10" t="str">
        <f>IFERROR(__xludf.DUMMYFUNCTION("GOOGLETRANSLATE(M222,""my"", ""en"")"),"1274")</f>
        <v>1274</v>
      </c>
      <c r="AF222" s="10" t="str">
        <f>IFERROR(__xludf.DUMMYFUNCTION("GOOGLETRANSLATE(N222,""my"", ""en"")"),"758")</f>
        <v>758</v>
      </c>
      <c r="AG222" s="10" t="str">
        <f>IFERROR(__xludf.DUMMYFUNCTION("GOOGLETRANSLATE(O222,""my"", ""en"")"),"2032")</f>
        <v>2032</v>
      </c>
      <c r="AH222" s="10" t="str">
        <f>IFERROR(__xludf.DUMMYFUNCTION("GOOGLETRANSLATE(P222,""my"", ""en"")"),"2.06%")</f>
        <v>2.06%</v>
      </c>
    </row>
    <row r="223" ht="22.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3" t="s">
        <v>1579</v>
      </c>
      <c r="L223" s="23" t="s">
        <v>1580</v>
      </c>
      <c r="M223" s="24" t="s">
        <v>1581</v>
      </c>
      <c r="N223" s="24" t="s">
        <v>1582</v>
      </c>
      <c r="O223" s="24" t="s">
        <v>1583</v>
      </c>
      <c r="P223" s="25" t="s">
        <v>1584</v>
      </c>
      <c r="AC223" s="10" t="str">
        <f>IFERROR(__xludf.DUMMYFUNCTION("GOOGLETRANSLATE(K223,""my"", ""en"")"),"Win ေအာင်")</f>
        <v>Win ေအာင်</v>
      </c>
      <c r="AD223" s="10" t="str">
        <f>IFERROR(__xludf.DUMMYFUNCTION("GOOGLETRANSLATE(L223,""my"", ""en"")"),"Local ေထာင် စုေ white  Game ေဆာင် Party")</f>
        <v>Local ေထာင် စုေ white  Game ေဆာင် Party</v>
      </c>
      <c r="AE223" s="10" t="str">
        <f>IFERROR(__xludf.DUMMYFUNCTION("GOOGLETRANSLATE(M223,""my"", ""en"")"),"1016")</f>
        <v>1016</v>
      </c>
      <c r="AF223" s="10" t="str">
        <f>IFERROR(__xludf.DUMMYFUNCTION("GOOGLETRANSLATE(N223,""my"", ""en"")"),"709")</f>
        <v>709</v>
      </c>
      <c r="AG223" s="10" t="str">
        <f>IFERROR(__xludf.DUMMYFUNCTION("GOOGLETRANSLATE(O223,""my"", ""en"")"),"1725")</f>
        <v>1725</v>
      </c>
      <c r="AH223" s="10" t="str">
        <f>IFERROR(__xludf.DUMMYFUNCTION("GOOGLETRANSLATE(P223,""my"", ""en"")"),"1.75%")</f>
        <v>1.75%</v>
      </c>
    </row>
    <row r="224" ht="36.0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3" t="s">
        <v>1585</v>
      </c>
      <c r="L224" s="23" t="s">
        <v>1586</v>
      </c>
      <c r="M224" s="24" t="s">
        <v>1587</v>
      </c>
      <c r="N224" s="24" t="s">
        <v>1588</v>
      </c>
      <c r="O224" s="24" t="s">
        <v>1589</v>
      </c>
      <c r="P224" s="31" t="s">
        <v>1590</v>
      </c>
      <c r="AC224" s="10" t="str">
        <f>IFERROR(__xludf.DUMMYFUNCTION("GOOGLETRANSLATE(K224,""my"", ""en"")"),"ေဇာ")</f>
        <v>ေဇာ</v>
      </c>
      <c r="AD224" s="10" t="str">
        <f>IFERROR(__xludf.DUMMYFUNCTION("GOOGLETRANSLATE(L224,""my"", ""en"")")," Union ေသာ ethnic  Game Democracy Party")</f>
        <v> Union ေသာ ethnic  Game Democracy Party</v>
      </c>
      <c r="AE224" s="10" t="str">
        <f>IFERROR(__xludf.DUMMYFUNCTION("GOOGLETRANSLATE(M224,""my"", ""en"")"),"409")</f>
        <v>409</v>
      </c>
      <c r="AF224" s="10" t="str">
        <f>IFERROR(__xludf.DUMMYFUNCTION("GOOGLETRANSLATE(N224,""my"", ""en"")"),"356")</f>
        <v>356</v>
      </c>
      <c r="AG224" s="10" t="str">
        <f>IFERROR(__xludf.DUMMYFUNCTION("GOOGLETRANSLATE(O224,""my"", ""en"")"),"765")</f>
        <v>765</v>
      </c>
      <c r="AH224" s="10" t="str">
        <f>IFERROR(__xludf.DUMMYFUNCTION("GOOGLETRANSLATE(P224,""my"", ""en"")"),"0.78%")</f>
        <v>0.78%</v>
      </c>
    </row>
    <row r="225" ht="24.75" customHeight="1">
      <c r="A225" s="17" t="s">
        <v>1591</v>
      </c>
      <c r="B225" s="17" t="s">
        <v>1592</v>
      </c>
      <c r="C225" s="18" t="s">
        <v>1593</v>
      </c>
      <c r="D225" s="17" t="s">
        <v>1594</v>
      </c>
      <c r="E225" s="18" t="s">
        <v>1595</v>
      </c>
      <c r="F225" s="18" t="s">
        <v>1596</v>
      </c>
      <c r="G225" s="18" t="s">
        <v>1597</v>
      </c>
      <c r="H225" s="18" t="s">
        <v>1598</v>
      </c>
      <c r="I225" s="18" t="s">
        <v>1599</v>
      </c>
      <c r="J225" s="18" t="s">
        <v>1600</v>
      </c>
      <c r="K225" s="27"/>
      <c r="L225" s="27"/>
      <c r="M225" s="18" t="s">
        <v>1601</v>
      </c>
      <c r="N225" s="18" t="s">
        <v>1602</v>
      </c>
      <c r="O225" s="18" t="s">
        <v>1603</v>
      </c>
      <c r="P225" s="27"/>
      <c r="S225" s="10" t="str">
        <f>IFERROR(__xludf.DUMMYFUNCTION("GOOGLETRANSLATE(A225,""my"", ""en"")"),"31")</f>
        <v>31</v>
      </c>
      <c r="T225" s="10" t="str">
        <f>IFERROR(__xludf.DUMMYFUNCTION("GOOGLETRANSLATE(B225,""my"", ""en"")"),"မဲဆ  No. (7)")</f>
        <v>မဲဆ  No. (7)</v>
      </c>
      <c r="U225" s="10" t="str">
        <f>IFERROR(__xludf.DUMMYFUNCTION("GOOGLETRANSLATE(C225,""my"", ""en"")"),"186294")</f>
        <v>186294</v>
      </c>
      <c r="V225" s="10" t="str">
        <f>IFERROR(__xludf.DUMMYFUNCTION("GOOGLETRANSLATE(D225,""my"", ""en"")"),"77531")</f>
        <v>77531</v>
      </c>
      <c r="W225" s="10" t="str">
        <f>IFERROR(__xludf.DUMMYFUNCTION("GOOGLETRANSLATE(E225,""my"", ""en"")"),"32101")</f>
        <v>32101</v>
      </c>
      <c r="X225" s="10" t="str">
        <f>IFERROR(__xludf.DUMMYFUNCTION("GOOGLETRANSLATE(F225,""my"", ""en"")"),"109632")</f>
        <v>109632</v>
      </c>
      <c r="Y225" s="10" t="str">
        <f>IFERROR(__xludf.DUMMYFUNCTION("GOOGLETRANSLATE(G225,""my"", ""en"")"),"58.85")</f>
        <v>58.85</v>
      </c>
      <c r="Z225" s="10" t="str">
        <f>IFERROR(__xludf.DUMMYFUNCTION("GOOGLETRANSLATE(H225,""my"", ""en"")"),"6280")</f>
        <v>6280</v>
      </c>
      <c r="AA225" s="10" t="str">
        <f>IFERROR(__xludf.DUMMYFUNCTION("GOOGLETRANSLATE(I225,""my"", ""en"")"),"3120")</f>
        <v>3120</v>
      </c>
      <c r="AB225" s="10" t="str">
        <f>IFERROR(__xludf.DUMMYFUNCTION("GOOGLETRANSLATE(J225,""my"", ""en"")"),"9400")</f>
        <v>9400</v>
      </c>
      <c r="AE225" s="10" t="str">
        <f>IFERROR(__xludf.DUMMYFUNCTION("GOOGLETRANSLATE(M225,""my"", ""en"")"),"71942")</f>
        <v>71942</v>
      </c>
      <c r="AF225" s="10" t="str">
        <f>IFERROR(__xludf.DUMMYFUNCTION("GOOGLETRANSLATE(N225,""my"", ""en"")"),"28290")</f>
        <v>28290</v>
      </c>
      <c r="AG225" s="10" t="str">
        <f>IFERROR(__xludf.DUMMYFUNCTION("GOOGLETRANSLATE(O225,""my"", ""en"")"),"100232")</f>
        <v>100232</v>
      </c>
    </row>
    <row r="226" ht="22.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3" t="s">
        <v>1604</v>
      </c>
      <c r="L226" s="23" t="s">
        <v>1605</v>
      </c>
      <c r="M226" s="24" t="s">
        <v>1606</v>
      </c>
      <c r="N226" s="24" t="s">
        <v>1607</v>
      </c>
      <c r="O226" s="24" t="s">
        <v>1608</v>
      </c>
      <c r="P226" s="25" t="s">
        <v>1609</v>
      </c>
      <c r="AC226" s="10" t="str">
        <f>IFERROR(__xludf.DUMMYFUNCTION("GOOGLETRANSLATE(K226,""my"", ""en"")"),"ေစာ Than Htut")</f>
        <v>ေစာ Than Htut</v>
      </c>
      <c r="AD226" s="10" t="str">
        <f>IFERROR(__xludf.DUMMYFUNCTION("GOOGLETRANSLATE(L226,""my"", ""en"")")," Game Democracy group   Pop Party")</f>
        <v> Game Democracy group   Pop Party</v>
      </c>
      <c r="AE226" s="10" t="str">
        <f>IFERROR(__xludf.DUMMYFUNCTION("GOOGLETRANSLATE(M226,""my"", ""en"")"),"45204")</f>
        <v>45204</v>
      </c>
      <c r="AF226" s="10" t="str">
        <f>IFERROR(__xludf.DUMMYFUNCTION("GOOGLETRANSLATE(N226,""my"", ""en"")"),"13337")</f>
        <v>13337</v>
      </c>
      <c r="AG226" s="10" t="str">
        <f>IFERROR(__xludf.DUMMYFUNCTION("GOOGLETRANSLATE(O226,""my"", ""en"")"),"58541")</f>
        <v>58541</v>
      </c>
      <c r="AH226" s="10" t="str">
        <f>IFERROR(__xludf.DUMMYFUNCTION("GOOGLETRANSLATE(P226,""my"", ""en"")"),"58.41%")</f>
        <v>58.41%</v>
      </c>
    </row>
    <row r="227" ht="24.0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3" t="s">
        <v>1610</v>
      </c>
      <c r="L227" s="23" t="s">
        <v>1611</v>
      </c>
      <c r="M227" s="24" t="s">
        <v>1612</v>
      </c>
      <c r="N227" s="24" t="s">
        <v>1613</v>
      </c>
      <c r="O227" s="24" t="s">
        <v>1614</v>
      </c>
      <c r="P227" s="25" t="s">
        <v>1615</v>
      </c>
      <c r="AC227" s="10" t="str">
        <f>IFERROR(__xludf.DUMMYFUNCTION("GOOGLETRANSLATE(K227,""my"", ""en"")"),"ေစာ standard Vehicles")</f>
        <v>ေစာ standard Vehicles</v>
      </c>
      <c r="AD227" s="10" t="str">
        <f>IFERROR(__xludf.DUMMYFUNCTION("GOOGLETRANSLATE(L227,""my"", ""en"")"),"Democratic Party triggered  Game")</f>
        <v>Democratic Party triggered  Game</v>
      </c>
      <c r="AE227" s="10" t="str">
        <f>IFERROR(__xludf.DUMMYFUNCTION("GOOGLETRANSLATE(M227,""my"", ""en"")"),"12869")</f>
        <v>12869</v>
      </c>
      <c r="AF227" s="10" t="str">
        <f>IFERROR(__xludf.DUMMYFUNCTION("GOOGLETRANSLATE(N227,""my"", ""en"")"),"5817")</f>
        <v>5817</v>
      </c>
      <c r="AG227" s="10" t="str">
        <f>IFERROR(__xludf.DUMMYFUNCTION("GOOGLETRANSLATE(O227,""my"", ""en"")"),"18686")</f>
        <v>18686</v>
      </c>
      <c r="AH227" s="10" t="str">
        <f>IFERROR(__xludf.DUMMYFUNCTION("GOOGLETRANSLATE(P227,""my"", ""en"")"),"18.64%")</f>
        <v>18.64%</v>
      </c>
    </row>
    <row r="228" ht="24.0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3" t="s">
        <v>1616</v>
      </c>
      <c r="L228" s="23" t="s">
        <v>1617</v>
      </c>
      <c r="M228" s="24" t="s">
        <v>1618</v>
      </c>
      <c r="N228" s="24" t="s">
        <v>1619</v>
      </c>
      <c r="O228" s="24" t="s">
        <v>1620</v>
      </c>
      <c r="P228" s="25" t="s">
        <v>1621</v>
      </c>
      <c r="AC228" s="10" t="str">
        <f>IFERROR(__xludf.DUMMYFUNCTION("GOOGLETRANSLATE(K228,""my"", ""en"")"),"U Win Tin")</f>
        <v>U Win Tin</v>
      </c>
      <c r="AD228" s="10" t="str">
        <f>IFERROR(__xludf.DUMMYFUNCTION("GOOGLETRANSLATE(L228,""my"", ""en"")"),"Local ေထာင် soap-stone strong ေရး  under development  Phil  ေရး Party")</f>
        <v>Local ေထာင် soap-stone strong ေရး  under development  Phil  ေရး Party</v>
      </c>
      <c r="AE228" s="10" t="str">
        <f>IFERROR(__xludf.DUMMYFUNCTION("GOOGLETRANSLATE(M228,""my"", ""en"")"),"10300")</f>
        <v>10300</v>
      </c>
      <c r="AF228" s="10" t="str">
        <f>IFERROR(__xludf.DUMMYFUNCTION("GOOGLETRANSLATE(N228,""my"", ""en"")"),"6644")</f>
        <v>6644</v>
      </c>
      <c r="AG228" s="10" t="str">
        <f>IFERROR(__xludf.DUMMYFUNCTION("GOOGLETRANSLATE(O228,""my"", ""en"")"),"16944")</f>
        <v>16944</v>
      </c>
      <c r="AH228" s="10" t="str">
        <f>IFERROR(__xludf.DUMMYFUNCTION("GOOGLETRANSLATE(P228,""my"", ""en"")"),"16.90%")</f>
        <v>16.90%</v>
      </c>
    </row>
    <row r="229" ht="24.0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3" t="s">
        <v>1622</v>
      </c>
      <c r="L229" s="23" t="s">
        <v>1623</v>
      </c>
      <c r="M229" s="24" t="s">
        <v>1624</v>
      </c>
      <c r="N229" s="24" t="s">
        <v>1625</v>
      </c>
      <c r="O229" s="24" t="s">
        <v>1626</v>
      </c>
      <c r="P229" s="25" t="s">
        <v>1627</v>
      </c>
      <c r="AC229" s="10" t="str">
        <f>IFERROR(__xludf.DUMMYFUNCTION("GOOGLETRANSLATE(K229,""my"", ""en"")"),"Nang Khin Thet Win")</f>
        <v>Nang Khin Thet Win</v>
      </c>
      <c r="AD229" s="10" t="str">
        <f>IFERROR(__xludf.DUMMYFUNCTION("GOOGLETRANSLATE(L229,""my"", ""en"")"),"Personal ")</f>
        <v>Personal </v>
      </c>
      <c r="AE229" s="10" t="str">
        <f>IFERROR(__xludf.DUMMYFUNCTION("GOOGLETRANSLATE(M229,""my"", ""en"")"),"1986")</f>
        <v>1986</v>
      </c>
      <c r="AF229" s="10" t="str">
        <f>IFERROR(__xludf.DUMMYFUNCTION("GOOGLETRANSLATE(N229,""my"", ""en"")"),"1234")</f>
        <v>1234</v>
      </c>
      <c r="AG229" s="10" t="str">
        <f>IFERROR(__xludf.DUMMYFUNCTION("GOOGLETRANSLATE(O229,""my"", ""en"")"),"3220")</f>
        <v>3220</v>
      </c>
      <c r="AH229" s="10" t="str">
        <f>IFERROR(__xludf.DUMMYFUNCTION("GOOGLETRANSLATE(P229,""my"", ""en"")"),"3.21%")</f>
        <v>3.21%</v>
      </c>
    </row>
    <row r="230" ht="27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3" t="s">
        <v>1628</v>
      </c>
      <c r="L230" s="23" t="s">
        <v>1629</v>
      </c>
      <c r="M230" s="24" t="s">
        <v>1630</v>
      </c>
      <c r="N230" s="24" t="s">
        <v>1631</v>
      </c>
      <c r="O230" s="24" t="s">
        <v>1632</v>
      </c>
      <c r="P230" s="25" t="s">
        <v>1633</v>
      </c>
      <c r="AC230" s="10" t="str">
        <f>IFERROR(__xludf.DUMMYFUNCTION("GOOGLETRANSLATE(K230,""my"", ""en"")"),"Soe not")</f>
        <v>Soe not</v>
      </c>
      <c r="AD230" s="10" t="str">
        <f>IFERROR(__xludf.DUMMYFUNCTION("GOOGLETRANSLATE(L230,""my"", ""en"")"),"Local ေထာင် စုေ white  Game ေဆာင် Party")</f>
        <v>Local ေထာင် စုေ white  Game ေဆာင် Party</v>
      </c>
      <c r="AE230" s="10" t="str">
        <f>IFERROR(__xludf.DUMMYFUNCTION("GOOGLETRANSLATE(M230,""my"", ""en"")"),"798")</f>
        <v>798</v>
      </c>
      <c r="AF230" s="10" t="str">
        <f>IFERROR(__xludf.DUMMYFUNCTION("GOOGLETRANSLATE(N230,""my"", ""en"")"),"717")</f>
        <v>717</v>
      </c>
      <c r="AG230" s="10" t="str">
        <f>IFERROR(__xludf.DUMMYFUNCTION("GOOGLETRANSLATE(O230,""my"", ""en"")"),"1515")</f>
        <v>1515</v>
      </c>
      <c r="AH230" s="10" t="str">
        <f>IFERROR(__xludf.DUMMYFUNCTION("GOOGLETRANSLATE(P230,""my"", ""en"")"),"1.51%")</f>
        <v>1.51%</v>
      </c>
    </row>
    <row r="231" ht="37.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32" t="s">
        <v>1634</v>
      </c>
      <c r="L231" s="23" t="s">
        <v>1635</v>
      </c>
      <c r="M231" s="33" t="s">
        <v>1636</v>
      </c>
      <c r="N231" s="33" t="s">
        <v>1637</v>
      </c>
      <c r="O231" s="33" t="s">
        <v>1638</v>
      </c>
      <c r="P231" s="31" t="s">
        <v>1639</v>
      </c>
      <c r="AC231" s="10" t="str">
        <f>IFERROR(__xludf.DUMMYFUNCTION("GOOGLETRANSLATE(K231,""my"", ""en"")"),"ေဒ  ေဆွေ medium Settle")</f>
        <v>ေဒ  ေဆွေ medium Settle</v>
      </c>
      <c r="AD231" s="10" t="str">
        <f>IFERROR(__xludf.DUMMYFUNCTION("GOOGLETRANSLATE(L231,""my"", ""en"")")," Union ေသာ ethnic  Game Democracy Party")</f>
        <v> Union ေသာ ethnic  Game Democracy Party</v>
      </c>
      <c r="AE231" s="10" t="str">
        <f>IFERROR(__xludf.DUMMYFUNCTION("GOOGLETRANSLATE(M231,""my"", ""en"")"),"785")</f>
        <v>785</v>
      </c>
      <c r="AF231" s="10" t="str">
        <f>IFERROR(__xludf.DUMMYFUNCTION("GOOGLETRANSLATE(N231,""my"", ""en"")"),"541")</f>
        <v>541</v>
      </c>
      <c r="AG231" s="10" t="str">
        <f>IFERROR(__xludf.DUMMYFUNCTION("GOOGLETRANSLATE(O231,""my"", ""en"")"),"1326")</f>
        <v>1326</v>
      </c>
      <c r="AH231" s="10" t="str">
        <f>IFERROR(__xludf.DUMMYFUNCTION("GOOGLETRANSLATE(P231,""my"", ""en"")"),"1.32%")</f>
        <v>1.32%</v>
      </c>
    </row>
    <row r="232" ht="22.5" customHeight="1">
      <c r="A232" s="17" t="s">
        <v>1640</v>
      </c>
      <c r="B232" s="17" t="s">
        <v>1641</v>
      </c>
      <c r="C232" s="18" t="s">
        <v>1642</v>
      </c>
      <c r="D232" s="17" t="s">
        <v>1643</v>
      </c>
      <c r="E232" s="18" t="s">
        <v>1644</v>
      </c>
      <c r="F232" s="18" t="s">
        <v>1645</v>
      </c>
      <c r="G232" s="18" t="s">
        <v>1646</v>
      </c>
      <c r="H232" s="18" t="s">
        <v>1647</v>
      </c>
      <c r="I232" s="18" t="s">
        <v>1648</v>
      </c>
      <c r="J232" s="18" t="s">
        <v>1649</v>
      </c>
      <c r="K232" s="27"/>
      <c r="L232" s="27"/>
      <c r="M232" s="18" t="s">
        <v>1650</v>
      </c>
      <c r="N232" s="18" t="s">
        <v>1651</v>
      </c>
      <c r="O232" s="18" t="s">
        <v>1652</v>
      </c>
      <c r="P232" s="27"/>
      <c r="S232" s="10" t="str">
        <f>IFERROR(__xludf.DUMMYFUNCTION("GOOGLETRANSLATE(A232,""my"", ""en"")"),"32")</f>
        <v>32</v>
      </c>
      <c r="T232" s="10" t="str">
        <f>IFERROR(__xludf.DUMMYFUNCTION("GOOGLETRANSLATE(B232,""my"", ""en"")"),"မဲဆ  No. (8)")</f>
        <v>မဲဆ  No. (8)</v>
      </c>
      <c r="U232" s="10" t="str">
        <f>IFERROR(__xludf.DUMMYFUNCTION("GOOGLETRANSLATE(C232,""my"", ""en"")"),"115759")</f>
        <v>115759</v>
      </c>
      <c r="V232" s="10" t="str">
        <f>IFERROR(__xludf.DUMMYFUNCTION("GOOGLETRANSLATE(D232,""my"", ""en"")"),"44250")</f>
        <v>44250</v>
      </c>
      <c r="W232" s="10" t="str">
        <f>IFERROR(__xludf.DUMMYFUNCTION("GOOGLETRANSLATE(E232,""my"", ""en"")"),"16295")</f>
        <v>16295</v>
      </c>
      <c r="X232" s="10" t="str">
        <f>IFERROR(__xludf.DUMMYFUNCTION("GOOGLETRANSLATE(F232,""my"", ""en"")"),"60545")</f>
        <v>60545</v>
      </c>
      <c r="Y232" s="10" t="str">
        <f>IFERROR(__xludf.DUMMYFUNCTION("GOOGLETRANSLATE(G232,""my"", ""en"")"),"52.30")</f>
        <v>52.30</v>
      </c>
      <c r="Z232" s="10" t="str">
        <f>IFERROR(__xludf.DUMMYFUNCTION("GOOGLETRANSLATE(H232,""my"", ""en"")"),"2859")</f>
        <v>2859</v>
      </c>
      <c r="AA232" s="10" t="str">
        <f>IFERROR(__xludf.DUMMYFUNCTION("GOOGLETRANSLATE(I232,""my"", ""en"")"),"368")</f>
        <v>368</v>
      </c>
      <c r="AB232" s="10" t="str">
        <f>IFERROR(__xludf.DUMMYFUNCTION("GOOGLETRANSLATE(J232,""my"", ""en"")"),"3227")</f>
        <v>3227</v>
      </c>
      <c r="AE232" s="10" t="str">
        <f>IFERROR(__xludf.DUMMYFUNCTION("GOOGLETRANSLATE(M232,""my"", ""en"")"),"41987")</f>
        <v>41987</v>
      </c>
      <c r="AF232" s="10" t="str">
        <f>IFERROR(__xludf.DUMMYFUNCTION("GOOGLETRANSLATE(N232,""my"", ""en"")"),"15331")</f>
        <v>15331</v>
      </c>
      <c r="AG232" s="10" t="str">
        <f>IFERROR(__xludf.DUMMYFUNCTION("GOOGLETRANSLATE(O232,""my"", ""en"")"),"57318")</f>
        <v>57318</v>
      </c>
    </row>
    <row r="233" ht="24.0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3" t="s">
        <v>1653</v>
      </c>
      <c r="L233" s="23" t="s">
        <v>1654</v>
      </c>
      <c r="M233" s="24" t="s">
        <v>1655</v>
      </c>
      <c r="N233" s="24" t="s">
        <v>1656</v>
      </c>
      <c r="O233" s="24" t="s">
        <v>1657</v>
      </c>
      <c r="P233" s="25" t="s">
        <v>1658</v>
      </c>
      <c r="AC233" s="10" t="str">
        <f>IFERROR(__xludf.DUMMYFUNCTION("GOOGLETRANSLATE(K233,""my"", ""en"")"),"Love ေစာ")</f>
        <v>Love ေစာ</v>
      </c>
      <c r="AD233" s="10" t="str">
        <f>IFERROR(__xludf.DUMMYFUNCTION("GOOGLETRANSLATE(L233,""my"", ""en"")")," Game Democracy group   Pop Party")</f>
        <v> Game Democracy group   Pop Party</v>
      </c>
      <c r="AE233" s="10" t="str">
        <f>IFERROR(__xludf.DUMMYFUNCTION("GOOGLETRANSLATE(M233,""my"", ""en"")"),"24749")</f>
        <v>24749</v>
      </c>
      <c r="AF233" s="10" t="str">
        <f>IFERROR(__xludf.DUMMYFUNCTION("GOOGLETRANSLATE(N233,""my"", ""en"")"),"8124")</f>
        <v>8124</v>
      </c>
      <c r="AG233" s="10" t="str">
        <f>IFERROR(__xludf.DUMMYFUNCTION("GOOGLETRANSLATE(O233,""my"", ""en"")"),"32873")</f>
        <v>32873</v>
      </c>
      <c r="AH233" s="10" t="str">
        <f>IFERROR(__xludf.DUMMYFUNCTION("GOOGLETRANSLATE(P233,""my"", ""en"")"),"57.35%")</f>
        <v>57.35%</v>
      </c>
    </row>
    <row r="234" ht="24.0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3" t="s">
        <v>1659</v>
      </c>
      <c r="L234" s="23" t="s">
        <v>1660</v>
      </c>
      <c r="M234" s="24" t="s">
        <v>1661</v>
      </c>
      <c r="N234" s="24" t="s">
        <v>1662</v>
      </c>
      <c r="O234" s="24" t="s">
        <v>1663</v>
      </c>
      <c r="P234" s="25" t="s">
        <v>1664</v>
      </c>
      <c r="AC234" s="10" t="str">
        <f>IFERROR(__xludf.DUMMYFUNCTION("GOOGLETRANSLATE(K234,""my"", ""en"")"),"Show Palace ေစာ")</f>
        <v>Show Palace ေစာ</v>
      </c>
      <c r="AD234" s="10" t="str">
        <f>IFERROR(__xludf.DUMMYFUNCTION("GOOGLETRANSLATE(L234,""my"", ""en"")"),"Democratic Party triggered  Game")</f>
        <v>Democratic Party triggered  Game</v>
      </c>
      <c r="AE234" s="10" t="str">
        <f>IFERROR(__xludf.DUMMYFUNCTION("GOOGLETRANSLATE(M234,""my"", ""en"")"),"11301")</f>
        <v>11301</v>
      </c>
      <c r="AF234" s="10" t="str">
        <f>IFERROR(__xludf.DUMMYFUNCTION("GOOGLETRANSLATE(N234,""my"", ""en"")"),"3443")</f>
        <v>3443</v>
      </c>
      <c r="AG234" s="10" t="str">
        <f>IFERROR(__xludf.DUMMYFUNCTION("GOOGLETRANSLATE(O234,""my"", ""en"")"),"14744")</f>
        <v>14744</v>
      </c>
      <c r="AH234" s="10" t="str">
        <f>IFERROR(__xludf.DUMMYFUNCTION("GOOGLETRANSLATE(P234,""my"", ""en"")"),"25.73%")</f>
        <v>25.73%</v>
      </c>
    </row>
    <row r="235" ht="24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3" t="s">
        <v>1665</v>
      </c>
      <c r="L235" s="23" t="s">
        <v>1666</v>
      </c>
      <c r="M235" s="24" t="s">
        <v>1667</v>
      </c>
      <c r="N235" s="24" t="s">
        <v>1668</v>
      </c>
      <c r="O235" s="24" t="s">
        <v>1669</v>
      </c>
      <c r="P235" s="25" t="s">
        <v>1670</v>
      </c>
      <c r="AC235" s="10" t="str">
        <f>IFERROR(__xludf.DUMMYFUNCTION("GOOGLETRANSLATE(K235,""my"", ""en"")")," Cashier")</f>
        <v> Cashier</v>
      </c>
      <c r="AD235" s="10" t="str">
        <f>IFERROR(__xludf.DUMMYFUNCTION("GOOGLETRANSLATE(L235,""my"", ""en"")"),"Local ေထာင် soap-stone strong ေရး  under development  Phil  ေရး Party")</f>
        <v>Local ေထာင် soap-stone strong ေရး  under development  Phil  ေရး Party</v>
      </c>
      <c r="AE235" s="10" t="str">
        <f>IFERROR(__xludf.DUMMYFUNCTION("GOOGLETRANSLATE(M235,""my"", ""en"")"),"4659")</f>
        <v>4659</v>
      </c>
      <c r="AF235" s="10" t="str">
        <f>IFERROR(__xludf.DUMMYFUNCTION("GOOGLETRANSLATE(N235,""my"", ""en"")"),"2994")</f>
        <v>2994</v>
      </c>
      <c r="AG235" s="10" t="str">
        <f>IFERROR(__xludf.DUMMYFUNCTION("GOOGLETRANSLATE(O235,""my"", ""en"")"),"7653")</f>
        <v>7653</v>
      </c>
      <c r="AH235" s="10" t="str">
        <f>IFERROR(__xludf.DUMMYFUNCTION("GOOGLETRANSLATE(P235,""my"", ""en"")"),"13.35%")</f>
        <v>13.35%</v>
      </c>
    </row>
    <row r="236" ht="24.0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3" t="s">
        <v>1671</v>
      </c>
      <c r="L236" s="23" t="s">
        <v>1672</v>
      </c>
      <c r="M236" s="24" t="s">
        <v>1673</v>
      </c>
      <c r="N236" s="24" t="s">
        <v>1674</v>
      </c>
      <c r="O236" s="24" t="s">
        <v>1675</v>
      </c>
      <c r="P236" s="25" t="s">
        <v>1676</v>
      </c>
      <c r="AC236" s="10" t="str">
        <f>IFERROR(__xludf.DUMMYFUNCTION("GOOGLETRANSLATE(K236,""my"", ""en"")"),"Saw Soe")</f>
        <v>Saw Soe</v>
      </c>
      <c r="AD236" s="10" t="str">
        <f>IFERROR(__xludf.DUMMYFUNCTION("GOOGLETRANSLATE(L236,""my"", ""en"")"),"Personal ")</f>
        <v>Personal </v>
      </c>
      <c r="AE236" s="10" t="str">
        <f>IFERROR(__xludf.DUMMYFUNCTION("GOOGLETRANSLATE(M236,""my"", ""en"")"),"682")</f>
        <v>682</v>
      </c>
      <c r="AF236" s="10" t="str">
        <f>IFERROR(__xludf.DUMMYFUNCTION("GOOGLETRANSLATE(N236,""my"", ""en"")"),"420")</f>
        <v>420</v>
      </c>
      <c r="AG236" s="10" t="str">
        <f>IFERROR(__xludf.DUMMYFUNCTION("GOOGLETRANSLATE(O236,""my"", ""en"")"),"1102")</f>
        <v>1102</v>
      </c>
      <c r="AH236" s="10" t="str">
        <f>IFERROR(__xludf.DUMMYFUNCTION("GOOGLETRANSLATE(P236,""my"", ""en"")"),"1.92%")</f>
        <v>1.92%</v>
      </c>
    </row>
    <row r="237" ht="24.0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6" t="s">
        <v>1677</v>
      </c>
      <c r="L237" s="36" t="s">
        <v>1678</v>
      </c>
      <c r="M237" s="37" t="s">
        <v>1679</v>
      </c>
      <c r="N237" s="37" t="s">
        <v>1680</v>
      </c>
      <c r="O237" s="37" t="s">
        <v>1681</v>
      </c>
      <c r="P237" s="38" t="s">
        <v>1682</v>
      </c>
      <c r="AC237" s="10" t="str">
        <f>IFERROR(__xludf.DUMMYFUNCTION("GOOGLETRANSLATE(K237,""my"", ""en"")"),"Soe ေအာင်")</f>
        <v>Soe ေအာင်</v>
      </c>
      <c r="AD237" s="10" t="str">
        <f>IFERROR(__xludf.DUMMYFUNCTION("GOOGLETRANSLATE(L237,""my"", ""en"")"),"Local ေထာင် စုေ white  Game ေဆာင် Party")</f>
        <v>Local ေထာင် စုေ white  Game ေဆာင် Party</v>
      </c>
      <c r="AE237" s="10" t="str">
        <f>IFERROR(__xludf.DUMMYFUNCTION("GOOGLETRANSLATE(M237,""my"", ""en"")"),"596")</f>
        <v>596</v>
      </c>
      <c r="AF237" s="10" t="str">
        <f>IFERROR(__xludf.DUMMYFUNCTION("GOOGLETRANSLATE(N237,""my"", ""en"")"),"350")</f>
        <v>350</v>
      </c>
      <c r="AG237" s="10" t="str">
        <f>IFERROR(__xludf.DUMMYFUNCTION("GOOGLETRANSLATE(O237,""my"", ""en"")"),"946")</f>
        <v>946</v>
      </c>
      <c r="AH237" s="10" t="str">
        <f>IFERROR(__xludf.DUMMYFUNCTION("GOOGLETRANSLATE(P237,""my"", ""en"")"),"1.65%")</f>
        <v>1.65%</v>
      </c>
    </row>
    <row r="238" ht="24.75" customHeight="1">
      <c r="A238" s="17" t="s">
        <v>1683</v>
      </c>
      <c r="B238" s="17" t="s">
        <v>1684</v>
      </c>
      <c r="C238" s="18" t="s">
        <v>1685</v>
      </c>
      <c r="D238" s="17" t="s">
        <v>1686</v>
      </c>
      <c r="E238" s="18" t="s">
        <v>1687</v>
      </c>
      <c r="F238" s="18" t="s">
        <v>1688</v>
      </c>
      <c r="G238" s="18" t="s">
        <v>1689</v>
      </c>
      <c r="H238" s="18" t="s">
        <v>1690</v>
      </c>
      <c r="I238" s="18" t="s">
        <v>1691</v>
      </c>
      <c r="J238" s="18" t="s">
        <v>1692</v>
      </c>
      <c r="K238" s="27"/>
      <c r="L238" s="27"/>
      <c r="M238" s="18" t="s">
        <v>1693</v>
      </c>
      <c r="N238" s="18" t="s">
        <v>1694</v>
      </c>
      <c r="O238" s="18" t="s">
        <v>1695</v>
      </c>
      <c r="P238" s="27"/>
      <c r="S238" s="10" t="str">
        <f>IFERROR(__xludf.DUMMYFUNCTION("GOOGLETRANSLATE(A238,""my"", ""en"")"),"33")</f>
        <v>33</v>
      </c>
      <c r="T238" s="10" t="str">
        <f>IFERROR(__xludf.DUMMYFUNCTION("GOOGLETRANSLATE(B238,""my"", ""en"")"),"မဲဆ  No. (9)")</f>
        <v>မဲဆ  No. (9)</v>
      </c>
      <c r="U238" s="10" t="str">
        <f>IFERROR(__xludf.DUMMYFUNCTION("GOOGLETRANSLATE(C238,""my"", ""en"")"),"123861")</f>
        <v>123861</v>
      </c>
      <c r="V238" s="10" t="str">
        <f>IFERROR(__xludf.DUMMYFUNCTION("GOOGLETRANSLATE(D238,""my"", ""en"")"),"44318")</f>
        <v>44318</v>
      </c>
      <c r="W238" s="10" t="str">
        <f>IFERROR(__xludf.DUMMYFUNCTION("GOOGLETRANSLATE(E238,""my"", ""en"")"),"14428")</f>
        <v>14428</v>
      </c>
      <c r="X238" s="10" t="str">
        <f>IFERROR(__xludf.DUMMYFUNCTION("GOOGLETRANSLATE(F238,""my"", ""en"")"),"58746")</f>
        <v>58746</v>
      </c>
      <c r="Y238" s="10" t="str">
        <f>IFERROR(__xludf.DUMMYFUNCTION("GOOGLETRANSLATE(G238,""my"", ""en"")"),"47.43")</f>
        <v>47.43</v>
      </c>
      <c r="Z238" s="10" t="str">
        <f>IFERROR(__xludf.DUMMYFUNCTION("GOOGLETRANSLATE(H238,""my"", ""en"")"),"4520")</f>
        <v>4520</v>
      </c>
      <c r="AA238" s="10" t="str">
        <f>IFERROR(__xludf.DUMMYFUNCTION("GOOGLETRANSLATE(I238,""my"", ""en"")"),"185")</f>
        <v>185</v>
      </c>
      <c r="AB238" s="10" t="str">
        <f>IFERROR(__xludf.DUMMYFUNCTION("GOOGLETRANSLATE(J238,""my"", ""en"")"),"4705")</f>
        <v>4705</v>
      </c>
      <c r="AE238" s="10" t="str">
        <f>IFERROR(__xludf.DUMMYFUNCTION("GOOGLETRANSLATE(M238,""my"", ""en"")"),"40748")</f>
        <v>40748</v>
      </c>
      <c r="AF238" s="10" t="str">
        <f>IFERROR(__xludf.DUMMYFUNCTION("GOOGLETRANSLATE(N238,""my"", ""en"")"),"13293")</f>
        <v>13293</v>
      </c>
      <c r="AG238" s="10" t="str">
        <f>IFERROR(__xludf.DUMMYFUNCTION("GOOGLETRANSLATE(O238,""my"", ""en"")"),"54041")</f>
        <v>54041</v>
      </c>
    </row>
    <row r="239" ht="24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3" t="s">
        <v>1696</v>
      </c>
      <c r="L239" s="23" t="s">
        <v>1697</v>
      </c>
      <c r="M239" s="24" t="s">
        <v>1698</v>
      </c>
      <c r="N239" s="24" t="s">
        <v>1699</v>
      </c>
      <c r="O239" s="24" t="s">
        <v>1700</v>
      </c>
      <c r="P239" s="25" t="s">
        <v>1701</v>
      </c>
      <c r="AC239" s="10" t="str">
        <f>IFERROR(__xludf.DUMMYFUNCTION("GOOGLETRANSLATE(K239,""my"", ""en"")"),"Nang roofing ေထွး")</f>
        <v>Nang roofing ေထွး</v>
      </c>
      <c r="AD239" s="10" t="str">
        <f>IFERROR(__xludf.DUMMYFUNCTION("GOOGLETRANSLATE(L239,""my"", ""en"")")," Game Democracy group   Pop Party")</f>
        <v> Game Democracy group   Pop Party</v>
      </c>
      <c r="AE239" s="10" t="str">
        <f>IFERROR(__xludf.DUMMYFUNCTION("GOOGLETRANSLATE(M239,""my"", ""en"")"),"14954")</f>
        <v>14954</v>
      </c>
      <c r="AF239" s="10" t="str">
        <f>IFERROR(__xludf.DUMMYFUNCTION("GOOGLETRANSLATE(N239,""my"", ""en"")"),"5192")</f>
        <v>5192</v>
      </c>
      <c r="AG239" s="10" t="str">
        <f>IFERROR(__xludf.DUMMYFUNCTION("GOOGLETRANSLATE(O239,""my"", ""en"")"),"20146")</f>
        <v>20146</v>
      </c>
      <c r="AH239" s="10" t="str">
        <f>IFERROR(__xludf.DUMMYFUNCTION("GOOGLETRANSLATE(P239,""my"", ""en"")"),"37.28%")</f>
        <v>37.28%</v>
      </c>
    </row>
    <row r="240" ht="24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3" t="s">
        <v>1702</v>
      </c>
      <c r="L240" s="23" t="s">
        <v>1703</v>
      </c>
      <c r="M240" s="24" t="s">
        <v>1704</v>
      </c>
      <c r="N240" s="24" t="s">
        <v>1705</v>
      </c>
      <c r="O240" s="24" t="s">
        <v>1706</v>
      </c>
      <c r="P240" s="25" t="s">
        <v>1707</v>
      </c>
      <c r="AC240" s="10" t="str">
        <f>IFERROR(__xludf.DUMMYFUNCTION("GOOGLETRANSLATE(K240,""my"", ""en"")"),"ေစာ seems not")</f>
        <v>ေစာ seems not</v>
      </c>
      <c r="AD240" s="10" t="str">
        <f>IFERROR(__xludf.DUMMYFUNCTION("GOOGLETRANSLATE(L240,""my"", ""en"")"),"Democratic Party triggered  Game")</f>
        <v>Democratic Party triggered  Game</v>
      </c>
      <c r="AE240" s="10" t="str">
        <f>IFERROR(__xludf.DUMMYFUNCTION("GOOGLETRANSLATE(M240,""my"", ""en"")"),"16169")</f>
        <v>16169</v>
      </c>
      <c r="AF240" s="10" t="str">
        <f>IFERROR(__xludf.DUMMYFUNCTION("GOOGLETRANSLATE(N240,""my"", ""en"")"),"3972")</f>
        <v>3972</v>
      </c>
      <c r="AG240" s="10" t="str">
        <f>IFERROR(__xludf.DUMMYFUNCTION("GOOGLETRANSLATE(O240,""my"", ""en"")"),"20141")</f>
        <v>20141</v>
      </c>
      <c r="AH240" s="10" t="str">
        <f>IFERROR(__xludf.DUMMYFUNCTION("GOOGLETRANSLATE(P240,""my"", ""en"")"),"37.27%")</f>
        <v>37.27%</v>
      </c>
    </row>
    <row r="241" ht="24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3" t="s">
        <v>1708</v>
      </c>
      <c r="L241" s="23" t="s">
        <v>1709</v>
      </c>
      <c r="M241" s="24" t="s">
        <v>1710</v>
      </c>
      <c r="N241" s="24" t="s">
        <v>1711</v>
      </c>
      <c r="O241" s="24" t="s">
        <v>1712</v>
      </c>
      <c r="P241" s="25" t="s">
        <v>1713</v>
      </c>
      <c r="AC241" s="10" t="str">
        <f>IFERROR(__xludf.DUMMYFUNCTION("GOOGLETRANSLATE(K241,""my"", ""en"")"),"U Tun Tun Oo")</f>
        <v>U Tun Tun Oo</v>
      </c>
      <c r="AD241" s="10" t="str">
        <f>IFERROR(__xludf.DUMMYFUNCTION("GOOGLETRANSLATE(L241,""my"", ""en"")"),"Local ေထာင် soap-stone strong ေရး  under development  Phil  ေရး Party")</f>
        <v>Local ေထာင် soap-stone strong ေရး  under development  Phil  ေရး Party</v>
      </c>
      <c r="AE241" s="10" t="str">
        <f>IFERROR(__xludf.DUMMYFUNCTION("GOOGLETRANSLATE(M241,""my"", ""en"")"),"9174")</f>
        <v>9174</v>
      </c>
      <c r="AF241" s="10" t="str">
        <f>IFERROR(__xludf.DUMMYFUNCTION("GOOGLETRANSLATE(N241,""my"", ""en"")"),"3917")</f>
        <v>3917</v>
      </c>
      <c r="AG241" s="10" t="str">
        <f>IFERROR(__xludf.DUMMYFUNCTION("GOOGLETRANSLATE(O241,""my"", ""en"")"),"13091")</f>
        <v>13091</v>
      </c>
      <c r="AH241" s="10" t="str">
        <f>IFERROR(__xludf.DUMMYFUNCTION("GOOGLETRANSLATE(P241,""my"", ""en"")"),"24.22%")</f>
        <v>24.22%</v>
      </c>
    </row>
    <row r="242" ht="24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3" t="s">
        <v>1714</v>
      </c>
      <c r="L242" s="23" t="s">
        <v>1715</v>
      </c>
      <c r="M242" s="24" t="s">
        <v>1716</v>
      </c>
      <c r="N242" s="24" t="s">
        <v>1717</v>
      </c>
      <c r="O242" s="24" t="s">
        <v>1718</v>
      </c>
      <c r="P242" s="25" t="s">
        <v>1719</v>
      </c>
      <c r="AC242" s="10" t="str">
        <f>IFERROR(__xludf.DUMMYFUNCTION("GOOGLETRANSLATE(K242,""my"", ""en"")"),"March ေကျာ")</f>
        <v>March ေကျာ</v>
      </c>
      <c r="AD242" s="10" t="str">
        <f>IFERROR(__xludf.DUMMYFUNCTION("GOOGLETRANSLATE(L242,""my"", ""en"")"),"Local ေထာင် စုေ white  Game ေဆာင် Party")</f>
        <v>Local ေထာင် စုေ white  Game ေဆာင် Party</v>
      </c>
      <c r="AE242" s="10" t="str">
        <f>IFERROR(__xludf.DUMMYFUNCTION("GOOGLETRANSLATE(M242,""my"", ""en"")"),"451")</f>
        <v>451</v>
      </c>
      <c r="AF242" s="10" t="str">
        <f>IFERROR(__xludf.DUMMYFUNCTION("GOOGLETRANSLATE(N242,""my"", ""en"")"),"212")</f>
        <v>212</v>
      </c>
      <c r="AG242" s="10" t="str">
        <f>IFERROR(__xludf.DUMMYFUNCTION("GOOGLETRANSLATE(O242,""my"", ""en"")"),"663")</f>
        <v>663</v>
      </c>
      <c r="AH242" s="10" t="str">
        <f>IFERROR(__xludf.DUMMYFUNCTION("GOOGLETRANSLATE(P242,""my"", ""en"")"),"1.23%")</f>
        <v>1.23%</v>
      </c>
    </row>
    <row r="243" ht="24.75" customHeight="1">
      <c r="A243" s="17" t="s">
        <v>1720</v>
      </c>
      <c r="B243" s="17" t="s">
        <v>1721</v>
      </c>
      <c r="C243" s="18" t="s">
        <v>1722</v>
      </c>
      <c r="D243" s="17" t="s">
        <v>1723</v>
      </c>
      <c r="E243" s="18" t="s">
        <v>1724</v>
      </c>
      <c r="F243" s="18" t="s">
        <v>1725</v>
      </c>
      <c r="G243" s="18" t="s">
        <v>1726</v>
      </c>
      <c r="H243" s="18" t="s">
        <v>1727</v>
      </c>
      <c r="I243" s="18" t="s">
        <v>1728</v>
      </c>
      <c r="J243" s="18" t="s">
        <v>1729</v>
      </c>
      <c r="K243" s="27"/>
      <c r="L243" s="27"/>
      <c r="M243" s="18" t="s">
        <v>1730</v>
      </c>
      <c r="N243" s="18" t="s">
        <v>1731</v>
      </c>
      <c r="O243" s="18" t="s">
        <v>1732</v>
      </c>
      <c r="P243" s="27"/>
      <c r="S243" s="10" t="str">
        <f>IFERROR(__xludf.DUMMYFUNCTION("GOOGLETRANSLATE(A243,""my"", ""en"")"),"34")</f>
        <v>34</v>
      </c>
      <c r="T243" s="10" t="str">
        <f>IFERROR(__xludf.DUMMYFUNCTION("GOOGLETRANSLATE(B243,""my"", ""en"")"),"မဲဆ  No. (10)")</f>
        <v>မဲဆ  No. (10)</v>
      </c>
      <c r="U243" s="10" t="str">
        <f>IFERROR(__xludf.DUMMYFUNCTION("GOOGLETRANSLATE(C243,""my"", ""en"")"),"62289")</f>
        <v>62289</v>
      </c>
      <c r="V243" s="10" t="str">
        <f>IFERROR(__xludf.DUMMYFUNCTION("GOOGLETRANSLATE(D243,""my"", ""en"")"),"30838")</f>
        <v>30838</v>
      </c>
      <c r="W243" s="10" t="str">
        <f>IFERROR(__xludf.DUMMYFUNCTION("GOOGLETRANSLATE(E243,""my"", ""en"")"),"10107")</f>
        <v>10107</v>
      </c>
      <c r="X243" s="10" t="str">
        <f>IFERROR(__xludf.DUMMYFUNCTION("GOOGLETRANSLATE(F243,""my"", ""en"")"),"40945")</f>
        <v>40945</v>
      </c>
      <c r="Y243" s="10" t="str">
        <f>IFERROR(__xludf.DUMMYFUNCTION("GOOGLETRANSLATE(G243,""my"", ""en"")"),"65.73")</f>
        <v>65.73</v>
      </c>
      <c r="Z243" s="10" t="str">
        <f>IFERROR(__xludf.DUMMYFUNCTION("GOOGLETRANSLATE(H243,""my"", ""en"")"),"1874")</f>
        <v>1874</v>
      </c>
      <c r="AA243" s="10" t="str">
        <f>IFERROR(__xludf.DUMMYFUNCTION("GOOGLETRANSLATE(I243,""my"", ""en"")"),"31")</f>
        <v>31</v>
      </c>
      <c r="AB243" s="10" t="str">
        <f>IFERROR(__xludf.DUMMYFUNCTION("GOOGLETRANSLATE(J243,""my"", ""en"")"),"1905")</f>
        <v>1905</v>
      </c>
      <c r="AE243" s="10" t="str">
        <f>IFERROR(__xludf.DUMMYFUNCTION("GOOGLETRANSLATE(M243,""my"", ""en"")"),"28983")</f>
        <v>28983</v>
      </c>
      <c r="AF243" s="10" t="str">
        <f>IFERROR(__xludf.DUMMYFUNCTION("GOOGLETRANSLATE(N243,""my"", ""en"")"),"10057")</f>
        <v>10057</v>
      </c>
      <c r="AG243" s="10" t="str">
        <f>IFERROR(__xludf.DUMMYFUNCTION("GOOGLETRANSLATE(O243,""my"", ""en"")"),"39040")</f>
        <v>39040</v>
      </c>
    </row>
    <row r="244" ht="39.0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 t="s">
        <v>1733</v>
      </c>
      <c r="L244" s="32" t="s">
        <v>1734</v>
      </c>
      <c r="M244" s="33" t="s">
        <v>1735</v>
      </c>
      <c r="N244" s="33" t="s">
        <v>1736</v>
      </c>
      <c r="O244" s="33" t="s">
        <v>1737</v>
      </c>
      <c r="P244" s="31" t="s">
        <v>1738</v>
      </c>
      <c r="AC244" s="10" t="str">
        <f>IFERROR(__xludf.DUMMYFUNCTION("GOOGLETRANSLATE(K244,""my"", ""en"")"),"ေဒါက် တာေ  Tun
(B) rain")</f>
        <v>ေဒါက် တာေ  Tun
(B) rain</v>
      </c>
      <c r="AD244" s="10" t="str">
        <f>IFERROR(__xludf.DUMMYFUNCTION("GOOGLETRANSLATE(L244,""my"", ""en"")")," Game Democracy group   Pop Party")</f>
        <v> Game Democracy group   Pop Party</v>
      </c>
      <c r="AE244" s="10" t="str">
        <f>IFERROR(__xludf.DUMMYFUNCTION("GOOGLETRANSLATE(M244,""my"", ""en"")"),"14305")</f>
        <v>14305</v>
      </c>
      <c r="AF244" s="10" t="str">
        <f>IFERROR(__xludf.DUMMYFUNCTION("GOOGLETRANSLATE(N244,""my"", ""en"")"),"3745")</f>
        <v>3745</v>
      </c>
      <c r="AG244" s="10" t="str">
        <f>IFERROR(__xludf.DUMMYFUNCTION("GOOGLETRANSLATE(O244,""my"", ""en"")"),"18050")</f>
        <v>18050</v>
      </c>
      <c r="AH244" s="10" t="str">
        <f>IFERROR(__xludf.DUMMYFUNCTION("GOOGLETRANSLATE(P244,""my"", ""en"")"),"46.23%")</f>
        <v>46.23%</v>
      </c>
    </row>
    <row r="245" ht="37.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2" t="s">
        <v>1739</v>
      </c>
      <c r="L245" s="32" t="s">
        <v>1740</v>
      </c>
      <c r="M245" s="33" t="s">
        <v>1741</v>
      </c>
      <c r="N245" s="33" t="s">
        <v>1742</v>
      </c>
      <c r="O245" s="33" t="s">
        <v>1743</v>
      </c>
      <c r="P245" s="31" t="s">
        <v>1744</v>
      </c>
      <c r="AC245" s="10" t="str">
        <f>IFERROR(__xludf.DUMMYFUNCTION("GOOGLETRANSLATE(K245,""my"", ""en"")"),"Tun ေအာင် (b)
Show ေစာ Tun ေအာင်")</f>
        <v>Tun ေအာင် (b)
Show ေစာ Tun ေအာင်</v>
      </c>
      <c r="AD245" s="10" t="str">
        <f>IFERROR(__xludf.DUMMYFUNCTION("GOOGLETRANSLATE(L245,""my"", ""en"")"),"Karen ပည်သူ Party")</f>
        <v>Karen ပည်သူ Party</v>
      </c>
      <c r="AE245" s="10" t="str">
        <f>IFERROR(__xludf.DUMMYFUNCTION("GOOGLETRANSLATE(M245,""my"", ""en"")"),"11176")</f>
        <v>11176</v>
      </c>
      <c r="AF245" s="10" t="str">
        <f>IFERROR(__xludf.DUMMYFUNCTION("GOOGLETRANSLATE(N245,""my"", ""en"")"),"3124")</f>
        <v>3124</v>
      </c>
      <c r="AG245" s="10" t="str">
        <f>IFERROR(__xludf.DUMMYFUNCTION("GOOGLETRANSLATE(O245,""my"", ""en"")"),"14300")</f>
        <v>14300</v>
      </c>
      <c r="AH245" s="10" t="str">
        <f>IFERROR(__xludf.DUMMYFUNCTION("GOOGLETRANSLATE(P245,""my"", ""en"")"),"36.63%")</f>
        <v>36.63%</v>
      </c>
    </row>
    <row r="246" ht="25.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3" t="s">
        <v>1745</v>
      </c>
      <c r="L246" s="23" t="s">
        <v>1746</v>
      </c>
      <c r="M246" s="24" t="s">
        <v>1747</v>
      </c>
      <c r="N246" s="24" t="s">
        <v>1748</v>
      </c>
      <c r="O246" s="24" t="s">
        <v>1749</v>
      </c>
      <c r="P246" s="25" t="s">
        <v>1750</v>
      </c>
      <c r="AC246" s="10" t="str">
        <f>IFERROR(__xludf.DUMMYFUNCTION("GOOGLETRANSLATE(K246,""my"", ""en"")"),"Norwegian resin")</f>
        <v>Norwegian resin</v>
      </c>
      <c r="AD246" s="10" t="str">
        <f>IFERROR(__xludf.DUMMYFUNCTION("GOOGLETRANSLATE(L246,""my"", ""en"")"),"Local ေထာင် soap-stone strong ေရး  under development  Phil  ေရး Party")</f>
        <v>Local ေထာင် soap-stone strong ေရး  under development  Phil  ေရး Party</v>
      </c>
      <c r="AE246" s="10" t="str">
        <f>IFERROR(__xludf.DUMMYFUNCTION("GOOGLETRANSLATE(M246,""my"", ""en"")"),"2840")</f>
        <v>2840</v>
      </c>
      <c r="AF246" s="10" t="str">
        <f>IFERROR(__xludf.DUMMYFUNCTION("GOOGLETRANSLATE(N246,""my"", ""en"")"),"2942")</f>
        <v>2942</v>
      </c>
      <c r="AG246" s="10" t="str">
        <f>IFERROR(__xludf.DUMMYFUNCTION("GOOGLETRANSLATE(O246,""my"", ""en"")"),"5782")</f>
        <v>5782</v>
      </c>
      <c r="AH246" s="10" t="str">
        <f>IFERROR(__xludf.DUMMYFUNCTION("GOOGLETRANSLATE(P246,""my"", ""en"")"),"14.81%")</f>
        <v>14.81%</v>
      </c>
    </row>
    <row r="247" ht="24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3" t="s">
        <v>1751</v>
      </c>
      <c r="L247" s="23" t="s">
        <v>1752</v>
      </c>
      <c r="M247" s="24" t="s">
        <v>1753</v>
      </c>
      <c r="N247" s="24" t="s">
        <v>1754</v>
      </c>
      <c r="O247" s="24" t="s">
        <v>1755</v>
      </c>
      <c r="P247" s="25" t="s">
        <v>1756</v>
      </c>
      <c r="AC247" s="10" t="str">
        <f>IFERROR(__xludf.DUMMYFUNCTION("GOOGLETRANSLATE(K247,""my"", ""en"")"),"Norwegian species of bamboo")</f>
        <v>Norwegian species of bamboo</v>
      </c>
      <c r="AD247" s="10" t="str">
        <f>IFERROR(__xludf.DUMMYFUNCTION("GOOGLETRANSLATE(L247,""my"", ""en"")"),"Local ေထာင် စုေ white  Game ေဆာင် Party")</f>
        <v>Local ေထာင် စုေ white  Game ေဆာင် Party</v>
      </c>
      <c r="AE247" s="10" t="str">
        <f>IFERROR(__xludf.DUMMYFUNCTION("GOOGLETRANSLATE(M247,""my"", ""en"")"),"662")</f>
        <v>662</v>
      </c>
      <c r="AF247" s="10" t="str">
        <f>IFERROR(__xludf.DUMMYFUNCTION("GOOGLETRANSLATE(N247,""my"", ""en"")"),"246")</f>
        <v>246</v>
      </c>
      <c r="AG247" s="10" t="str">
        <f>IFERROR(__xludf.DUMMYFUNCTION("GOOGLETRANSLATE(O247,""my"", ""en"")"),"908")</f>
        <v>908</v>
      </c>
      <c r="AH247" s="10" t="str">
        <f>IFERROR(__xludf.DUMMYFUNCTION("GOOGLETRANSLATE(P247,""my"", ""en"")"),"2.33%")</f>
        <v>2.33%</v>
      </c>
    </row>
    <row r="248" ht="22.5" customHeight="1">
      <c r="A248" s="17" t="s">
        <v>1757</v>
      </c>
      <c r="B248" s="17" t="s">
        <v>1758</v>
      </c>
      <c r="C248" s="18" t="s">
        <v>1759</v>
      </c>
      <c r="D248" s="18" t="s">
        <v>1760</v>
      </c>
      <c r="E248" s="18" t="s">
        <v>1761</v>
      </c>
      <c r="F248" s="18" t="s">
        <v>1762</v>
      </c>
      <c r="G248" s="18" t="s">
        <v>1763</v>
      </c>
      <c r="H248" s="18" t="s">
        <v>1764</v>
      </c>
      <c r="I248" s="18" t="s">
        <v>1765</v>
      </c>
      <c r="J248" s="18" t="s">
        <v>1766</v>
      </c>
      <c r="K248" s="27"/>
      <c r="L248" s="27"/>
      <c r="M248" s="18" t="s">
        <v>1767</v>
      </c>
      <c r="N248" s="18" t="s">
        <v>1768</v>
      </c>
      <c r="O248" s="18" t="s">
        <v>1769</v>
      </c>
      <c r="P248" s="27"/>
      <c r="S248" s="10" t="str">
        <f>IFERROR(__xludf.DUMMYFUNCTION("GOOGLETRANSLATE(A248,""my"", ""en"")"),"35")</f>
        <v>35</v>
      </c>
      <c r="T248" s="10" t="str">
        <f>IFERROR(__xludf.DUMMYFUNCTION("GOOGLETRANSLATE(B248,""my"", ""en"")"),"မဲဆ  No. (11)")</f>
        <v>မဲဆ  No. (11)</v>
      </c>
      <c r="U248" s="10" t="str">
        <f>IFERROR(__xludf.DUMMYFUNCTION("GOOGLETRANSLATE(C248,""my"", ""en"")"),"103455")</f>
        <v>103455</v>
      </c>
      <c r="V248" s="10" t="str">
        <f>IFERROR(__xludf.DUMMYFUNCTION("GOOGLETRANSLATE(D248,""my"", ""en"")"),"37454")</f>
        <v>37454</v>
      </c>
      <c r="W248" s="10" t="str">
        <f>IFERROR(__xludf.DUMMYFUNCTION("GOOGLETRANSLATE(E248,""my"", ""en"")"),"11426")</f>
        <v>11426</v>
      </c>
      <c r="X248" s="10" t="str">
        <f>IFERROR(__xludf.DUMMYFUNCTION("GOOGLETRANSLATE(F248,""my"", ""en"")"),"48880")</f>
        <v>48880</v>
      </c>
      <c r="Y248" s="10" t="str">
        <f>IFERROR(__xludf.DUMMYFUNCTION("GOOGLETRANSLATE(G248,""my"", ""en"")"),"47.25")</f>
        <v>47.25</v>
      </c>
      <c r="Z248" s="10" t="str">
        <f>IFERROR(__xludf.DUMMYFUNCTION("GOOGLETRANSLATE(H248,""my"", ""en"")"),"1662")</f>
        <v>1662</v>
      </c>
      <c r="AA248" s="10" t="str">
        <f>IFERROR(__xludf.DUMMYFUNCTION("GOOGLETRANSLATE(I248,""my"", ""en"")"),"130")</f>
        <v>130</v>
      </c>
      <c r="AB248" s="10" t="str">
        <f>IFERROR(__xludf.DUMMYFUNCTION("GOOGLETRANSLATE(J248,""my"", ""en"")"),"1792")</f>
        <v>1792</v>
      </c>
      <c r="AE248" s="10" t="str">
        <f>IFERROR(__xludf.DUMMYFUNCTION("GOOGLETRANSLATE(M248,""my"", ""en"")"),"35730")</f>
        <v>35730</v>
      </c>
      <c r="AF248" s="10" t="str">
        <f>IFERROR(__xludf.DUMMYFUNCTION("GOOGLETRANSLATE(N248,""my"", ""en"")"),"11358")</f>
        <v>11358</v>
      </c>
      <c r="AG248" s="10" t="str">
        <f>IFERROR(__xludf.DUMMYFUNCTION("GOOGLETRANSLATE(O248,""my"", ""en"")"),"47088")</f>
        <v>47088</v>
      </c>
    </row>
    <row r="249" ht="21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3" t="s">
        <v>1770</v>
      </c>
      <c r="L249" s="23" t="s">
        <v>1771</v>
      </c>
      <c r="M249" s="24" t="s">
        <v>1772</v>
      </c>
      <c r="N249" s="24" t="s">
        <v>1773</v>
      </c>
      <c r="O249" s="24" t="s">
        <v>1774</v>
      </c>
      <c r="P249" s="25" t="s">
        <v>1775</v>
      </c>
      <c r="AC249" s="10" t="str">
        <f>IFERROR(__xludf.DUMMYFUNCTION("GOOGLETRANSLATE(K249,""my"", ""en"")"),"Mann Win Khaing million")</f>
        <v>Mann Win Khaing million</v>
      </c>
      <c r="AD249" s="10" t="str">
        <f>IFERROR(__xludf.DUMMYFUNCTION("GOOGLETRANSLATE(L249,""my"", ""en"")")," Game Democracy group   Pop Party")</f>
        <v> Game Democracy group   Pop Party</v>
      </c>
      <c r="AE249" s="10" t="str">
        <f>IFERROR(__xludf.DUMMYFUNCTION("GOOGLETRANSLATE(M249,""my"", ""en"")"),"24850")</f>
        <v>24850</v>
      </c>
      <c r="AF249" s="10" t="str">
        <f>IFERROR(__xludf.DUMMYFUNCTION("GOOGLETRANSLATE(N249,""my"", ""en"")"),"5503")</f>
        <v>5503</v>
      </c>
      <c r="AG249" s="10" t="str">
        <f>IFERROR(__xludf.DUMMYFUNCTION("GOOGLETRANSLATE(O249,""my"", ""en"")"),"30353")</f>
        <v>30353</v>
      </c>
      <c r="AH249" s="10" t="str">
        <f>IFERROR(__xludf.DUMMYFUNCTION("GOOGLETRANSLATE(P249,""my"", ""en"")"),"64.46%")</f>
        <v>64.46%</v>
      </c>
    </row>
    <row r="250" ht="21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3" t="s">
        <v>1776</v>
      </c>
      <c r="L250" s="23" t="s">
        <v>1777</v>
      </c>
      <c r="M250" s="24" t="s">
        <v>1778</v>
      </c>
      <c r="N250" s="24" t="s">
        <v>1779</v>
      </c>
      <c r="O250" s="24" t="s">
        <v>1780</v>
      </c>
      <c r="P250" s="25" t="s">
        <v>1781</v>
      </c>
      <c r="AC250" s="10" t="str">
        <f>IFERROR(__xludf.DUMMYFUNCTION("GOOGLETRANSLATE(K250,""my"", ""en"")"),"Tin Oo")</f>
        <v>Tin Oo</v>
      </c>
      <c r="AD250" s="10" t="str">
        <f>IFERROR(__xludf.DUMMYFUNCTION("GOOGLETRANSLATE(L250,""my"", ""en"")"),"Local ေထာင် soap-stone strong ေရး  under development  Phil  ေရး Party")</f>
        <v>Local ေထာင် soap-stone strong ေရး  under development  Phil  ေရး Party</v>
      </c>
      <c r="AE250" s="10" t="str">
        <f>IFERROR(__xludf.DUMMYFUNCTION("GOOGLETRANSLATE(M250,""my"", ""en"")"),"5553")</f>
        <v>5553</v>
      </c>
      <c r="AF250" s="10" t="str">
        <f>IFERROR(__xludf.DUMMYFUNCTION("GOOGLETRANSLATE(N250,""my"", ""en"")"),"4092")</f>
        <v>4092</v>
      </c>
      <c r="AG250" s="10" t="str">
        <f>IFERROR(__xludf.DUMMYFUNCTION("GOOGLETRANSLATE(O250,""my"", ""en"")"),"9645")</f>
        <v>9645</v>
      </c>
      <c r="AH250" s="10" t="str">
        <f>IFERROR(__xludf.DUMMYFUNCTION("GOOGLETRANSLATE(P250,""my"", ""en"")"),"20.48%")</f>
        <v>20.48%</v>
      </c>
    </row>
    <row r="251" ht="21.0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3" t="s">
        <v>1782</v>
      </c>
      <c r="L251" s="23" t="s">
        <v>1783</v>
      </c>
      <c r="M251" s="24" t="s">
        <v>1784</v>
      </c>
      <c r="N251" s="24" t="s">
        <v>1785</v>
      </c>
      <c r="O251" s="24" t="s">
        <v>1786</v>
      </c>
      <c r="P251" s="25" t="s">
        <v>1787</v>
      </c>
      <c r="AC251" s="10" t="str">
        <f>IFERROR(__xludf.DUMMYFUNCTION("GOOGLETRANSLATE(K251,""my"", ""en"")"),"ေစာ Sein Win")</f>
        <v>ေစာ Sein Win</v>
      </c>
      <c r="AD251" s="10" t="str">
        <f>IFERROR(__xludf.DUMMYFUNCTION("GOOGLETRANSLATE(L251,""my"", ""en"")"),"Democratic Party triggered  Game")</f>
        <v>Democratic Party triggered  Game</v>
      </c>
      <c r="AE251" s="10" t="str">
        <f>IFERROR(__xludf.DUMMYFUNCTION("GOOGLETRANSLATE(M251,""my"", ""en"")"),"4504")</f>
        <v>4504</v>
      </c>
      <c r="AF251" s="10" t="str">
        <f>IFERROR(__xludf.DUMMYFUNCTION("GOOGLETRANSLATE(N251,""my"", ""en"")"),"1374")</f>
        <v>1374</v>
      </c>
      <c r="AG251" s="10" t="str">
        <f>IFERROR(__xludf.DUMMYFUNCTION("GOOGLETRANSLATE(O251,""my"", ""en"")"),"5878")</f>
        <v>5878</v>
      </c>
      <c r="AH251" s="10" t="str">
        <f>IFERROR(__xludf.DUMMYFUNCTION("GOOGLETRANSLATE(P251,""my"", ""en"")"),"12.48%")</f>
        <v>12.48%</v>
      </c>
    </row>
    <row r="252" ht="21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3" t="s">
        <v>1788</v>
      </c>
      <c r="L252" s="23" t="s">
        <v>1789</v>
      </c>
      <c r="M252" s="24" t="s">
        <v>1790</v>
      </c>
      <c r="N252" s="24" t="s">
        <v>1791</v>
      </c>
      <c r="O252" s="24" t="s">
        <v>1792</v>
      </c>
      <c r="P252" s="25" t="s">
        <v>1793</v>
      </c>
      <c r="AC252" s="10" t="str">
        <f>IFERROR(__xludf.DUMMYFUNCTION("GOOGLETRANSLATE(K252,""my"", ""en"")"),"ေဒ  Jasmine ေဝ")</f>
        <v>ေဒ  Jasmine ေဝ</v>
      </c>
      <c r="AD252" s="10" t="str">
        <f>IFERROR(__xludf.DUMMYFUNCTION("GOOGLETRANSLATE(L252,""my"", ""en"")"),"Ethnic unity  working party ေရး")</f>
        <v>Ethnic unity  working party ေရး</v>
      </c>
      <c r="AE252" s="10" t="str">
        <f>IFERROR(__xludf.DUMMYFUNCTION("GOOGLETRANSLATE(M252,""my"", ""en"")"),"268")</f>
        <v>268</v>
      </c>
      <c r="AF252" s="10" t="str">
        <f>IFERROR(__xludf.DUMMYFUNCTION("GOOGLETRANSLATE(N252,""my"", ""en"")"),"156")</f>
        <v>156</v>
      </c>
      <c r="AG252" s="10" t="str">
        <f>IFERROR(__xludf.DUMMYFUNCTION("GOOGLETRANSLATE(O252,""my"", ""en"")"),"424")</f>
        <v>424</v>
      </c>
      <c r="AH252" s="10" t="str">
        <f>IFERROR(__xludf.DUMMYFUNCTION("GOOGLETRANSLATE(P252,""my"", ""en"")"),"0.90%")</f>
        <v>0.90%</v>
      </c>
    </row>
    <row r="253" ht="21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3" t="s">
        <v>1794</v>
      </c>
      <c r="L253" s="23" t="s">
        <v>1795</v>
      </c>
      <c r="M253" s="24" t="s">
        <v>1796</v>
      </c>
      <c r="N253" s="24" t="s">
        <v>1797</v>
      </c>
      <c r="O253" s="24" t="s">
        <v>1798</v>
      </c>
      <c r="P253" s="25" t="s">
        <v>1799</v>
      </c>
      <c r="AC253" s="10" t="str">
        <f>IFERROR(__xludf.DUMMYFUNCTION("GOOGLETRANSLATE(K253,""my"", ""en"")"),"ေကျာ Win ေအာင်")</f>
        <v>ေကျာ Win ေအာင်</v>
      </c>
      <c r="AD253" s="10" t="str">
        <f>IFERROR(__xludf.DUMMYFUNCTION("GOOGLETRANSLATE(L253,""my"", ""en"")"),"ပည်သူ ေရှ  ေဆာင် Party")</f>
        <v>ပည်သူ ေရှ  ေဆာင် Party</v>
      </c>
      <c r="AE253" s="10" t="str">
        <f>IFERROR(__xludf.DUMMYFUNCTION("GOOGLETRANSLATE(M253,""my"", ""en"")"),"308")</f>
        <v>308</v>
      </c>
      <c r="AF253" s="10" t="str">
        <f>IFERROR(__xludf.DUMMYFUNCTION("GOOGLETRANSLATE(N253,""my"", ""en"")"),"101")</f>
        <v>101</v>
      </c>
      <c r="AG253" s="10" t="str">
        <f>IFERROR(__xludf.DUMMYFUNCTION("GOOGLETRANSLATE(O253,""my"", ""en"")"),"409")</f>
        <v>409</v>
      </c>
      <c r="AH253" s="10" t="str">
        <f>IFERROR(__xludf.DUMMYFUNCTION("GOOGLETRANSLATE(P253,""my"", ""en"")"),"0.87%")</f>
        <v>0.87%</v>
      </c>
    </row>
    <row r="254" ht="21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3" t="s">
        <v>1800</v>
      </c>
      <c r="L254" s="23" t="s">
        <v>1801</v>
      </c>
      <c r="M254" s="24" t="s">
        <v>1802</v>
      </c>
      <c r="N254" s="24" t="s">
        <v>1803</v>
      </c>
      <c r="O254" s="24" t="s">
        <v>1804</v>
      </c>
      <c r="P254" s="25" t="s">
        <v>1805</v>
      </c>
      <c r="AC254" s="10" t="str">
        <f>IFERROR(__xludf.DUMMYFUNCTION("GOOGLETRANSLATE(K254,""my"", ""en"")"),"ေဒ  previous level  (b) Ni Ni Lwin")</f>
        <v>ေဒ  previous level  (b) Ni Ni Lwin</v>
      </c>
      <c r="AD254" s="10" t="str">
        <f>IFERROR(__xludf.DUMMYFUNCTION("GOOGLETRANSLATE(L254,""my"", ""en"")"),"Local ေထာင် စုေ white  Game ေဆာင် Party")</f>
        <v>Local ေထာင် စုေ white  Game ေဆာင် Party</v>
      </c>
      <c r="AE254" s="10" t="str">
        <f>IFERROR(__xludf.DUMMYFUNCTION("GOOGLETRANSLATE(M254,""my"", ""en"")"),"247")</f>
        <v>247</v>
      </c>
      <c r="AF254" s="10" t="str">
        <f>IFERROR(__xludf.DUMMYFUNCTION("GOOGLETRANSLATE(N254,""my"", ""en"")"),"132")</f>
        <v>132</v>
      </c>
      <c r="AG254" s="10" t="str">
        <f>IFERROR(__xludf.DUMMYFUNCTION("GOOGLETRANSLATE(O254,""my"", ""en"")"),"379")</f>
        <v>379</v>
      </c>
      <c r="AH254" s="10" t="str">
        <f>IFERROR(__xludf.DUMMYFUNCTION("GOOGLETRANSLATE(P254,""my"", ""en"")"),"0.80%")</f>
        <v>0.80%</v>
      </c>
    </row>
    <row r="255" ht="21.75" customHeight="1">
      <c r="A255" s="17" t="s">
        <v>1806</v>
      </c>
      <c r="B255" s="17" t="s">
        <v>1807</v>
      </c>
      <c r="C255" s="18" t="s">
        <v>1808</v>
      </c>
      <c r="D255" s="18" t="s">
        <v>1809</v>
      </c>
      <c r="E255" s="18" t="s">
        <v>1810</v>
      </c>
      <c r="F255" s="18" t="s">
        <v>1811</v>
      </c>
      <c r="G255" s="18" t="s">
        <v>1812</v>
      </c>
      <c r="H255" s="18" t="s">
        <v>1813</v>
      </c>
      <c r="I255" s="18" t="s">
        <v>1814</v>
      </c>
      <c r="J255" s="18" t="s">
        <v>1815</v>
      </c>
      <c r="K255" s="27"/>
      <c r="L255" s="27"/>
      <c r="M255" s="18" t="s">
        <v>1816</v>
      </c>
      <c r="N255" s="18" t="s">
        <v>1817</v>
      </c>
      <c r="O255" s="18" t="s">
        <v>1818</v>
      </c>
      <c r="P255" s="27"/>
      <c r="S255" s="10" t="str">
        <f>IFERROR(__xludf.DUMMYFUNCTION("GOOGLETRANSLATE(A255,""my"", ""en"")"),"36")</f>
        <v>36</v>
      </c>
      <c r="T255" s="10" t="str">
        <f>IFERROR(__xludf.DUMMYFUNCTION("GOOGLETRANSLATE(B255,""my"", ""en"")"),"မဲဆ  No. (12)")</f>
        <v>မဲဆ  No. (12)</v>
      </c>
      <c r="U255" s="10" t="str">
        <f>IFERROR(__xludf.DUMMYFUNCTION("GOOGLETRANSLATE(C255,""my"", ""en"")"),"68570")</f>
        <v>68570</v>
      </c>
      <c r="V255" s="10" t="str">
        <f>IFERROR(__xludf.DUMMYFUNCTION("GOOGLETRANSLATE(D255,""my"", ""en"")"),"26281")</f>
        <v>26281</v>
      </c>
      <c r="W255" s="10" t="str">
        <f>IFERROR(__xludf.DUMMYFUNCTION("GOOGLETRANSLATE(E255,""my"", ""en"")"),"6626")</f>
        <v>6626</v>
      </c>
      <c r="X255" s="10" t="str">
        <f>IFERROR(__xludf.DUMMYFUNCTION("GOOGLETRANSLATE(F255,""my"", ""en"")"),"32907")</f>
        <v>32907</v>
      </c>
      <c r="Y255" s="10" t="str">
        <f>IFERROR(__xludf.DUMMYFUNCTION("GOOGLETRANSLATE(G255,""my"", ""en"")"),"47.99")</f>
        <v>47.99</v>
      </c>
      <c r="Z255" s="10" t="str">
        <f>IFERROR(__xludf.DUMMYFUNCTION("GOOGLETRANSLATE(H255,""my"", ""en"")"),"747")</f>
        <v>747</v>
      </c>
      <c r="AA255" s="10" t="str">
        <f>IFERROR(__xludf.DUMMYFUNCTION("GOOGLETRANSLATE(I255,""my"", ""en"")"),"129")</f>
        <v>129</v>
      </c>
      <c r="AB255" s="10" t="str">
        <f>IFERROR(__xludf.DUMMYFUNCTION("GOOGLETRANSLATE(J255,""my"", ""en"")"),"876")</f>
        <v>876</v>
      </c>
      <c r="AE255" s="10" t="str">
        <f>IFERROR(__xludf.DUMMYFUNCTION("GOOGLETRANSLATE(M255,""my"", ""en"")"),"25479")</f>
        <v>25479</v>
      </c>
      <c r="AF255" s="10" t="str">
        <f>IFERROR(__xludf.DUMMYFUNCTION("GOOGLETRANSLATE(N255,""my"", ""en"")"),"6552")</f>
        <v>6552</v>
      </c>
      <c r="AG255" s="10" t="str">
        <f>IFERROR(__xludf.DUMMYFUNCTION("GOOGLETRANSLATE(O255,""my"", ""en"")"),"32031")</f>
        <v>32031</v>
      </c>
    </row>
    <row r="256" ht="22.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3" t="s">
        <v>1819</v>
      </c>
      <c r="L256" s="23" t="s">
        <v>1820</v>
      </c>
      <c r="M256" s="24" t="s">
        <v>1821</v>
      </c>
      <c r="N256" s="24" t="s">
        <v>1822</v>
      </c>
      <c r="O256" s="24" t="s">
        <v>1823</v>
      </c>
      <c r="P256" s="25" t="s">
        <v>1824</v>
      </c>
      <c r="AC256" s="10" t="str">
        <f>IFERROR(__xludf.DUMMYFUNCTION("GOOGLETRANSLATE(K256,""my"", ""en"")"),"ေစာေ precisely answer")</f>
        <v>ေစာေ precisely answer</v>
      </c>
      <c r="AD256" s="10" t="str">
        <f>IFERROR(__xludf.DUMMYFUNCTION("GOOGLETRANSLATE(L256,""my"", ""en"")")," Game Democracy group   Pop Party")</f>
        <v> Game Democracy group   Pop Party</v>
      </c>
      <c r="AE256" s="10" t="str">
        <f>IFERROR(__xludf.DUMMYFUNCTION("GOOGLETRANSLATE(M256,""my"", ""en"")"),"19812")</f>
        <v>19812</v>
      </c>
      <c r="AF256" s="10" t="str">
        <f>IFERROR(__xludf.DUMMYFUNCTION("GOOGLETRANSLATE(N256,""my"", ""en"")"),"3693")</f>
        <v>3693</v>
      </c>
      <c r="AG256" s="10" t="str">
        <f>IFERROR(__xludf.DUMMYFUNCTION("GOOGLETRANSLATE(O256,""my"", ""en"")"),"23505")</f>
        <v>23505</v>
      </c>
      <c r="AH256" s="10" t="str">
        <f>IFERROR(__xludf.DUMMYFUNCTION("GOOGLETRANSLATE(P256,""my"", ""en"")"),"73.38%")</f>
        <v>73.38%</v>
      </c>
    </row>
    <row r="257" ht="24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3" t="s">
        <v>1825</v>
      </c>
      <c r="L257" s="23" t="s">
        <v>1826</v>
      </c>
      <c r="M257" s="24" t="s">
        <v>1827</v>
      </c>
      <c r="N257" s="24" t="s">
        <v>1828</v>
      </c>
      <c r="O257" s="24" t="s">
        <v>1829</v>
      </c>
      <c r="P257" s="25" t="s">
        <v>1830</v>
      </c>
      <c r="AC257" s="10" t="str">
        <f>IFERROR(__xludf.DUMMYFUNCTION("GOOGLETRANSLATE(K257,""my"", ""en"")"),"U Than Oo")</f>
        <v>U Than Oo</v>
      </c>
      <c r="AD257" s="10" t="str">
        <f>IFERROR(__xludf.DUMMYFUNCTION("GOOGLETRANSLATE(L257,""my"", ""en"")"),"Local ေထာင် soap-stone strong ေရး  under development  Phil  ေရး Party")</f>
        <v>Local ေထာင် soap-stone strong ေရး  under development  Phil  ေရး Party</v>
      </c>
      <c r="AE257" s="10" t="str">
        <f>IFERROR(__xludf.DUMMYFUNCTION("GOOGLETRANSLATE(M257,""my"", ""en"")"),"3145")</f>
        <v>3145</v>
      </c>
      <c r="AF257" s="10" t="str">
        <f>IFERROR(__xludf.DUMMYFUNCTION("GOOGLETRANSLATE(N257,""my"", ""en"")"),"1880")</f>
        <v>1880</v>
      </c>
      <c r="AG257" s="10" t="str">
        <f>IFERROR(__xludf.DUMMYFUNCTION("GOOGLETRANSLATE(O257,""my"", ""en"")"),"5025")</f>
        <v>5025</v>
      </c>
      <c r="AH257" s="10" t="str">
        <f>IFERROR(__xludf.DUMMYFUNCTION("GOOGLETRANSLATE(P257,""my"", ""en"")"),"15.69%")</f>
        <v>15.69%</v>
      </c>
    </row>
    <row r="258" ht="24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3" t="s">
        <v>1831</v>
      </c>
      <c r="L258" s="23" t="s">
        <v>1832</v>
      </c>
      <c r="M258" s="24" t="s">
        <v>1833</v>
      </c>
      <c r="N258" s="24" t="s">
        <v>1834</v>
      </c>
      <c r="O258" s="24" t="s">
        <v>1835</v>
      </c>
      <c r="P258" s="25" t="s">
        <v>1836</v>
      </c>
      <c r="AC258" s="10" t="str">
        <f>IFERROR(__xludf.DUMMYFUNCTION("GOOGLETRANSLATE(K258,""my"", ""en"")"),"ေစာ  ကည် Win")</f>
        <v>ေစာ  ကည် Win</v>
      </c>
      <c r="AD258" s="10" t="str">
        <f>IFERROR(__xludf.DUMMYFUNCTION("GOOGLETRANSLATE(L258,""my"", ""en"")"),"Democratic Party triggered  Game")</f>
        <v>Democratic Party triggered  Game</v>
      </c>
      <c r="AE258" s="10" t="str">
        <f>IFERROR(__xludf.DUMMYFUNCTION("GOOGLETRANSLATE(M258,""my"", ""en"")"),"1936")</f>
        <v>1936</v>
      </c>
      <c r="AF258" s="10" t="str">
        <f>IFERROR(__xludf.DUMMYFUNCTION("GOOGLETRANSLATE(N258,""my"", ""en"")"),"679")</f>
        <v>679</v>
      </c>
      <c r="AG258" s="10" t="str">
        <f>IFERROR(__xludf.DUMMYFUNCTION("GOOGLETRANSLATE(O258,""my"", ""en"")"),"2615")</f>
        <v>2615</v>
      </c>
      <c r="AH258" s="10" t="str">
        <f>IFERROR(__xludf.DUMMYFUNCTION("GOOGLETRANSLATE(P258,""my"", ""en"")"),"8.16%")</f>
        <v>8.16%</v>
      </c>
    </row>
    <row r="259" ht="24.0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3" t="s">
        <v>1837</v>
      </c>
      <c r="L259" s="23" t="s">
        <v>1838</v>
      </c>
      <c r="M259" s="24" t="s">
        <v>1839</v>
      </c>
      <c r="N259" s="24" t="s">
        <v>1840</v>
      </c>
      <c r="O259" s="24" t="s">
        <v>1841</v>
      </c>
      <c r="P259" s="25" t="s">
        <v>1842</v>
      </c>
      <c r="AC259" s="10" t="str">
        <f>IFERROR(__xludf.DUMMYFUNCTION("GOOGLETRANSLATE(K259,""my"", ""en"")"),"အုဏ်း look")</f>
        <v>အုဏ်း look</v>
      </c>
      <c r="AD259" s="10" t="str">
        <f>IFERROR(__xludf.DUMMYFUNCTION("GOOGLETRANSLATE(L259,""my"", ""en"")"),"Ethnic unity  working party ေရး")</f>
        <v>Ethnic unity  working party ေရး</v>
      </c>
      <c r="AE259" s="10" t="str">
        <f>IFERROR(__xludf.DUMMYFUNCTION("GOOGLETRANSLATE(M259,""my"", ""en"")"),"227")</f>
        <v>227</v>
      </c>
      <c r="AF259" s="10" t="str">
        <f>IFERROR(__xludf.DUMMYFUNCTION("GOOGLETRANSLATE(N259,""my"", ""en"")"),"105")</f>
        <v>105</v>
      </c>
      <c r="AG259" s="10" t="str">
        <f>IFERROR(__xludf.DUMMYFUNCTION("GOOGLETRANSLATE(O259,""my"", ""en"")"),"332")</f>
        <v>332</v>
      </c>
      <c r="AH259" s="10" t="str">
        <f>IFERROR(__xludf.DUMMYFUNCTION("GOOGLETRANSLATE(P259,""my"", ""en"")"),"1.04%")</f>
        <v>1.04%</v>
      </c>
    </row>
    <row r="260" ht="24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3" t="s">
        <v>1843</v>
      </c>
      <c r="L260" s="23" t="s">
        <v>1844</v>
      </c>
      <c r="M260" s="24" t="s">
        <v>1845</v>
      </c>
      <c r="N260" s="24" t="s">
        <v>1846</v>
      </c>
      <c r="O260" s="24" t="s">
        <v>1847</v>
      </c>
      <c r="P260" s="25" t="s">
        <v>1848</v>
      </c>
      <c r="AC260" s="10" t="str">
        <f>IFERROR(__xludf.DUMMYFUNCTION("GOOGLETRANSLATE(K260,""my"", ""en"")"),"ေနာ Shanxi")</f>
        <v>ေနာ Shanxi</v>
      </c>
      <c r="AD260" s="10" t="str">
        <f>IFERROR(__xludf.DUMMYFUNCTION("GOOGLETRANSLATE(L260,""my"", ""en"")"),"ပည်သူ ေရှ  ေဆာင် Party")</f>
        <v>ပည်သူ ေရှ  ေဆာင် Party</v>
      </c>
      <c r="AE260" s="10" t="str">
        <f>IFERROR(__xludf.DUMMYFUNCTION("GOOGLETRANSLATE(M260,""my"", ""en"")"),"214")</f>
        <v>214</v>
      </c>
      <c r="AF260" s="10" t="str">
        <f>IFERROR(__xludf.DUMMYFUNCTION("GOOGLETRANSLATE(N260,""my"", ""en"")"),"115")</f>
        <v>115</v>
      </c>
      <c r="AG260" s="10" t="str">
        <f>IFERROR(__xludf.DUMMYFUNCTION("GOOGLETRANSLATE(O260,""my"", ""en"")"),"329")</f>
        <v>329</v>
      </c>
      <c r="AH260" s="10" t="str">
        <f>IFERROR(__xludf.DUMMYFUNCTION("GOOGLETRANSLATE(P260,""my"", ""en"")"),"1.03%")</f>
        <v>1.03%</v>
      </c>
    </row>
    <row r="261" ht="24.0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3" t="s">
        <v>1849</v>
      </c>
      <c r="L261" s="23" t="s">
        <v>1850</v>
      </c>
      <c r="M261" s="24" t="s">
        <v>1851</v>
      </c>
      <c r="N261" s="24" t="s">
        <v>1852</v>
      </c>
      <c r="O261" s="24" t="s">
        <v>1853</v>
      </c>
      <c r="P261" s="25" t="s">
        <v>1854</v>
      </c>
      <c r="AC261" s="10" t="str">
        <f>IFERROR(__xludf.DUMMYFUNCTION("GOOGLETRANSLATE(K261,""my"", ""en"")"),"ေဌး Lwin")</f>
        <v>ေဌး Lwin</v>
      </c>
      <c r="AD261" s="10" t="str">
        <f>IFERROR(__xludf.DUMMYFUNCTION("GOOGLETRANSLATE(L261,""my"", ""en"")"),"Local ေထာင် စုေ white  Game ေဆာင် Party")</f>
        <v>Local ေထာင် စုေ white  Game ေဆာင် Party</v>
      </c>
      <c r="AE261" s="10" t="str">
        <f>IFERROR(__xludf.DUMMYFUNCTION("GOOGLETRANSLATE(M261,""my"", ""en"")"),"145")</f>
        <v>145</v>
      </c>
      <c r="AF261" s="10" t="str">
        <f>IFERROR(__xludf.DUMMYFUNCTION("GOOGLETRANSLATE(N261,""my"", ""en"")"),"80")</f>
        <v>80</v>
      </c>
      <c r="AG261" s="10" t="str">
        <f>IFERROR(__xludf.DUMMYFUNCTION("GOOGLETRANSLATE(O261,""my"", ""en"")"),"225")</f>
        <v>225</v>
      </c>
      <c r="AH261" s="10" t="str">
        <f>IFERROR(__xludf.DUMMYFUNCTION("GOOGLETRANSLATE(P261,""my"", ""en"")"),"0.70%")</f>
        <v>0.70%</v>
      </c>
    </row>
    <row r="262" ht="24.75" customHeight="1">
      <c r="A262" s="14"/>
      <c r="B262" s="15" t="s">
        <v>1855</v>
      </c>
      <c r="C262" s="16" t="s">
        <v>1856</v>
      </c>
      <c r="D262" s="16" t="s">
        <v>1857</v>
      </c>
      <c r="E262" s="16" t="s">
        <v>1858</v>
      </c>
      <c r="F262" s="16" t="s">
        <v>1859</v>
      </c>
      <c r="G262" s="16" t="s">
        <v>1860</v>
      </c>
      <c r="H262" s="16" t="s">
        <v>1861</v>
      </c>
      <c r="I262" s="16" t="s">
        <v>1862</v>
      </c>
      <c r="J262" s="16" t="s">
        <v>1863</v>
      </c>
      <c r="K262" s="14"/>
      <c r="L262" s="14"/>
      <c r="M262" s="16" t="s">
        <v>1864</v>
      </c>
      <c r="N262" s="16" t="s">
        <v>1865</v>
      </c>
      <c r="O262" s="16" t="s">
        <v>1866</v>
      </c>
      <c r="P262" s="14"/>
      <c r="T262" s="10" t="str">
        <f>IFERROR(__xludf.DUMMYFUNCTION("GOOGLETRANSLATE(B262,""my"", ""en"")"),"Local Industry")</f>
        <v>Local Industry</v>
      </c>
      <c r="U262" s="10" t="str">
        <f>IFERROR(__xludf.DUMMYFUNCTION("GOOGLETRANSLATE(C262,""my"", ""en"")"),"286308")</f>
        <v>286308</v>
      </c>
      <c r="V262" s="10" t="str">
        <f>IFERROR(__xludf.DUMMYFUNCTION("GOOGLETRANSLATE(D262,""my"", ""en"")"),"180021")</f>
        <v>180021</v>
      </c>
      <c r="W262" s="10" t="str">
        <f>IFERROR(__xludf.DUMMYFUNCTION("GOOGLETRANSLATE(E262,""my"", ""en"")"),"42997")</f>
        <v>42997</v>
      </c>
      <c r="X262" s="10" t="str">
        <f>IFERROR(__xludf.DUMMYFUNCTION("GOOGLETRANSLATE(F262,""my"", ""en"")"),"223018")</f>
        <v>223018</v>
      </c>
      <c r="Y262" s="10" t="str">
        <f>IFERROR(__xludf.DUMMYFUNCTION("GOOGLETRANSLATE(G262,""my"", ""en"")"),"77.89")</f>
        <v>77.89</v>
      </c>
      <c r="Z262" s="10" t="str">
        <f>IFERROR(__xludf.DUMMYFUNCTION("GOOGLETRANSLATE(H262,""my"", ""en"")"),"6579")</f>
        <v>6579</v>
      </c>
      <c r="AA262" s="10" t="str">
        <f>IFERROR(__xludf.DUMMYFUNCTION("GOOGLETRANSLATE(I262,""my"", ""en"")"),"62")</f>
        <v>62</v>
      </c>
      <c r="AB262" s="10" t="str">
        <f>IFERROR(__xludf.DUMMYFUNCTION("GOOGLETRANSLATE(J262,""my"", ""en"")"),"6641")</f>
        <v>6641</v>
      </c>
      <c r="AE262" s="10" t="str">
        <f>IFERROR(__xludf.DUMMYFUNCTION("GOOGLETRANSLATE(M262,""my"", ""en"")"),"174116")</f>
        <v>174116</v>
      </c>
      <c r="AF262" s="10" t="str">
        <f>IFERROR(__xludf.DUMMYFUNCTION("GOOGLETRANSLATE(N262,""my"", ""en"")"),"42261")</f>
        <v>42261</v>
      </c>
      <c r="AG262" s="10" t="str">
        <f>IFERROR(__xludf.DUMMYFUNCTION("GOOGLETRANSLATE(O262,""my"", ""en"")"),"216377")</f>
        <v>216377</v>
      </c>
    </row>
    <row r="263" ht="24.0" customHeight="1">
      <c r="A263" s="17" t="s">
        <v>1867</v>
      </c>
      <c r="B263" s="17" t="s">
        <v>1868</v>
      </c>
      <c r="C263" s="18" t="s">
        <v>1869</v>
      </c>
      <c r="D263" s="18" t="s">
        <v>1870</v>
      </c>
      <c r="E263" s="18" t="s">
        <v>1871</v>
      </c>
      <c r="F263" s="18" t="s">
        <v>1872</v>
      </c>
      <c r="G263" s="18" t="s">
        <v>1873</v>
      </c>
      <c r="H263" s="18" t="s">
        <v>1874</v>
      </c>
      <c r="I263" s="18" t="s">
        <v>1875</v>
      </c>
      <c r="J263" s="18" t="s">
        <v>1876</v>
      </c>
      <c r="K263" s="27"/>
      <c r="L263" s="27"/>
      <c r="M263" s="18" t="s">
        <v>1877</v>
      </c>
      <c r="N263" s="18" t="s">
        <v>1878</v>
      </c>
      <c r="O263" s="18" t="s">
        <v>1879</v>
      </c>
      <c r="P263" s="27"/>
      <c r="S263" s="10" t="str">
        <f>IFERROR(__xludf.DUMMYFUNCTION("GOOGLETRANSLATE(A263,""my"", ""en"")"),"37")</f>
        <v>37</v>
      </c>
      <c r="T263" s="10" t="str">
        <f>IFERROR(__xludf.DUMMYFUNCTION("GOOGLETRANSLATE(B263,""my"", ""en"")"),"မဲဆ  No. (1)")</f>
        <v>မဲဆ  No. (1)</v>
      </c>
      <c r="U263" s="10" t="str">
        <f>IFERROR(__xludf.DUMMYFUNCTION("GOOGLETRANSLATE(C263,""my"", ""en"")"),"28140")</f>
        <v>28140</v>
      </c>
      <c r="V263" s="10" t="str">
        <f>IFERROR(__xludf.DUMMYFUNCTION("GOOGLETRANSLATE(D263,""my"", ""en"")"),"16774")</f>
        <v>16774</v>
      </c>
      <c r="W263" s="10" t="str">
        <f>IFERROR(__xludf.DUMMYFUNCTION("GOOGLETRANSLATE(E263,""my"", ""en"")"),"3898")</f>
        <v>3898</v>
      </c>
      <c r="X263" s="10" t="str">
        <f>IFERROR(__xludf.DUMMYFUNCTION("GOOGLETRANSLATE(F263,""my"", ""en"")"),"20672")</f>
        <v>20672</v>
      </c>
      <c r="Y263" s="10" t="str">
        <f>IFERROR(__xludf.DUMMYFUNCTION("GOOGLETRANSLATE(G263,""my"", ""en"")"),"73.46")</f>
        <v>73.46</v>
      </c>
      <c r="Z263" s="10" t="str">
        <f>IFERROR(__xludf.DUMMYFUNCTION("GOOGLETRANSLATE(H263,""my"", ""en"")"),"519")</f>
        <v>519</v>
      </c>
      <c r="AA263" s="10" t="str">
        <f>IFERROR(__xludf.DUMMYFUNCTION("GOOGLETRANSLATE(I263,""my"", ""en"")"),"2")</f>
        <v>2</v>
      </c>
      <c r="AB263" s="10" t="str">
        <f>IFERROR(__xludf.DUMMYFUNCTION("GOOGLETRANSLATE(J263,""my"", ""en"")"),"521")</f>
        <v>521</v>
      </c>
      <c r="AE263" s="10" t="str">
        <f>IFERROR(__xludf.DUMMYFUNCTION("GOOGLETRANSLATE(M263,""my"", ""en"")"),"16274")</f>
        <v>16274</v>
      </c>
      <c r="AF263" s="10" t="str">
        <f>IFERROR(__xludf.DUMMYFUNCTION("GOOGLETRANSLATE(N263,""my"", ""en"")"),"3877")</f>
        <v>3877</v>
      </c>
      <c r="AG263" s="10" t="str">
        <f>IFERROR(__xludf.DUMMYFUNCTION("GOOGLETRANSLATE(O263,""my"", ""en"")"),"20151")</f>
        <v>20151</v>
      </c>
    </row>
    <row r="264" ht="22.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3" t="s">
        <v>1880</v>
      </c>
      <c r="L264" s="23" t="s">
        <v>1881</v>
      </c>
      <c r="M264" s="24" t="s">
        <v>1882</v>
      </c>
      <c r="N264" s="24" t="s">
        <v>1883</v>
      </c>
      <c r="O264" s="24" t="s">
        <v>1884</v>
      </c>
      <c r="P264" s="25" t="s">
        <v>1885</v>
      </c>
      <c r="AC264" s="10" t="str">
        <f>IFERROR(__xludf.DUMMYFUNCTION("GOOGLETRANSLATE(K264,""my"", ""en"")"),"Han Lian")</f>
        <v>Han Lian</v>
      </c>
      <c r="AD264" s="10" t="str">
        <f>IFERROR(__xludf.DUMMYFUNCTION("GOOGLETRANSLATE(L264,""my"", ""en"")")," Game Democracy group   Pop Party")</f>
        <v> Game Democracy group   Pop Party</v>
      </c>
      <c r="AE264" s="10" t="str">
        <f>IFERROR(__xludf.DUMMYFUNCTION("GOOGLETRANSLATE(M264,""my"", ""en"")"),"6943")</f>
        <v>6943</v>
      </c>
      <c r="AF264" s="10" t="str">
        <f>IFERROR(__xludf.DUMMYFUNCTION("GOOGLETRANSLATE(N264,""my"", ""en"")"),"1784")</f>
        <v>1784</v>
      </c>
      <c r="AG264" s="10" t="str">
        <f>IFERROR(__xludf.DUMMYFUNCTION("GOOGLETRANSLATE(O264,""my"", ""en"")"),"8727")</f>
        <v>8727</v>
      </c>
      <c r="AH264" s="10" t="str">
        <f>IFERROR(__xludf.DUMMYFUNCTION("GOOGLETRANSLATE(P264,""my"", ""en"")"),"43.31%")</f>
        <v>43.31%</v>
      </c>
    </row>
    <row r="265" ht="22.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3" t="s">
        <v>1886</v>
      </c>
      <c r="L265" s="23" t="s">
        <v>1887</v>
      </c>
      <c r="M265" s="24" t="s">
        <v>1888</v>
      </c>
      <c r="N265" s="24" t="s">
        <v>1889</v>
      </c>
      <c r="O265" s="24" t="s">
        <v>1890</v>
      </c>
      <c r="P265" s="25" t="s">
        <v>1891</v>
      </c>
      <c r="AC265" s="10" t="str">
        <f>IFERROR(__xludf.DUMMYFUNCTION("GOOGLETRANSLATE(K265,""my"", ""en"")"),"On ေဟာက် Games")</f>
        <v>On ေဟာက် Games</v>
      </c>
      <c r="AD265" s="10" t="str">
        <f>IFERROR(__xludf.DUMMYFUNCTION("GOOGLETRANSLATE(L265,""my"", ""en"")"),"Local ေထာင် soap-stone strong ေရး  under development  Phil  ေရး Party")</f>
        <v>Local ေထာင် soap-stone strong ေရး  under development  Phil  ေရး Party</v>
      </c>
      <c r="AE265" s="10" t="str">
        <f>IFERROR(__xludf.DUMMYFUNCTION("GOOGLETRANSLATE(M265,""my"", ""en"")"),"4144")</f>
        <v>4144</v>
      </c>
      <c r="AF265" s="10" t="str">
        <f>IFERROR(__xludf.DUMMYFUNCTION("GOOGLETRANSLATE(N265,""my"", ""en"")"),"1110")</f>
        <v>1110</v>
      </c>
      <c r="AG265" s="10" t="str">
        <f>IFERROR(__xludf.DUMMYFUNCTION("GOOGLETRANSLATE(O265,""my"", ""en"")"),"5254")</f>
        <v>5254</v>
      </c>
      <c r="AH265" s="10" t="str">
        <f>IFERROR(__xludf.DUMMYFUNCTION("GOOGLETRANSLATE(P265,""my"", ""en"")"),"26.07%")</f>
        <v>26.07%</v>
      </c>
    </row>
    <row r="266" ht="22.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3" t="s">
        <v>1892</v>
      </c>
      <c r="L266" s="23" t="s">
        <v>1893</v>
      </c>
      <c r="M266" s="24" t="s">
        <v>1894</v>
      </c>
      <c r="N266" s="24" t="s">
        <v>1895</v>
      </c>
      <c r="O266" s="24" t="s">
        <v>1896</v>
      </c>
      <c r="P266" s="25" t="s">
        <v>1897</v>
      </c>
      <c r="AC266" s="10" t="str">
        <f>IFERROR(__xludf.DUMMYFUNCTION("GOOGLETRANSLATE(K266,""my"", ""en"")"),"Solomon Zambia h")</f>
        <v>Solomon Zambia h</v>
      </c>
      <c r="AD266" s="10" t="str">
        <f>IFERROR(__xludf.DUMMYFUNCTION("GOOGLETRANSLATE(L266,""my"", ""en"")"),"Zomi Democracy group   Pop Party")</f>
        <v>Zomi Democracy group   Pop Party</v>
      </c>
      <c r="AE266" s="10" t="str">
        <f>IFERROR(__xludf.DUMMYFUNCTION("GOOGLETRANSLATE(M266,""my"", ""en"")"),"4290")</f>
        <v>4290</v>
      </c>
      <c r="AF266" s="10" t="str">
        <f>IFERROR(__xludf.DUMMYFUNCTION("GOOGLETRANSLATE(N266,""my"", ""en"")"),"762")</f>
        <v>762</v>
      </c>
      <c r="AG266" s="10" t="str">
        <f>IFERROR(__xludf.DUMMYFUNCTION("GOOGLETRANSLATE(O266,""my"", ""en"")"),"5052")</f>
        <v>5052</v>
      </c>
      <c r="AH266" s="10" t="str">
        <f>IFERROR(__xludf.DUMMYFUNCTION("GOOGLETRANSLATE(P266,""my"", ""en"")"),"25.07%")</f>
        <v>25.07%</v>
      </c>
    </row>
    <row r="267" ht="22.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3" t="s">
        <v>1898</v>
      </c>
      <c r="L267" s="23" t="s">
        <v>1899</v>
      </c>
      <c r="M267" s="24" t="s">
        <v>1900</v>
      </c>
      <c r="N267" s="24" t="s">
        <v>1901</v>
      </c>
      <c r="O267" s="24" t="s">
        <v>1902</v>
      </c>
      <c r="P267" s="25" t="s">
        <v>1903</v>
      </c>
      <c r="AC267" s="10" t="str">
        <f>IFERROR(__xludf.DUMMYFUNCTION("GOOGLETRANSLATE(K267,""my"", ""en"")"),"တွာလ် array ခမ်")</f>
        <v>တွာလ် array ခမ်</v>
      </c>
      <c r="AD267" s="10" t="str">
        <f>IFERROR(__xludf.DUMMYFUNCTION("GOOGLETRANSLATE(L267,""my"", ""en"")")," Game Democracy group   Pop Party")</f>
        <v> Game Democracy group   Pop Party</v>
      </c>
      <c r="AE267" s="10" t="str">
        <f>IFERROR(__xludf.DUMMYFUNCTION("GOOGLETRANSLATE(M267,""my"", ""en"")"),"746")</f>
        <v>746</v>
      </c>
      <c r="AF267" s="10" t="str">
        <f>IFERROR(__xludf.DUMMYFUNCTION("GOOGLETRANSLATE(N267,""my"", ""en"")"),"187")</f>
        <v>187</v>
      </c>
      <c r="AG267" s="10" t="str">
        <f>IFERROR(__xludf.DUMMYFUNCTION("GOOGLETRANSLATE(O267,""my"", ""en"")"),"933")</f>
        <v>933</v>
      </c>
      <c r="AH267" s="10" t="str">
        <f>IFERROR(__xludf.DUMMYFUNCTION("GOOGLETRANSLATE(P267,""my"", ""en"")"),"4.63%")</f>
        <v>4.63%</v>
      </c>
    </row>
    <row r="268" ht="23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3" t="s">
        <v>1904</v>
      </c>
      <c r="L268" s="23" t="s">
        <v>1905</v>
      </c>
      <c r="M268" s="24" t="s">
        <v>1906</v>
      </c>
      <c r="N268" s="24" t="s">
        <v>1907</v>
      </c>
      <c r="O268" s="24" t="s">
        <v>1908</v>
      </c>
      <c r="P268" s="25" t="s">
        <v>1909</v>
      </c>
      <c r="AC268" s="10" t="str">
        <f>IFERROR(__xludf.DUMMYFUNCTION("GOOGLETRANSLATE(K268,""my"", ""en"")"),"Salmon ဆွင်း")</f>
        <v>Salmon ဆွင်း</v>
      </c>
      <c r="AD268" s="10" t="str">
        <f>IFERROR(__xludf.DUMMYFUNCTION("GOOGLETRANSLATE(L268,""my"", ""en"")"),"Local ေထာင် စုေ white  Game ေဆာင် Party")</f>
        <v>Local ေထာင် စုေ white  Game ေဆာင် Party</v>
      </c>
      <c r="AE268" s="10" t="str">
        <f>IFERROR(__xludf.DUMMYFUNCTION("GOOGLETRANSLATE(M268,""my"", ""en"")"),"151")</f>
        <v>151</v>
      </c>
      <c r="AF268" s="10" t="str">
        <f>IFERROR(__xludf.DUMMYFUNCTION("GOOGLETRANSLATE(N268,""my"", ""en"")"),"34")</f>
        <v>34</v>
      </c>
      <c r="AG268" s="10" t="str">
        <f>IFERROR(__xludf.DUMMYFUNCTION("GOOGLETRANSLATE(O268,""my"", ""en"")"),"185")</f>
        <v>185</v>
      </c>
      <c r="AH268" s="10" t="str">
        <f>IFERROR(__xludf.DUMMYFUNCTION("GOOGLETRANSLATE(P268,""my"", ""en"")"),"0.92%")</f>
        <v>0.92%</v>
      </c>
    </row>
    <row r="269" ht="24.0" customHeight="1">
      <c r="A269" s="17" t="s">
        <v>1910</v>
      </c>
      <c r="B269" s="17" t="s">
        <v>1911</v>
      </c>
      <c r="C269" s="18" t="s">
        <v>1912</v>
      </c>
      <c r="D269" s="18" t="s">
        <v>1913</v>
      </c>
      <c r="E269" s="18" t="s">
        <v>1914</v>
      </c>
      <c r="F269" s="18" t="s">
        <v>1915</v>
      </c>
      <c r="G269" s="18" t="s">
        <v>1916</v>
      </c>
      <c r="H269" s="18" t="s">
        <v>1917</v>
      </c>
      <c r="I269" s="18" t="s">
        <v>1918</v>
      </c>
      <c r="J269" s="18" t="s">
        <v>1919</v>
      </c>
      <c r="K269" s="27"/>
      <c r="L269" s="27"/>
      <c r="M269" s="18" t="s">
        <v>1920</v>
      </c>
      <c r="N269" s="18" t="s">
        <v>1921</v>
      </c>
      <c r="O269" s="18" t="s">
        <v>1922</v>
      </c>
      <c r="P269" s="27"/>
      <c r="S269" s="10" t="str">
        <f>IFERROR(__xludf.DUMMYFUNCTION("GOOGLETRANSLATE(A269,""my"", ""en"")"),"38")</f>
        <v>38</v>
      </c>
      <c r="T269" s="10" t="str">
        <f>IFERROR(__xludf.DUMMYFUNCTION("GOOGLETRANSLATE(B269,""my"", ""en"")"),"မဲဆ  No. (2)")</f>
        <v>မဲဆ  No. (2)</v>
      </c>
      <c r="U269" s="10" t="str">
        <f>IFERROR(__xludf.DUMMYFUNCTION("GOOGLETRANSLATE(C269,""my"", ""en"")"),"28624")</f>
        <v>28624</v>
      </c>
      <c r="V269" s="10" t="str">
        <f>IFERROR(__xludf.DUMMYFUNCTION("GOOGLETRANSLATE(D269,""my"", ""en"")"),"17904")</f>
        <v>17904</v>
      </c>
      <c r="W269" s="10" t="str">
        <f>IFERROR(__xludf.DUMMYFUNCTION("GOOGLETRANSLATE(E269,""my"", ""en"")"),"3766")</f>
        <v>3766</v>
      </c>
      <c r="X269" s="10" t="str">
        <f>IFERROR(__xludf.DUMMYFUNCTION("GOOGLETRANSLATE(F269,""my"", ""en"")"),"21670")</f>
        <v>21670</v>
      </c>
      <c r="Y269" s="10" t="str">
        <f>IFERROR(__xludf.DUMMYFUNCTION("GOOGLETRANSLATE(G269,""my"", ""en"")"),"75.71")</f>
        <v>75.71</v>
      </c>
      <c r="Z269" s="10" t="str">
        <f>IFERROR(__xludf.DUMMYFUNCTION("GOOGLETRANSLATE(H269,""my"", ""en"")"),"1085")</f>
        <v>1085</v>
      </c>
      <c r="AA269" s="10" t="str">
        <f>IFERROR(__xludf.DUMMYFUNCTION("GOOGLETRANSLATE(I269,""my"", ""en"")"),"1")</f>
        <v>1</v>
      </c>
      <c r="AB269" s="10" t="str">
        <f>IFERROR(__xludf.DUMMYFUNCTION("GOOGLETRANSLATE(J269,""my"", ""en"")"),"1086")</f>
        <v>1086</v>
      </c>
      <c r="AE269" s="10" t="str">
        <f>IFERROR(__xludf.DUMMYFUNCTION("GOOGLETRANSLATE(M269,""my"", ""en"")"),"16904")</f>
        <v>16904</v>
      </c>
      <c r="AF269" s="10" t="str">
        <f>IFERROR(__xludf.DUMMYFUNCTION("GOOGLETRANSLATE(N269,""my"", ""en"")"),"3680")</f>
        <v>3680</v>
      </c>
      <c r="AG269" s="10" t="str">
        <f>IFERROR(__xludf.DUMMYFUNCTION("GOOGLETRANSLATE(O269,""my"", ""en"")"),"20584")</f>
        <v>20584</v>
      </c>
    </row>
    <row r="270" ht="22.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3" t="s">
        <v>1923</v>
      </c>
      <c r="L270" s="23" t="s">
        <v>1924</v>
      </c>
      <c r="M270" s="24" t="s">
        <v>1925</v>
      </c>
      <c r="N270" s="24" t="s">
        <v>1926</v>
      </c>
      <c r="O270" s="24" t="s">
        <v>1927</v>
      </c>
      <c r="P270" s="25" t="s">
        <v>1928</v>
      </c>
      <c r="AC270" s="10" t="str">
        <f>IFERROR(__xludf.DUMMYFUNCTION("GOOGLETRANSLATE(K270,""my"", ""en"")"),"Thang window works")</f>
        <v>Thang window works</v>
      </c>
      <c r="AD270" s="10" t="str">
        <f>IFERROR(__xludf.DUMMYFUNCTION("GOOGLETRANSLATE(L270,""my"", ""en"")")," Game Democracy group   Pop Party")</f>
        <v> Game Democracy group   Pop Party</v>
      </c>
      <c r="AE270" s="10" t="str">
        <f>IFERROR(__xludf.DUMMYFUNCTION("GOOGLETRANSLATE(M270,""my"", ""en"")"),"8670")</f>
        <v>8670</v>
      </c>
      <c r="AF270" s="10" t="str">
        <f>IFERROR(__xludf.DUMMYFUNCTION("GOOGLETRANSLATE(N270,""my"", ""en"")"),"1872")</f>
        <v>1872</v>
      </c>
      <c r="AG270" s="10" t="str">
        <f>IFERROR(__xludf.DUMMYFUNCTION("GOOGLETRANSLATE(O270,""my"", ""en"")"),"10542")</f>
        <v>10542</v>
      </c>
      <c r="AH270" s="10" t="str">
        <f>IFERROR(__xludf.DUMMYFUNCTION("GOOGLETRANSLATE(P270,""my"", ""en"")"),"51.22%")</f>
        <v>51.22%</v>
      </c>
    </row>
    <row r="271" ht="21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3" t="s">
        <v>1929</v>
      </c>
      <c r="L271" s="23" t="s">
        <v>1930</v>
      </c>
      <c r="M271" s="24" t="s">
        <v>1931</v>
      </c>
      <c r="N271" s="24" t="s">
        <v>1932</v>
      </c>
      <c r="O271" s="24" t="s">
        <v>1933</v>
      </c>
      <c r="P271" s="25" t="s">
        <v>1934</v>
      </c>
      <c r="AC271" s="10" t="str">
        <f>IFERROR(__xludf.DUMMYFUNCTION("GOOGLETRANSLATE(K271,""my"", ""en"")"),"Well, Amanda")</f>
        <v>Well, Amanda</v>
      </c>
      <c r="AD271" s="10" t="str">
        <f>IFERROR(__xludf.DUMMYFUNCTION("GOOGLETRANSLATE(L271,""my"", ""en"")"),"Zomi Democracy group   Pop Party")</f>
        <v>Zomi Democracy group   Pop Party</v>
      </c>
      <c r="AE271" s="10" t="str">
        <f>IFERROR(__xludf.DUMMYFUNCTION("GOOGLETRANSLATE(M271,""my"", ""en"")"),"3993")</f>
        <v>3993</v>
      </c>
      <c r="AF271" s="10" t="str">
        <f>IFERROR(__xludf.DUMMYFUNCTION("GOOGLETRANSLATE(N271,""my"", ""en"")"),"829")</f>
        <v>829</v>
      </c>
      <c r="AG271" s="10" t="str">
        <f>IFERROR(__xludf.DUMMYFUNCTION("GOOGLETRANSLATE(O271,""my"", ""en"")"),"4822")</f>
        <v>4822</v>
      </c>
      <c r="AH271" s="10" t="str">
        <f>IFERROR(__xludf.DUMMYFUNCTION("GOOGLETRANSLATE(P271,""my"", ""en"")"),"23.43%")</f>
        <v>23.43%</v>
      </c>
    </row>
    <row r="272" ht="22.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3" t="s">
        <v>1935</v>
      </c>
      <c r="L272" s="23" t="s">
        <v>1936</v>
      </c>
      <c r="M272" s="24" t="s">
        <v>1937</v>
      </c>
      <c r="N272" s="24" t="s">
        <v>1938</v>
      </c>
      <c r="O272" s="24" t="s">
        <v>1939</v>
      </c>
      <c r="P272" s="25" t="s">
        <v>1940</v>
      </c>
      <c r="AC272" s="10" t="str">
        <f>IFERROR(__xludf.DUMMYFUNCTION("GOOGLETRANSLATE(K272,""my"", ""en"")"),"Do ေပါင်")</f>
        <v>Do ေပါင်</v>
      </c>
      <c r="AD272" s="10" t="str">
        <f>IFERROR(__xludf.DUMMYFUNCTION("GOOGLETRANSLATE(L272,""my"", ""en"")"),"Local ေထာင် soap-stone strong ေရး  under development  Phil  ေရး Party")</f>
        <v>Local ေထာင် soap-stone strong ေရး  under development  Phil  ေရး Party</v>
      </c>
      <c r="AE272" s="10" t="str">
        <f>IFERROR(__xludf.DUMMYFUNCTION("GOOGLETRANSLATE(M272,""my"", ""en"")"),"3586")</f>
        <v>3586</v>
      </c>
      <c r="AF272" s="10" t="str">
        <f>IFERROR(__xludf.DUMMYFUNCTION("GOOGLETRANSLATE(N272,""my"", ""en"")"),"807")</f>
        <v>807</v>
      </c>
      <c r="AG272" s="10" t="str">
        <f>IFERROR(__xludf.DUMMYFUNCTION("GOOGLETRANSLATE(O272,""my"", ""en"")"),"4393")</f>
        <v>4393</v>
      </c>
      <c r="AH272" s="10" t="str">
        <f>IFERROR(__xludf.DUMMYFUNCTION("GOOGLETRANSLATE(P272,""my"", ""en"")"),"21.34%")</f>
        <v>21.34%</v>
      </c>
    </row>
    <row r="273" ht="22.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3" t="s">
        <v>1941</v>
      </c>
      <c r="L273" s="23" t="s">
        <v>1942</v>
      </c>
      <c r="M273" s="24" t="s">
        <v>1943</v>
      </c>
      <c r="N273" s="24" t="s">
        <v>1944</v>
      </c>
      <c r="O273" s="24" t="s">
        <v>1945</v>
      </c>
      <c r="P273" s="25" t="s">
        <v>1946</v>
      </c>
      <c r="AC273" s="10" t="str">
        <f>IFERROR(__xludf.DUMMYFUNCTION("GOOGLETRANSLATE(K273,""my"", ""en"")"),"Bank ေပါင်")</f>
        <v>Bank ေပါင်</v>
      </c>
      <c r="AD273" s="10" t="str">
        <f>IFERROR(__xludf.DUMMYFUNCTION("GOOGLETRANSLATE(L273,""my"", ""en"")")," Game Democracy group   Pop Party")</f>
        <v> Game Democracy group   Pop Party</v>
      </c>
      <c r="AE273" s="10" t="str">
        <f>IFERROR(__xludf.DUMMYFUNCTION("GOOGLETRANSLATE(M273,""my"", ""en"")"),"430")</f>
        <v>430</v>
      </c>
      <c r="AF273" s="10" t="str">
        <f>IFERROR(__xludf.DUMMYFUNCTION("GOOGLETRANSLATE(N273,""my"", ""en"")"),"102")</f>
        <v>102</v>
      </c>
      <c r="AG273" s="10" t="str">
        <f>IFERROR(__xludf.DUMMYFUNCTION("GOOGLETRANSLATE(O273,""my"", ""en"")"),"532")</f>
        <v>532</v>
      </c>
      <c r="AH273" s="10" t="str">
        <f>IFERROR(__xludf.DUMMYFUNCTION("GOOGLETRANSLATE(P273,""my"", ""en"")"),"2.58%")</f>
        <v>2.58%</v>
      </c>
    </row>
    <row r="274" ht="21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3" t="s">
        <v>1947</v>
      </c>
      <c r="L274" s="23" t="s">
        <v>1948</v>
      </c>
      <c r="M274" s="24" t="s">
        <v>1949</v>
      </c>
      <c r="N274" s="24" t="s">
        <v>1950</v>
      </c>
      <c r="O274" s="24" t="s">
        <v>1951</v>
      </c>
      <c r="P274" s="25" t="s">
        <v>1952</v>
      </c>
      <c r="AC274" s="10" t="str">
        <f>IFERROR(__xludf.DUMMYFUNCTION("GOOGLETRANSLATE(K274,""my"", ""en"")"),"Dora  Solomon ဆွင်း")</f>
        <v>Dora  Solomon ဆွင်း</v>
      </c>
      <c r="AD274" s="10" t="str">
        <f>IFERROR(__xludf.DUMMYFUNCTION("GOOGLETRANSLATE(L274,""my"", ""en"")"),"Ethnic unity  working party ေရး")</f>
        <v>Ethnic unity  working party ေရး</v>
      </c>
      <c r="AE274" s="10" t="str">
        <f>IFERROR(__xludf.DUMMYFUNCTION("GOOGLETRANSLATE(M274,""my"", ""en"")"),"133")</f>
        <v>133</v>
      </c>
      <c r="AF274" s="10" t="str">
        <f>IFERROR(__xludf.DUMMYFUNCTION("GOOGLETRANSLATE(N274,""my"", ""en"")"),"48")</f>
        <v>48</v>
      </c>
      <c r="AG274" s="10" t="str">
        <f>IFERROR(__xludf.DUMMYFUNCTION("GOOGLETRANSLATE(O274,""my"", ""en"")"),"181")</f>
        <v>181</v>
      </c>
      <c r="AH274" s="10" t="str">
        <f>IFERROR(__xludf.DUMMYFUNCTION("GOOGLETRANSLATE(P274,""my"", ""en"")"),"picked up 0.88%")</f>
        <v>picked up 0.88%</v>
      </c>
    </row>
    <row r="275" ht="22.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3" t="s">
        <v>1953</v>
      </c>
      <c r="L275" s="23" t="s">
        <v>1954</v>
      </c>
      <c r="M275" s="24" t="s">
        <v>1955</v>
      </c>
      <c r="N275" s="24" t="s">
        <v>1956</v>
      </c>
      <c r="O275" s="24" t="s">
        <v>1957</v>
      </c>
      <c r="P275" s="25" t="s">
        <v>1958</v>
      </c>
      <c r="AC275" s="10" t="str">
        <f>IFERROR(__xludf.DUMMYFUNCTION("GOOGLETRANSLATE(K275,""my"", ""en"")"),"ခမ် ဆွင်း ေြ ပာင်")</f>
        <v>ခမ် ဆွင်း ေြ ပာင်</v>
      </c>
      <c r="AD275" s="10" t="str">
        <f>IFERROR(__xludf.DUMMYFUNCTION("GOOGLETRANSLATE(L275,""my"", ""en"")"),"Local ေထာင် စုေ white  Game ေဆာင် Party")</f>
        <v>Local ေထာင် စုေ white  Game ေဆာင် Party</v>
      </c>
      <c r="AE275" s="10" t="str">
        <f>IFERROR(__xludf.DUMMYFUNCTION("GOOGLETRANSLATE(M275,""my"", ""en"")"),"92")</f>
        <v>92</v>
      </c>
      <c r="AF275" s="10" t="str">
        <f>IFERROR(__xludf.DUMMYFUNCTION("GOOGLETRANSLATE(N275,""my"", ""en"")"),"22")</f>
        <v>22</v>
      </c>
      <c r="AG275" s="10" t="str">
        <f>IFERROR(__xludf.DUMMYFUNCTION("GOOGLETRANSLATE(O275,""my"", ""en"")"),"114")</f>
        <v>114</v>
      </c>
      <c r="AH275" s="10" t="str">
        <f>IFERROR(__xludf.DUMMYFUNCTION("GOOGLETRANSLATE(P275,""my"", ""en"")"),"0.55%")</f>
        <v>0.55%</v>
      </c>
    </row>
    <row r="276" ht="24.0" customHeight="1">
      <c r="A276" s="17" t="s">
        <v>1959</v>
      </c>
      <c r="B276" s="17" t="s">
        <v>1960</v>
      </c>
      <c r="C276" s="18" t="s">
        <v>1961</v>
      </c>
      <c r="D276" s="18" t="s">
        <v>1962</v>
      </c>
      <c r="E276" s="18" t="s">
        <v>1963</v>
      </c>
      <c r="F276" s="18" t="s">
        <v>1964</v>
      </c>
      <c r="G276" s="18" t="s">
        <v>1965</v>
      </c>
      <c r="H276" s="18" t="s">
        <v>1966</v>
      </c>
      <c r="I276" s="18" t="s">
        <v>1967</v>
      </c>
      <c r="J276" s="18" t="s">
        <v>1968</v>
      </c>
      <c r="K276" s="27"/>
      <c r="L276" s="27"/>
      <c r="M276" s="18" t="s">
        <v>1969</v>
      </c>
      <c r="N276" s="18" t="s">
        <v>1970</v>
      </c>
      <c r="O276" s="18" t="s">
        <v>1971</v>
      </c>
      <c r="P276" s="27"/>
      <c r="S276" s="10" t="str">
        <f>IFERROR(__xludf.DUMMYFUNCTION("GOOGLETRANSLATE(A276,""my"", ""en"")"),"39")</f>
        <v>39</v>
      </c>
      <c r="T276" s="10" t="str">
        <f>IFERROR(__xludf.DUMMYFUNCTION("GOOGLETRANSLATE(B276,""my"", ""en"")"),"မဲဆ  No. (3)")</f>
        <v>မဲဆ  No. (3)</v>
      </c>
      <c r="U276" s="10" t="str">
        <f>IFERROR(__xludf.DUMMYFUNCTION("GOOGLETRANSLATE(C276,""my"", ""en"")"),"17827")</f>
        <v>17827</v>
      </c>
      <c r="V276" s="10" t="str">
        <f>IFERROR(__xludf.DUMMYFUNCTION("GOOGLETRANSLATE(D276,""my"", ""en"")"),"13235")</f>
        <v>13235</v>
      </c>
      <c r="W276" s="10" t="str">
        <f>IFERROR(__xludf.DUMMYFUNCTION("GOOGLETRANSLATE(E276,""my"", ""en"")"),"2409")</f>
        <v>2409</v>
      </c>
      <c r="X276" s="10" t="str">
        <f>IFERROR(__xludf.DUMMYFUNCTION("GOOGLETRANSLATE(F276,""my"", ""en"")"),"15644")</f>
        <v>15644</v>
      </c>
      <c r="Y276" s="10" t="str">
        <f>IFERROR(__xludf.DUMMYFUNCTION("GOOGLETRANSLATE(G276,""my"", ""en"")"),"87.75")</f>
        <v>87.75</v>
      </c>
      <c r="Z276" s="10" t="str">
        <f>IFERROR(__xludf.DUMMYFUNCTION("GOOGLETRANSLATE(H276,""my"", ""en"")"),"284")</f>
        <v>284</v>
      </c>
      <c r="AA276" s="10" t="str">
        <f>IFERROR(__xludf.DUMMYFUNCTION("GOOGLETRANSLATE(I276,""my"", ""en"")"),"2")</f>
        <v>2</v>
      </c>
      <c r="AB276" s="10" t="str">
        <f>IFERROR(__xludf.DUMMYFUNCTION("GOOGLETRANSLATE(J276,""my"", ""en"")"),"286")</f>
        <v>286</v>
      </c>
      <c r="AE276" s="10" t="str">
        <f>IFERROR(__xludf.DUMMYFUNCTION("GOOGLETRANSLATE(M276,""my"", ""en"")"),"13035")</f>
        <v>13035</v>
      </c>
      <c r="AF276" s="10" t="str">
        <f>IFERROR(__xludf.DUMMYFUNCTION("GOOGLETRANSLATE(N276,""my"", ""en"")"),"2323")</f>
        <v>2323</v>
      </c>
      <c r="AG276" s="10" t="str">
        <f>IFERROR(__xludf.DUMMYFUNCTION("GOOGLETRANSLATE(O276,""my"", ""en"")"),"15358")</f>
        <v>15358</v>
      </c>
    </row>
    <row r="277" ht="22.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3" t="s">
        <v>1972</v>
      </c>
      <c r="L277" s="23" t="s">
        <v>1973</v>
      </c>
      <c r="M277" s="24" t="s">
        <v>1974</v>
      </c>
      <c r="N277" s="24" t="s">
        <v>1975</v>
      </c>
      <c r="O277" s="24" t="s">
        <v>1976</v>
      </c>
      <c r="P277" s="25" t="s">
        <v>1977</v>
      </c>
      <c r="AC277" s="10" t="str">
        <f>IFERROR(__xludf.DUMMYFUNCTION("GOOGLETRANSLATE(K277,""my"", ""en"")"),"Ways devised Kaman")</f>
        <v>Ways devised Kaman</v>
      </c>
      <c r="AD277" s="10" t="str">
        <f>IFERROR(__xludf.DUMMYFUNCTION("GOOGLETRANSLATE(L277,""my"", ""en"")")," Game Democracy group   Pop Party")</f>
        <v> Game Democracy group   Pop Party</v>
      </c>
      <c r="AE277" s="10" t="str">
        <f>IFERROR(__xludf.DUMMYFUNCTION("GOOGLETRANSLATE(M277,""my"", ""en"")"),"4693")</f>
        <v>4693</v>
      </c>
      <c r="AF277" s="10" t="str">
        <f>IFERROR(__xludf.DUMMYFUNCTION("GOOGLETRANSLATE(N277,""my"", ""en"")"),"927")</f>
        <v>927</v>
      </c>
      <c r="AG277" s="10" t="str">
        <f>IFERROR(__xludf.DUMMYFUNCTION("GOOGLETRANSLATE(O277,""my"", ""en"")"),"5620")</f>
        <v>5620</v>
      </c>
      <c r="AH277" s="10" t="str">
        <f>IFERROR(__xludf.DUMMYFUNCTION("GOOGLETRANSLATE(P277,""my"", ""en"")"),"36.59%")</f>
        <v>36.59%</v>
      </c>
    </row>
    <row r="278" ht="22.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3" t="s">
        <v>1978</v>
      </c>
      <c r="L278" s="23" t="s">
        <v>1979</v>
      </c>
      <c r="M278" s="24" t="s">
        <v>1980</v>
      </c>
      <c r="N278" s="24" t="s">
        <v>1981</v>
      </c>
      <c r="O278" s="24" t="s">
        <v>1982</v>
      </c>
      <c r="P278" s="25" t="s">
        <v>1983</v>
      </c>
      <c r="AC278" s="10" t="str">
        <f>IFERROR(__xludf.DUMMYFUNCTION("GOOGLETRANSLATE(K278,""my"", ""en"")"),"ခမ် Thang")</f>
        <v>ခမ် Thang</v>
      </c>
      <c r="AD278" s="10" t="str">
        <f>IFERROR(__xludf.DUMMYFUNCTION("GOOGLETRANSLATE(L278,""my"", ""en"")"),"Zomi Democracy group   Pop Party")</f>
        <v>Zomi Democracy group   Pop Party</v>
      </c>
      <c r="AE278" s="10" t="str">
        <f>IFERROR(__xludf.DUMMYFUNCTION("GOOGLETRANSLATE(M278,""my"", ""en"")"),"3798")</f>
        <v>3798</v>
      </c>
      <c r="AF278" s="10" t="str">
        <f>IFERROR(__xludf.DUMMYFUNCTION("GOOGLETRANSLATE(N278,""my"", ""en"")"),"603")</f>
        <v>603</v>
      </c>
      <c r="AG278" s="10" t="str">
        <f>IFERROR(__xludf.DUMMYFUNCTION("GOOGLETRANSLATE(O278,""my"", ""en"")"),"4401")</f>
        <v>4401</v>
      </c>
      <c r="AH278" s="10" t="str">
        <f>IFERROR(__xludf.DUMMYFUNCTION("GOOGLETRANSLATE(P278,""my"", ""en"")"),"28.66%")</f>
        <v>28.66%</v>
      </c>
    </row>
    <row r="279" ht="24.0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3" t="s">
        <v>1984</v>
      </c>
      <c r="L279" s="23" t="s">
        <v>1985</v>
      </c>
      <c r="M279" s="24" t="s">
        <v>1986</v>
      </c>
      <c r="N279" s="24" t="s">
        <v>1987</v>
      </c>
      <c r="O279" s="24" t="s">
        <v>1988</v>
      </c>
      <c r="P279" s="25" t="s">
        <v>1989</v>
      </c>
      <c r="AC279" s="10" t="str">
        <f>IFERROR(__xludf.DUMMYFUNCTION("GOOGLETRANSLATE(K279,""my"", ""en"")"),"Thang ဆွင်း ေပါင်")</f>
        <v>Thang ဆွင်း ေပါင်</v>
      </c>
      <c r="AD279" s="10" t="str">
        <f>IFERROR(__xludf.DUMMYFUNCTION("GOOGLETRANSLATE(L279,""my"", ""en"")")," Game Democracy group   Pop Party")</f>
        <v> Game Democracy group   Pop Party</v>
      </c>
      <c r="AE279" s="10" t="str">
        <f>IFERROR(__xludf.DUMMYFUNCTION("GOOGLETRANSLATE(M279,""my"", ""en"")"),"1756")</f>
        <v>1756</v>
      </c>
      <c r="AF279" s="10" t="str">
        <f>IFERROR(__xludf.DUMMYFUNCTION("GOOGLETRANSLATE(N279,""my"", ""en"")"),"258")</f>
        <v>258</v>
      </c>
      <c r="AG279" s="10" t="str">
        <f>IFERROR(__xludf.DUMMYFUNCTION("GOOGLETRANSLATE(O279,""my"", ""en"")"),"2014")</f>
        <v>2014</v>
      </c>
      <c r="AH279" s="10" t="str">
        <f>IFERROR(__xludf.DUMMYFUNCTION("GOOGLETRANSLATE(P279,""my"", ""en"")"),"13.11%")</f>
        <v>13.11%</v>
      </c>
    </row>
    <row r="280" ht="22.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3" t="s">
        <v>1990</v>
      </c>
      <c r="L280" s="23" t="s">
        <v>1991</v>
      </c>
      <c r="M280" s="24" t="s">
        <v>1992</v>
      </c>
      <c r="N280" s="24" t="s">
        <v>1993</v>
      </c>
      <c r="O280" s="24" t="s">
        <v>1994</v>
      </c>
      <c r="P280" s="25" t="s">
        <v>1995</v>
      </c>
      <c r="AC280" s="10" t="str">
        <f>IFERROR(__xludf.DUMMYFUNCTION("GOOGLETRANSLATE(K280,""my"", ""en"")"),"ခမ် low ေတွာင်")</f>
        <v>ခမ် low ေတွာင်</v>
      </c>
      <c r="AD280" s="10" t="str">
        <f>IFERROR(__xludf.DUMMYFUNCTION("GOOGLETRANSLATE(L280,""my"", ""en"")"),"Personal ")</f>
        <v>Personal </v>
      </c>
      <c r="AE280" s="10" t="str">
        <f>IFERROR(__xludf.DUMMYFUNCTION("GOOGLETRANSLATE(M280,""my"", ""en"")"),"1670")</f>
        <v>1670</v>
      </c>
      <c r="AF280" s="10" t="str">
        <f>IFERROR(__xludf.DUMMYFUNCTION("GOOGLETRANSLATE(N280,""my"", ""en"")"),"313")</f>
        <v>313</v>
      </c>
      <c r="AG280" s="10" t="str">
        <f>IFERROR(__xludf.DUMMYFUNCTION("GOOGLETRANSLATE(O280,""my"", ""en"")"),"1983")</f>
        <v>1983</v>
      </c>
      <c r="AH280" s="10" t="str">
        <f>IFERROR(__xludf.DUMMYFUNCTION("GOOGLETRANSLATE(P280,""my"", ""en"")"),"12.91%")</f>
        <v>12.91%</v>
      </c>
    </row>
    <row r="281" ht="22.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3" t="s">
        <v>1996</v>
      </c>
      <c r="L281" s="23" t="s">
        <v>1997</v>
      </c>
      <c r="M281" s="24" t="s">
        <v>1998</v>
      </c>
      <c r="N281" s="24" t="s">
        <v>1999</v>
      </c>
      <c r="O281" s="24" t="s">
        <v>2000</v>
      </c>
      <c r="P281" s="25" t="s">
        <v>2001</v>
      </c>
      <c r="AC281" s="10" t="str">
        <f>IFERROR(__xludf.DUMMYFUNCTION("GOOGLETRANSLATE(K281,""my"", ""en"")"),"Lian ေပါင် conduct")</f>
        <v>Lian ေပါင် conduct</v>
      </c>
      <c r="AD281" s="10" t="str">
        <f>IFERROR(__xludf.DUMMYFUNCTION("GOOGLETRANSLATE(L281,""my"", ""en"")"),"Local ေထာင် soap-stone strong ေရး  under development  Phil  ေရး Party")</f>
        <v>Local ေထာင် soap-stone strong ေရး  under development  Phil  ေရး Party</v>
      </c>
      <c r="AE281" s="10" t="str">
        <f>IFERROR(__xludf.DUMMYFUNCTION("GOOGLETRANSLATE(M281,""my"", ""en"")"),"668")</f>
        <v>668</v>
      </c>
      <c r="AF281" s="10" t="str">
        <f>IFERROR(__xludf.DUMMYFUNCTION("GOOGLETRANSLATE(N281,""my"", ""en"")"),"163")</f>
        <v>163</v>
      </c>
      <c r="AG281" s="10" t="str">
        <f>IFERROR(__xludf.DUMMYFUNCTION("GOOGLETRANSLATE(O281,""my"", ""en"")"),"831")</f>
        <v>831</v>
      </c>
      <c r="AH281" s="10" t="str">
        <f>IFERROR(__xludf.DUMMYFUNCTION("GOOGLETRANSLATE(P281,""my"", ""en"")"),"5.41%")</f>
        <v>5.41%</v>
      </c>
    </row>
    <row r="282" ht="22.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3" t="s">
        <v>2002</v>
      </c>
      <c r="L282" s="23" t="s">
        <v>2003</v>
      </c>
      <c r="M282" s="24" t="s">
        <v>2004</v>
      </c>
      <c r="N282" s="24" t="s">
        <v>2005</v>
      </c>
      <c r="O282" s="24" t="s">
        <v>2006</v>
      </c>
      <c r="P282" s="25" t="s">
        <v>2007</v>
      </c>
      <c r="AC282" s="10" t="str">
        <f>IFERROR(__xludf.DUMMYFUNCTION("GOOGLETRANSLATE(K282,""my"", ""en"")"),"ေဟာက် ဆွင်း Yemen")</f>
        <v>ေဟာက် ဆွင်း Yemen</v>
      </c>
      <c r="AD282" s="10" t="str">
        <f>IFERROR(__xludf.DUMMYFUNCTION("GOOGLETRANSLATE(L282,""my"", ""en"")"),"Local ေထာင် စုေ white  Game ေဆာင် Party")</f>
        <v>Local ေထာင် စုေ white  Game ေဆာင် Party</v>
      </c>
      <c r="AE282" s="10" t="str">
        <f>IFERROR(__xludf.DUMMYFUNCTION("GOOGLETRANSLATE(M282,""my"", ""en"")"),"244")</f>
        <v>244</v>
      </c>
      <c r="AF282" s="10" t="str">
        <f>IFERROR(__xludf.DUMMYFUNCTION("GOOGLETRANSLATE(N282,""my"", ""en"")"),"29")</f>
        <v>29</v>
      </c>
      <c r="AG282" s="10" t="str">
        <f>IFERROR(__xludf.DUMMYFUNCTION("GOOGLETRANSLATE(O282,""my"", ""en"")"),"273")</f>
        <v>273</v>
      </c>
      <c r="AH282" s="10" t="str">
        <f>IFERROR(__xludf.DUMMYFUNCTION("GOOGLETRANSLATE(P282,""my"", ""en"")"),"1.78%")</f>
        <v>1.78%</v>
      </c>
    </row>
    <row r="283" ht="22.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3" t="s">
        <v>2008</v>
      </c>
      <c r="L283" s="23" t="s">
        <v>2009</v>
      </c>
      <c r="M283" s="24" t="s">
        <v>2010</v>
      </c>
      <c r="N283" s="24" t="s">
        <v>2011</v>
      </c>
      <c r="O283" s="24" t="s">
        <v>2012</v>
      </c>
      <c r="P283" s="25" t="s">
        <v>2013</v>
      </c>
      <c r="AC283" s="10" t="str">
        <f>IFERROR(__xludf.DUMMYFUNCTION("GOOGLETRANSLATE(K283,""my"", ""en"")"),"Works")</f>
        <v>Works</v>
      </c>
      <c r="AD283" s="10" t="str">
        <f>IFERROR(__xludf.DUMMYFUNCTION("GOOGLETRANSLATE(L283,""my"", ""en"")"),"Zo ethnic ေဒ development  Phil  ေရး Party")</f>
        <v>Zo ethnic ေဒ development  Phil  ေရး Party</v>
      </c>
      <c r="AE283" s="10" t="str">
        <f>IFERROR(__xludf.DUMMYFUNCTION("GOOGLETRANSLATE(M283,""my"", ""en"")"),"206")</f>
        <v>206</v>
      </c>
      <c r="AF283" s="10" t="str">
        <f>IFERROR(__xludf.DUMMYFUNCTION("GOOGLETRANSLATE(N283,""my"", ""en"")"),"30")</f>
        <v>30</v>
      </c>
      <c r="AG283" s="10" t="str">
        <f>IFERROR(__xludf.DUMMYFUNCTION("GOOGLETRANSLATE(O283,""my"", ""en"")"),"236")</f>
        <v>236</v>
      </c>
      <c r="AH283" s="10" t="str">
        <f>IFERROR(__xludf.DUMMYFUNCTION("GOOGLETRANSLATE(P283,""my"", ""en"")"),"1.54%")</f>
        <v>1.54%</v>
      </c>
    </row>
    <row r="284" ht="22.5" customHeight="1">
      <c r="A284" s="17" t="s">
        <v>2014</v>
      </c>
      <c r="B284" s="17" t="s">
        <v>2015</v>
      </c>
      <c r="C284" s="18" t="s">
        <v>2016</v>
      </c>
      <c r="D284" s="18" t="s">
        <v>2017</v>
      </c>
      <c r="E284" s="18" t="s">
        <v>2018</v>
      </c>
      <c r="F284" s="18" t="s">
        <v>2019</v>
      </c>
      <c r="G284" s="18" t="s">
        <v>2020</v>
      </c>
      <c r="H284" s="18" t="s">
        <v>2021</v>
      </c>
      <c r="I284" s="18" t="s">
        <v>2022</v>
      </c>
      <c r="J284" s="18" t="s">
        <v>2023</v>
      </c>
      <c r="K284" s="27"/>
      <c r="L284" s="27"/>
      <c r="M284" s="18" t="s">
        <v>2024</v>
      </c>
      <c r="N284" s="18" t="s">
        <v>2025</v>
      </c>
      <c r="O284" s="18" t="s">
        <v>2026</v>
      </c>
      <c r="P284" s="27"/>
      <c r="S284" s="10" t="str">
        <f>IFERROR(__xludf.DUMMYFUNCTION("GOOGLETRANSLATE(A284,""my"", ""en"")"),"40")</f>
        <v>40</v>
      </c>
      <c r="T284" s="10" t="str">
        <f>IFERROR(__xludf.DUMMYFUNCTION("GOOGLETRANSLATE(B284,""my"", ""en"")"),"မဲဆ  No. (4)")</f>
        <v>မဲဆ  No. (4)</v>
      </c>
      <c r="U284" s="10" t="str">
        <f>IFERROR(__xludf.DUMMYFUNCTION("GOOGLETRANSLATE(C284,""my"", ""en"")"),"39273")</f>
        <v>39273</v>
      </c>
      <c r="V284" s="10" t="str">
        <f>IFERROR(__xludf.DUMMYFUNCTION("GOOGLETRANSLATE(D284,""my"", ""en"")"),"23140")</f>
        <v>23140</v>
      </c>
      <c r="W284" s="10" t="str">
        <f>IFERROR(__xludf.DUMMYFUNCTION("GOOGLETRANSLATE(E284,""my"", ""en"")"),"4582")</f>
        <v>4582</v>
      </c>
      <c r="X284" s="10" t="str">
        <f>IFERROR(__xludf.DUMMYFUNCTION("GOOGLETRANSLATE(F284,""my"", ""en"")"),"27722")</f>
        <v>27722</v>
      </c>
      <c r="Y284" s="10" t="str">
        <f>IFERROR(__xludf.DUMMYFUNCTION("GOOGLETRANSLATE(G284,""my"", ""en"")"),"70.59")</f>
        <v>70.59</v>
      </c>
      <c r="Z284" s="10" t="str">
        <f>IFERROR(__xludf.DUMMYFUNCTION("GOOGLETRANSLATE(H284,""my"", ""en"")"),"528")</f>
        <v>528</v>
      </c>
      <c r="AA284" s="10" t="str">
        <f>IFERROR(__xludf.DUMMYFUNCTION("GOOGLETRANSLATE(I284,""my"", ""en"")"),"-")</f>
        <v>-</v>
      </c>
      <c r="AB284" s="10" t="str">
        <f>IFERROR(__xludf.DUMMYFUNCTION("GOOGLETRANSLATE(J284,""my"", ""en"")"),"528")</f>
        <v>528</v>
      </c>
      <c r="AE284" s="10" t="str">
        <f>IFERROR(__xludf.DUMMYFUNCTION("GOOGLETRANSLATE(M284,""my"", ""en"")"),"22612")</f>
        <v>22612</v>
      </c>
      <c r="AF284" s="10" t="str">
        <f>IFERROR(__xludf.DUMMYFUNCTION("GOOGLETRANSLATE(N284,""my"", ""en"")"),"4582")</f>
        <v>4582</v>
      </c>
      <c r="AG284" s="10" t="str">
        <f>IFERROR(__xludf.DUMMYFUNCTION("GOOGLETRANSLATE(O284,""my"", ""en"")"),"27194")</f>
        <v>27194</v>
      </c>
    </row>
    <row r="285" ht="22.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3" t="s">
        <v>2027</v>
      </c>
      <c r="L285" s="23" t="s">
        <v>2028</v>
      </c>
      <c r="M285" s="24" t="s">
        <v>2029</v>
      </c>
      <c r="N285" s="24" t="s">
        <v>2030</v>
      </c>
      <c r="O285" s="24" t="s">
        <v>2031</v>
      </c>
      <c r="P285" s="25" t="s">
        <v>2032</v>
      </c>
      <c r="AC285" s="10" t="str">
        <f>IFERROR(__xludf.DUMMYFUNCTION("GOOGLETRANSLATE(K285,""my"", ""en"")"),"Heavy-Don")</f>
        <v>Heavy-Don</v>
      </c>
      <c r="AD285" s="10" t="str">
        <f>IFERROR(__xludf.DUMMYFUNCTION("GOOGLETRANSLATE(L285,""my"", ""en"")")," Game Democracy group   Pop Party")</f>
        <v> Game Democracy group   Pop Party</v>
      </c>
      <c r="AE285" s="10" t="str">
        <f>IFERROR(__xludf.DUMMYFUNCTION("GOOGLETRANSLATE(M285,""my"", ""en"")"),"12709")</f>
        <v>12709</v>
      </c>
      <c r="AF285" s="10" t="str">
        <f>IFERROR(__xludf.DUMMYFUNCTION("GOOGLETRANSLATE(N285,""my"", ""en"")"),"2608")</f>
        <v>2608</v>
      </c>
      <c r="AG285" s="10" t="str">
        <f>IFERROR(__xludf.DUMMYFUNCTION("GOOGLETRANSLATE(O285,""my"", ""en"")"),"15317")</f>
        <v>15317</v>
      </c>
      <c r="AH285" s="10" t="str">
        <f>IFERROR(__xludf.DUMMYFUNCTION("GOOGLETRANSLATE(P285,""my"", ""en"")"),"56.32%")</f>
        <v>56.32%</v>
      </c>
    </row>
    <row r="286" ht="22.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3" t="s">
        <v>2033</v>
      </c>
      <c r="L286" s="23" t="s">
        <v>2034</v>
      </c>
      <c r="M286" s="24" t="s">
        <v>2035</v>
      </c>
      <c r="N286" s="24" t="s">
        <v>2036</v>
      </c>
      <c r="O286" s="24" t="s">
        <v>2037</v>
      </c>
      <c r="P286" s="25" t="s">
        <v>2038</v>
      </c>
      <c r="AC286" s="10" t="str">
        <f>IFERROR(__xludf.DUMMYFUNCTION("GOOGLETRANSLATE(K286,""my"", ""en"")"),"Then a super lottery Thang")</f>
        <v>Then a super lottery Thang</v>
      </c>
      <c r="AD286" s="10" t="str">
        <f>IFERROR(__xludf.DUMMYFUNCTION("GOOGLETRANSLATE(L286,""my"", ""en"")")," Game Democracy group   Pop Party")</f>
        <v> Game Democracy group   Pop Party</v>
      </c>
      <c r="AE286" s="10" t="str">
        <f>IFERROR(__xludf.DUMMYFUNCTION("GOOGLETRANSLATE(M286,""my"", ""en"")"),"7463")</f>
        <v>7463</v>
      </c>
      <c r="AF286" s="10" t="str">
        <f>IFERROR(__xludf.DUMMYFUNCTION("GOOGLETRANSLATE(N286,""my"", ""en"")"),"1529")</f>
        <v>1529</v>
      </c>
      <c r="AG286" s="10" t="str">
        <f>IFERROR(__xludf.DUMMYFUNCTION("GOOGLETRANSLATE(O286,""my"", ""en"")"),"8992")</f>
        <v>8992</v>
      </c>
      <c r="AH286" s="10" t="str">
        <f>IFERROR(__xludf.DUMMYFUNCTION("GOOGLETRANSLATE(P286,""my"", ""en"")"),"33.07%")</f>
        <v>33.07%</v>
      </c>
    </row>
    <row r="287" ht="22.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6" t="s">
        <v>2039</v>
      </c>
      <c r="L287" s="36" t="s">
        <v>2040</v>
      </c>
      <c r="M287" s="37" t="s">
        <v>2041</v>
      </c>
      <c r="N287" s="37" t="s">
        <v>2042</v>
      </c>
      <c r="O287" s="37" t="s">
        <v>2043</v>
      </c>
      <c r="P287" s="38" t="s">
        <v>2044</v>
      </c>
      <c r="AC287" s="10" t="str">
        <f>IFERROR(__xludf.DUMMYFUNCTION("GOOGLETRANSLATE(K287,""my"", ""en"")"),"ဘွာလ်")</f>
        <v>ဘွာလ်</v>
      </c>
      <c r="AD287" s="10" t="str">
        <f>IFERROR(__xludf.DUMMYFUNCTION("GOOGLETRANSLATE(L287,""my"", ""en"")"),"Local ေထာင် soap-stone strong ေရး  under development  Phil  ေရး Party")</f>
        <v>Local ေထာင် soap-stone strong ေရး  under development  Phil  ေရး Party</v>
      </c>
      <c r="AE287" s="10" t="str">
        <f>IFERROR(__xludf.DUMMYFUNCTION("GOOGLETRANSLATE(M287,""my"", ""en"")"),"2440")</f>
        <v>2440</v>
      </c>
      <c r="AF287" s="10" t="str">
        <f>IFERROR(__xludf.DUMMYFUNCTION("GOOGLETRANSLATE(N287,""my"", ""en"")"),"445")</f>
        <v>445</v>
      </c>
      <c r="AG287" s="10" t="str">
        <f>IFERROR(__xludf.DUMMYFUNCTION("GOOGLETRANSLATE(O287,""my"", ""en"")"),"2885")</f>
        <v>2885</v>
      </c>
      <c r="AH287" s="10" t="str">
        <f>IFERROR(__xludf.DUMMYFUNCTION("GOOGLETRANSLATE(P287,""my"", ""en"")"),"10.61%")</f>
        <v>10.61%</v>
      </c>
    </row>
    <row r="288" ht="22.5" customHeight="1">
      <c r="A288" s="17" t="s">
        <v>2045</v>
      </c>
      <c r="B288" s="17" t="s">
        <v>2046</v>
      </c>
      <c r="C288" s="18" t="s">
        <v>2047</v>
      </c>
      <c r="D288" s="18" t="s">
        <v>2048</v>
      </c>
      <c r="E288" s="18" t="s">
        <v>2049</v>
      </c>
      <c r="F288" s="18" t="s">
        <v>2050</v>
      </c>
      <c r="G288" s="18" t="s">
        <v>2051</v>
      </c>
      <c r="H288" s="18" t="s">
        <v>2052</v>
      </c>
      <c r="I288" s="18" t="s">
        <v>2053</v>
      </c>
      <c r="J288" s="18" t="s">
        <v>2054</v>
      </c>
      <c r="K288" s="27"/>
      <c r="L288" s="27"/>
      <c r="M288" s="18" t="s">
        <v>2055</v>
      </c>
      <c r="N288" s="18" t="s">
        <v>2056</v>
      </c>
      <c r="O288" s="18" t="s">
        <v>2057</v>
      </c>
      <c r="P288" s="27"/>
      <c r="S288" s="10" t="str">
        <f>IFERROR(__xludf.DUMMYFUNCTION("GOOGLETRANSLATE(A288,""my"", ""en"")"),"41")</f>
        <v>41</v>
      </c>
      <c r="T288" s="10" t="str">
        <f>IFERROR(__xludf.DUMMYFUNCTION("GOOGLETRANSLATE(B288,""my"", ""en"")"),"မဲဆ  (5 points)")</f>
        <v>မဲဆ  (5 points)</v>
      </c>
      <c r="U288" s="10" t="str">
        <f>IFERROR(__xludf.DUMMYFUNCTION("GOOGLETRANSLATE(C288,""my"", ""en"")"),"14712")</f>
        <v>14712</v>
      </c>
      <c r="V288" s="10" t="str">
        <f>IFERROR(__xludf.DUMMYFUNCTION("GOOGLETRANSLATE(D288,""my"", ""en"")"),"9812")</f>
        <v>9812</v>
      </c>
      <c r="W288" s="10" t="str">
        <f>IFERROR(__xludf.DUMMYFUNCTION("GOOGLETRANSLATE(E288,""my"", ""en"")"),"1878")</f>
        <v>1878</v>
      </c>
      <c r="X288" s="10" t="str">
        <f>IFERROR(__xludf.DUMMYFUNCTION("GOOGLETRANSLATE(F288,""my"", ""en"")"),"11690")</f>
        <v>11690</v>
      </c>
      <c r="Y288" s="10" t="str">
        <f>IFERROR(__xludf.DUMMYFUNCTION("GOOGLETRANSLATE(G288,""my"", ""en"")"),"79.46")</f>
        <v>79.46</v>
      </c>
      <c r="Z288" s="10" t="str">
        <f>IFERROR(__xludf.DUMMYFUNCTION("GOOGLETRANSLATE(H288,""my"", ""en"")"),"267")</f>
        <v>267</v>
      </c>
      <c r="AA288" s="10" t="str">
        <f>IFERROR(__xludf.DUMMYFUNCTION("GOOGLETRANSLATE(I288,""my"", ""en"")"),"-")</f>
        <v>-</v>
      </c>
      <c r="AB288" s="10" t="str">
        <f>IFERROR(__xludf.DUMMYFUNCTION("GOOGLETRANSLATE(J288,""my"", ""en"")"),"267")</f>
        <v>267</v>
      </c>
      <c r="AE288" s="10" t="str">
        <f>IFERROR(__xludf.DUMMYFUNCTION("GOOGLETRANSLATE(M288,""my"", ""en"")"),"9612")</f>
        <v>9612</v>
      </c>
      <c r="AF288" s="10" t="str">
        <f>IFERROR(__xludf.DUMMYFUNCTION("GOOGLETRANSLATE(N288,""my"", ""en"")"),"1811")</f>
        <v>1811</v>
      </c>
      <c r="AG288" s="10" t="str">
        <f>IFERROR(__xludf.DUMMYFUNCTION("GOOGLETRANSLATE(O288,""my"", ""en"")"),"11423")</f>
        <v>11423</v>
      </c>
    </row>
    <row r="289" ht="22.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3" t="s">
        <v>2058</v>
      </c>
      <c r="L289" s="23" t="s">
        <v>2059</v>
      </c>
      <c r="M289" s="24" t="s">
        <v>2060</v>
      </c>
      <c r="N289" s="24" t="s">
        <v>2061</v>
      </c>
      <c r="O289" s="24" t="s">
        <v>2062</v>
      </c>
      <c r="P289" s="25" t="s">
        <v>2063</v>
      </c>
      <c r="AC289" s="10" t="str">
        <f>IFERROR(__xludf.DUMMYFUNCTION("GOOGLETRANSLATE(K289,""my"", ""en"")"),"ေဒ  ေဆွ Lwin")</f>
        <v>ေဒ  ေဆွ Lwin</v>
      </c>
      <c r="AD289" s="10" t="str">
        <f>IFERROR(__xludf.DUMMYFUNCTION("GOOGLETRANSLATE(L289,""my"", ""en"")")," Game Democracy group   Pop Party")</f>
        <v> Game Democracy group   Pop Party</v>
      </c>
      <c r="AE289" s="10" t="str">
        <f>IFERROR(__xludf.DUMMYFUNCTION("GOOGLETRANSLATE(M289,""my"", ""en"")"),"3889")</f>
        <v>3889</v>
      </c>
      <c r="AF289" s="10" t="str">
        <f>IFERROR(__xludf.DUMMYFUNCTION("GOOGLETRANSLATE(N289,""my"", ""en"")"),"840")</f>
        <v>840</v>
      </c>
      <c r="AG289" s="10" t="str">
        <f>IFERROR(__xludf.DUMMYFUNCTION("GOOGLETRANSLATE(O289,""my"", ""en"")"),"4729")</f>
        <v>4729</v>
      </c>
      <c r="AH289" s="10" t="str">
        <f>IFERROR(__xludf.DUMMYFUNCTION("GOOGLETRANSLATE(P289,""my"", ""en"")"),"41.40%")</f>
        <v>41.40%</v>
      </c>
    </row>
    <row r="290" ht="21.7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3" t="s">
        <v>2064</v>
      </c>
      <c r="L290" s="23" t="s">
        <v>2065</v>
      </c>
      <c r="M290" s="24" t="s">
        <v>2066</v>
      </c>
      <c r="N290" s="24" t="s">
        <v>2067</v>
      </c>
      <c r="O290" s="24" t="s">
        <v>2068</v>
      </c>
      <c r="P290" s="25" t="s">
        <v>2069</v>
      </c>
      <c r="AC290" s="10" t="str">
        <f>IFERROR(__xludf.DUMMYFUNCTION("GOOGLETRANSLATE(K290,""my"", ""en"")"),"Impregnate Ling")</f>
        <v>Impregnate Ling</v>
      </c>
      <c r="AD290" s="10" t="str">
        <f>IFERROR(__xludf.DUMMYFUNCTION("GOOGLETRANSLATE(L290,""my"", ""en"")"),"Local ေထာင် soap-stone strong ေရး  under development  Phil  ေရး Party")</f>
        <v>Local ေထာင် soap-stone strong ေရး  under development  Phil  ေရး Party</v>
      </c>
      <c r="AE290" s="10" t="str">
        <f>IFERROR(__xludf.DUMMYFUNCTION("GOOGLETRANSLATE(M290,""my"", ""en"")"),"2885")</f>
        <v>2885</v>
      </c>
      <c r="AF290" s="10" t="str">
        <f>IFERROR(__xludf.DUMMYFUNCTION("GOOGLETRANSLATE(N290,""my"", ""en"")"),"549")</f>
        <v>549</v>
      </c>
      <c r="AG290" s="10" t="str">
        <f>IFERROR(__xludf.DUMMYFUNCTION("GOOGLETRANSLATE(O290,""my"", ""en"")"),"3434")</f>
        <v>3434</v>
      </c>
      <c r="AH290" s="10" t="str">
        <f>IFERROR(__xludf.DUMMYFUNCTION("GOOGLETRANSLATE(P290,""my"", ""en"")"),"30.06%")</f>
        <v>30.06%</v>
      </c>
    </row>
    <row r="291" ht="24.7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3" t="s">
        <v>2070</v>
      </c>
      <c r="L291" s="23" t="s">
        <v>2071</v>
      </c>
      <c r="M291" s="24" t="s">
        <v>2072</v>
      </c>
      <c r="N291" s="24" t="s">
        <v>2073</v>
      </c>
      <c r="O291" s="24" t="s">
        <v>2074</v>
      </c>
      <c r="P291" s="25" t="s">
        <v>2075</v>
      </c>
      <c r="AC291" s="10" t="str">
        <f>IFERROR(__xludf.DUMMYFUNCTION("GOOGLETRANSLATE(K291,""my"", ""en"")"),"Love  Game")</f>
        <v>Love  Game</v>
      </c>
      <c r="AD291" s="10" t="str">
        <f>IFERROR(__xludf.DUMMYFUNCTION("GOOGLETRANSLATE(L291,""my"", ""en"")")," Game Democracy group   Pop Party")</f>
        <v> Game Democracy group   Pop Party</v>
      </c>
      <c r="AE291" s="10" t="str">
        <f>IFERROR(__xludf.DUMMYFUNCTION("GOOGLETRANSLATE(M291,""my"", ""en"")"),"2709")</f>
        <v>2709</v>
      </c>
      <c r="AF291" s="10" t="str">
        <f>IFERROR(__xludf.DUMMYFUNCTION("GOOGLETRANSLATE(N291,""my"", ""en"")"),"376")</f>
        <v>376</v>
      </c>
      <c r="AG291" s="10" t="str">
        <f>IFERROR(__xludf.DUMMYFUNCTION("GOOGLETRANSLATE(O291,""my"", ""en"")"),"3085")</f>
        <v>3085</v>
      </c>
      <c r="AH291" s="10" t="str">
        <f>IFERROR(__xludf.DUMMYFUNCTION("GOOGLETRANSLATE(P291,""my"", ""en"")"),"27.01%")</f>
        <v>27.01%</v>
      </c>
    </row>
    <row r="292" ht="24.0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3" t="s">
        <v>2076</v>
      </c>
      <c r="L292" s="23" t="s">
        <v>2077</v>
      </c>
      <c r="M292" s="24" t="s">
        <v>2078</v>
      </c>
      <c r="N292" s="24" t="s">
        <v>2079</v>
      </c>
      <c r="O292" s="24" t="s">
        <v>2080</v>
      </c>
      <c r="P292" s="25" t="s">
        <v>2081</v>
      </c>
      <c r="AC292" s="10" t="str">
        <f>IFERROR(__xludf.DUMMYFUNCTION("GOOGLETRANSLATE(K292,""my"", ""en"")"),"Little diamond")</f>
        <v>Little diamond</v>
      </c>
      <c r="AD292" s="10" t="str">
        <f>IFERROR(__xludf.DUMMYFUNCTION("GOOGLETRANSLATE(L292,""my"", ""en"")"),"Local ေထာင် စုေ white  Game ေဆာင် Party")</f>
        <v>Local ေထာင် စုေ white  Game ေဆာင် Party</v>
      </c>
      <c r="AE292" s="10" t="str">
        <f>IFERROR(__xludf.DUMMYFUNCTION("GOOGLETRANSLATE(M292,""my"", ""en"")"),"129")</f>
        <v>129</v>
      </c>
      <c r="AF292" s="10" t="str">
        <f>IFERROR(__xludf.DUMMYFUNCTION("GOOGLETRANSLATE(N292,""my"", ""en"")"),"46")</f>
        <v>46</v>
      </c>
      <c r="AG292" s="10" t="str">
        <f>IFERROR(__xludf.DUMMYFUNCTION("GOOGLETRANSLATE(O292,""my"", ""en"")"),"175")</f>
        <v>175</v>
      </c>
      <c r="AH292" s="10" t="str">
        <f>IFERROR(__xludf.DUMMYFUNCTION("GOOGLETRANSLATE(P292,""my"", ""en"")"),"1.53%")</f>
        <v>1.53%</v>
      </c>
    </row>
    <row r="293" ht="24.75" customHeight="1">
      <c r="A293" s="17" t="s">
        <v>2082</v>
      </c>
      <c r="B293" s="17" t="s">
        <v>2083</v>
      </c>
      <c r="C293" s="18" t="s">
        <v>2084</v>
      </c>
      <c r="D293" s="18" t="s">
        <v>2085</v>
      </c>
      <c r="E293" s="18" t="s">
        <v>2086</v>
      </c>
      <c r="F293" s="18" t="s">
        <v>2087</v>
      </c>
      <c r="G293" s="18" t="s">
        <v>2088</v>
      </c>
      <c r="H293" s="18" t="s">
        <v>2089</v>
      </c>
      <c r="I293" s="18" t="s">
        <v>2090</v>
      </c>
      <c r="J293" s="18" t="s">
        <v>2091</v>
      </c>
      <c r="K293" s="27"/>
      <c r="L293" s="27"/>
      <c r="M293" s="18" t="s">
        <v>2092</v>
      </c>
      <c r="N293" s="18" t="s">
        <v>2093</v>
      </c>
      <c r="O293" s="18" t="s">
        <v>2094</v>
      </c>
      <c r="P293" s="27"/>
      <c r="S293" s="10" t="str">
        <f>IFERROR(__xludf.DUMMYFUNCTION("GOOGLETRANSLATE(A293,""my"", ""en"")"),"42")</f>
        <v>42</v>
      </c>
      <c r="T293" s="10" t="str">
        <f>IFERROR(__xludf.DUMMYFUNCTION("GOOGLETRANSLATE(B293,""my"", ""en"")"),"မဲဆ  No. (6)")</f>
        <v>မဲဆ  No. (6)</v>
      </c>
      <c r="U293" s="10" t="str">
        <f>IFERROR(__xludf.DUMMYFUNCTION("GOOGLETRANSLATE(C293,""my"", ""en"")"),"30706")</f>
        <v>30706</v>
      </c>
      <c r="V293" s="10" t="str">
        <f>IFERROR(__xludf.DUMMYFUNCTION("GOOGLETRANSLATE(D293,""my"", ""en"")"),"19725")</f>
        <v>19725</v>
      </c>
      <c r="W293" s="10" t="str">
        <f>IFERROR(__xludf.DUMMYFUNCTION("GOOGLETRANSLATE(E293,""my"", ""en"")"),"4942")</f>
        <v>4942</v>
      </c>
      <c r="X293" s="10" t="str">
        <f>IFERROR(__xludf.DUMMYFUNCTION("GOOGLETRANSLATE(F293,""my"", ""en"")"),"24667")</f>
        <v>24667</v>
      </c>
      <c r="Y293" s="10" t="str">
        <f>IFERROR(__xludf.DUMMYFUNCTION("GOOGLETRANSLATE(G293,""my"", ""en"")"),"80.33")</f>
        <v>80.33</v>
      </c>
      <c r="Z293" s="10" t="str">
        <f>IFERROR(__xludf.DUMMYFUNCTION("GOOGLETRANSLATE(H293,""my"", ""en"")"),"586")</f>
        <v>586</v>
      </c>
      <c r="AA293" s="10" t="str">
        <f>IFERROR(__xludf.DUMMYFUNCTION("GOOGLETRANSLATE(I293,""my"", ""en"")"),"1")</f>
        <v>1</v>
      </c>
      <c r="AB293" s="10" t="str">
        <f>IFERROR(__xludf.DUMMYFUNCTION("GOOGLETRANSLATE(J293,""my"", ""en"")"),"587")</f>
        <v>587</v>
      </c>
      <c r="AE293" s="10" t="str">
        <f>IFERROR(__xludf.DUMMYFUNCTION("GOOGLETRANSLATE(M293,""my"", ""en"")"),"19248")</f>
        <v>19248</v>
      </c>
      <c r="AF293" s="10" t="str">
        <f>IFERROR(__xludf.DUMMYFUNCTION("GOOGLETRANSLATE(N293,""my"", ""en"")"),"4832")</f>
        <v>4832</v>
      </c>
      <c r="AG293" s="10" t="str">
        <f>IFERROR(__xludf.DUMMYFUNCTION("GOOGLETRANSLATE(O293,""my"", ""en"")"),"24080")</f>
        <v>24080</v>
      </c>
    </row>
    <row r="294" ht="21.7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9" t="s">
        <v>2095</v>
      </c>
      <c r="L294" s="23" t="s">
        <v>2096</v>
      </c>
      <c r="M294" s="24" t="s">
        <v>2097</v>
      </c>
      <c r="N294" s="24" t="s">
        <v>2098</v>
      </c>
      <c r="O294" s="24" t="s">
        <v>2099</v>
      </c>
      <c r="P294" s="25" t="s">
        <v>2100</v>
      </c>
      <c r="AC294" s="10" t="str">
        <f>IFERROR(__xludf.DUMMYFUNCTION("GOOGLETRANSLATE(K294,""my"", ""en"")"),"Tampere ေဒါက် ငိုင်း ေမာင်း")</f>
        <v>Tampere ေဒါက် ငိုင်း ေမာင်း</v>
      </c>
      <c r="AD294" s="10" t="str">
        <f>IFERROR(__xludf.DUMMYFUNCTION("GOOGLETRANSLATE(L294,""my"", ""en"")")," Game Democracy group   Pop Party")</f>
        <v> Game Democracy group   Pop Party</v>
      </c>
      <c r="AE294" s="10" t="str">
        <f>IFERROR(__xludf.DUMMYFUNCTION("GOOGLETRANSLATE(M294,""my"", ""en"")"),"10113")</f>
        <v>10113</v>
      </c>
      <c r="AF294" s="10" t="str">
        <f>IFERROR(__xludf.DUMMYFUNCTION("GOOGLETRANSLATE(N294,""my"", ""en"")"),"2572")</f>
        <v>2572</v>
      </c>
      <c r="AG294" s="10" t="str">
        <f>IFERROR(__xludf.DUMMYFUNCTION("GOOGLETRANSLATE(O294,""my"", ""en"")"),"12685")</f>
        <v>12685</v>
      </c>
      <c r="AH294" s="10" t="str">
        <f>IFERROR(__xludf.DUMMYFUNCTION("GOOGLETRANSLATE(P294,""my"", ""en"")"),"52.68%")</f>
        <v>52.68%</v>
      </c>
    </row>
    <row r="295" ht="22.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3" t="s">
        <v>2101</v>
      </c>
      <c r="L295" s="23" t="s">
        <v>2102</v>
      </c>
      <c r="M295" s="24" t="s">
        <v>2103</v>
      </c>
      <c r="N295" s="24" t="s">
        <v>2104</v>
      </c>
      <c r="O295" s="24" t="s">
        <v>2105</v>
      </c>
      <c r="P295" s="25" t="s">
        <v>2106</v>
      </c>
      <c r="AC295" s="10" t="str">
        <f>IFERROR(__xludf.DUMMYFUNCTION("GOOGLETRANSLATE(K295,""my"", ""en"")"),"Shein ေဘွ")</f>
        <v>Shein ေဘွ</v>
      </c>
      <c r="AD295" s="10" t="str">
        <f>IFERROR(__xludf.DUMMYFUNCTION("GOOGLETRANSLATE(L295,""my"", ""en"")"),"Local ေထာင် soap-stone strong ေရး  under development  Phil  ေရး Party")</f>
        <v>Local ေထာင် soap-stone strong ေရး  under development  Phil  ေရး Party</v>
      </c>
      <c r="AE295" s="10" t="str">
        <f>IFERROR(__xludf.DUMMYFUNCTION("GOOGLETRANSLATE(M295,""my"", ""en"")"),"4698")</f>
        <v>4698</v>
      </c>
      <c r="AF295" s="10" t="str">
        <f>IFERROR(__xludf.DUMMYFUNCTION("GOOGLETRANSLATE(N295,""my"", ""en"")"),"1265")</f>
        <v>1265</v>
      </c>
      <c r="AG295" s="10" t="str">
        <f>IFERROR(__xludf.DUMMYFUNCTION("GOOGLETRANSLATE(O295,""my"", ""en"")"),"5963")</f>
        <v>5963</v>
      </c>
      <c r="AH295" s="10" t="str">
        <f>IFERROR(__xludf.DUMMYFUNCTION("GOOGLETRANSLATE(P295,""my"", ""en"")"),"24.76%")</f>
        <v>24.76%</v>
      </c>
    </row>
    <row r="296" ht="21.7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3" t="s">
        <v>2107</v>
      </c>
      <c r="L296" s="23" t="s">
        <v>2108</v>
      </c>
      <c r="M296" s="24" t="s">
        <v>2109</v>
      </c>
      <c r="N296" s="24" t="s">
        <v>2110</v>
      </c>
      <c r="O296" s="24" t="s">
        <v>2111</v>
      </c>
      <c r="P296" s="25" t="s">
        <v>2112</v>
      </c>
      <c r="AC296" s="10" t="str">
        <f>IFERROR(__xludf.DUMMYFUNCTION("GOOGLETRANSLATE(K296,""my"", ""en"")"),"ေဒ  rushing ေရာင်")</f>
        <v>ေဒ  rushing ေရာင်</v>
      </c>
      <c r="AD296" s="10" t="str">
        <f>IFERROR(__xludf.DUMMYFUNCTION("GOOGLETRANSLATE(L296,""my"", ""en"")")," Game Democracy group   Pop Party")</f>
        <v> Game Democracy group   Pop Party</v>
      </c>
      <c r="AE296" s="10" t="str">
        <f>IFERROR(__xludf.DUMMYFUNCTION("GOOGLETRANSLATE(M296,""my"", ""en"")"),"3797")</f>
        <v>3797</v>
      </c>
      <c r="AF296" s="10" t="str">
        <f>IFERROR(__xludf.DUMMYFUNCTION("GOOGLETRANSLATE(N296,""my"", ""en"")"),"823")</f>
        <v>823</v>
      </c>
      <c r="AG296" s="10" t="str">
        <f>IFERROR(__xludf.DUMMYFUNCTION("GOOGLETRANSLATE(O296,""my"", ""en"")"),"4620")</f>
        <v>4620</v>
      </c>
      <c r="AH296" s="10" t="str">
        <f>IFERROR(__xludf.DUMMYFUNCTION("GOOGLETRANSLATE(P296,""my"", ""en"")"),"19.19%")</f>
        <v>19.19%</v>
      </c>
    </row>
    <row r="297" ht="22.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3" t="s">
        <v>2113</v>
      </c>
      <c r="L297" s="23" t="s">
        <v>2114</v>
      </c>
      <c r="M297" s="24" t="s">
        <v>2115</v>
      </c>
      <c r="N297" s="24" t="s">
        <v>2116</v>
      </c>
      <c r="O297" s="24" t="s">
        <v>2117</v>
      </c>
      <c r="P297" s="25" t="s">
        <v>2118</v>
      </c>
      <c r="AC297" s="10" t="str">
        <f>IFERROR(__xludf.DUMMYFUNCTION("GOOGLETRANSLATE(K297,""my"", ""en"")"),"Rushing Key")</f>
        <v>Rushing Key</v>
      </c>
      <c r="AD297" s="10" t="str">
        <f>IFERROR(__xludf.DUMMYFUNCTION("GOOGLETRANSLATE(L297,""my"", ""en"")"),"Local ေထာင် စုေ white  Game ေဆာင် Party")</f>
        <v>Local ေထာင် စုေ white  Game ေဆာင် Party</v>
      </c>
      <c r="AE297" s="10" t="str">
        <f>IFERROR(__xludf.DUMMYFUNCTION("GOOGLETRANSLATE(M297,""my"", ""en"")"),"501")</f>
        <v>501</v>
      </c>
      <c r="AF297" s="10" t="str">
        <f>IFERROR(__xludf.DUMMYFUNCTION("GOOGLETRANSLATE(N297,""my"", ""en"")"),"138")</f>
        <v>138</v>
      </c>
      <c r="AG297" s="10" t="str">
        <f>IFERROR(__xludf.DUMMYFUNCTION("GOOGLETRANSLATE(O297,""my"", ""en"")"),"639")</f>
        <v>639</v>
      </c>
      <c r="AH297" s="10" t="str">
        <f>IFERROR(__xludf.DUMMYFUNCTION("GOOGLETRANSLATE(P297,""my"", ""en"")"),"2.65%")</f>
        <v>2.65%</v>
      </c>
    </row>
    <row r="298" ht="21.7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3" t="s">
        <v>2119</v>
      </c>
      <c r="L298" s="23" t="s">
        <v>2120</v>
      </c>
      <c r="M298" s="24" t="s">
        <v>2121</v>
      </c>
      <c r="N298" s="24" t="s">
        <v>2122</v>
      </c>
      <c r="O298" s="24" t="s">
        <v>2123</v>
      </c>
      <c r="P298" s="25" t="s">
        <v>2124</v>
      </c>
      <c r="AC298" s="10" t="str">
        <f>IFERROR(__xludf.DUMMYFUNCTION("GOOGLETRANSLATE(K298,""my"", ""en"")"),"To build")</f>
        <v>To build</v>
      </c>
      <c r="AD298" s="10" t="str">
        <f>IFERROR(__xludf.DUMMYFUNCTION("GOOGLETRANSLATE(L298,""my"", ""en"")"),"Personal ")</f>
        <v>Personal </v>
      </c>
      <c r="AE298" s="10" t="str">
        <f>IFERROR(__xludf.DUMMYFUNCTION("GOOGLETRANSLATE(M298,""my"", ""en"")"),"139")</f>
        <v>139</v>
      </c>
      <c r="AF298" s="10" t="str">
        <f>IFERROR(__xludf.DUMMYFUNCTION("GOOGLETRANSLATE(N298,""my"", ""en"")"),"34")</f>
        <v>34</v>
      </c>
      <c r="AG298" s="10" t="str">
        <f>IFERROR(__xludf.DUMMYFUNCTION("GOOGLETRANSLATE(O298,""my"", ""en"")"),"173")</f>
        <v>173</v>
      </c>
      <c r="AH298" s="10" t="str">
        <f>IFERROR(__xludf.DUMMYFUNCTION("GOOGLETRANSLATE(P298,""my"", ""en"")"),"0.72%")</f>
        <v>0.72%</v>
      </c>
    </row>
    <row r="299" ht="25.5" customHeight="1">
      <c r="A299" s="17" t="s">
        <v>2125</v>
      </c>
      <c r="B299" s="17" t="s">
        <v>2126</v>
      </c>
      <c r="C299" s="18" t="s">
        <v>2127</v>
      </c>
      <c r="D299" s="18" t="s">
        <v>2128</v>
      </c>
      <c r="E299" s="18" t="s">
        <v>2129</v>
      </c>
      <c r="F299" s="18" t="s">
        <v>2130</v>
      </c>
      <c r="G299" s="18" t="s">
        <v>2131</v>
      </c>
      <c r="H299" s="18" t="s">
        <v>2132</v>
      </c>
      <c r="I299" s="18" t="s">
        <v>2133</v>
      </c>
      <c r="J299" s="18" t="s">
        <v>2134</v>
      </c>
      <c r="K299" s="27"/>
      <c r="L299" s="27"/>
      <c r="M299" s="18" t="s">
        <v>2135</v>
      </c>
      <c r="N299" s="18" t="s">
        <v>2136</v>
      </c>
      <c r="O299" s="18" t="s">
        <v>2137</v>
      </c>
      <c r="P299" s="27"/>
      <c r="S299" s="10" t="str">
        <f>IFERROR(__xludf.DUMMYFUNCTION("GOOGLETRANSLATE(A299,""my"", ""en"")"),"43")</f>
        <v>43</v>
      </c>
      <c r="T299" s="10" t="str">
        <f>IFERROR(__xludf.DUMMYFUNCTION("GOOGLETRANSLATE(B299,""my"", ""en"")"),"မဲဆ  No. (7)")</f>
        <v>မဲဆ  No. (7)</v>
      </c>
      <c r="U299" s="10" t="str">
        <f>IFERROR(__xludf.DUMMYFUNCTION("GOOGLETRANSLATE(C299,""my"", ""en"")"),"8384")</f>
        <v>8384</v>
      </c>
      <c r="V299" s="10" t="str">
        <f>IFERROR(__xludf.DUMMYFUNCTION("GOOGLETRANSLATE(D299,""my"", ""en"")"),"3326")</f>
        <v>3326</v>
      </c>
      <c r="W299" s="10" t="str">
        <f>IFERROR(__xludf.DUMMYFUNCTION("GOOGLETRANSLATE(E299,""my"", ""en"")"),"1087")</f>
        <v>1087</v>
      </c>
      <c r="X299" s="10" t="str">
        <f>IFERROR(__xludf.DUMMYFUNCTION("GOOGLETRANSLATE(F299,""my"", ""en"")"),"4413")</f>
        <v>4413</v>
      </c>
      <c r="Y299" s="10" t="str">
        <f>IFERROR(__xludf.DUMMYFUNCTION("GOOGLETRANSLATE(G299,""my"", ""en"")"),"52.64")</f>
        <v>52.64</v>
      </c>
      <c r="Z299" s="10" t="str">
        <f>IFERROR(__xludf.DUMMYFUNCTION("GOOGLETRANSLATE(H299,""my"", ""en"")"),"180")</f>
        <v>180</v>
      </c>
      <c r="AA299" s="10" t="str">
        <f>IFERROR(__xludf.DUMMYFUNCTION("GOOGLETRANSLATE(I299,""my"", ""en"")"),"-")</f>
        <v>-</v>
      </c>
      <c r="AB299" s="10" t="str">
        <f>IFERROR(__xludf.DUMMYFUNCTION("GOOGLETRANSLATE(J299,""my"", ""en"")"),"180")</f>
        <v>180</v>
      </c>
      <c r="AE299" s="10" t="str">
        <f>IFERROR(__xludf.DUMMYFUNCTION("GOOGLETRANSLATE(M299,""my"", ""en"")"),"3226")</f>
        <v>3226</v>
      </c>
      <c r="AF299" s="10" t="str">
        <f>IFERROR(__xludf.DUMMYFUNCTION("GOOGLETRANSLATE(N299,""my"", ""en"")"),"1007")</f>
        <v>1007</v>
      </c>
      <c r="AG299" s="10" t="str">
        <f>IFERROR(__xludf.DUMMYFUNCTION("GOOGLETRANSLATE(O299,""my"", ""en"")"),"4233")</f>
        <v>4233</v>
      </c>
    </row>
    <row r="300" ht="24.0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3" t="s">
        <v>2138</v>
      </c>
      <c r="L300" s="23" t="s">
        <v>2139</v>
      </c>
      <c r="M300" s="24" t="s">
        <v>2140</v>
      </c>
      <c r="N300" s="24" t="s">
        <v>2141</v>
      </c>
      <c r="O300" s="24" t="s">
        <v>2142</v>
      </c>
      <c r="P300" s="25" t="s">
        <v>2143</v>
      </c>
      <c r="AC300" s="10" t="str">
        <f>IFERROR(__xludf.DUMMYFUNCTION("GOOGLETRANSLATE(K300,""my"", ""en"")"),"ေဝှ  report")</f>
        <v>ေဝှ  report</v>
      </c>
      <c r="AD300" s="10" t="str">
        <f>IFERROR(__xludf.DUMMYFUNCTION("GOOGLETRANSLATE(L300,""my"", ""en"")")," Game Democracy group   Pop Party")</f>
        <v> Game Democracy group   Pop Party</v>
      </c>
      <c r="AE300" s="10" t="str">
        <f>IFERROR(__xludf.DUMMYFUNCTION("GOOGLETRANSLATE(M300,""my"", ""en"")"),"1027")</f>
        <v>1027</v>
      </c>
      <c r="AF300" s="10" t="str">
        <f>IFERROR(__xludf.DUMMYFUNCTION("GOOGLETRANSLATE(N300,""my"", ""en"")"),"257")</f>
        <v>257</v>
      </c>
      <c r="AG300" s="10" t="str">
        <f>IFERROR(__xludf.DUMMYFUNCTION("GOOGLETRANSLATE(O300,""my"", ""en"")"),"1284")</f>
        <v>1284</v>
      </c>
      <c r="AH300" s="10" t="str">
        <f>IFERROR(__xludf.DUMMYFUNCTION("GOOGLETRANSLATE(P300,""my"", ""en"")"),"30.33%")</f>
        <v>30.33%</v>
      </c>
    </row>
    <row r="301" ht="24.0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3" t="s">
        <v>2144</v>
      </c>
      <c r="L301" s="23" t="s">
        <v>2145</v>
      </c>
      <c r="M301" s="24" t="s">
        <v>2146</v>
      </c>
      <c r="N301" s="24" t="s">
        <v>2147</v>
      </c>
      <c r="O301" s="24" t="s">
        <v>2148</v>
      </c>
      <c r="P301" s="25" t="s">
        <v>2149</v>
      </c>
      <c r="AC301" s="10" t="str">
        <f>IFERROR(__xludf.DUMMYFUNCTION("GOOGLETRANSLATE(K301,""my"", ""en"")"),"Data  Award")</f>
        <v>Data  Award</v>
      </c>
      <c r="AD301" s="10" t="str">
        <f>IFERROR(__xludf.DUMMYFUNCTION("GOOGLETRANSLATE(L301,""my"", ""en"")"),"Local ေထာင် soap-stone strong ေရး  under development  Phil  ေရး Party")</f>
        <v>Local ေထာင် soap-stone strong ေရး  under development  Phil  ေရး Party</v>
      </c>
      <c r="AE301" s="10" t="str">
        <f>IFERROR(__xludf.DUMMYFUNCTION("GOOGLETRANSLATE(M301,""my"", ""en"")"),"809")</f>
        <v>809</v>
      </c>
      <c r="AF301" s="10" t="str">
        <f>IFERROR(__xludf.DUMMYFUNCTION("GOOGLETRANSLATE(N301,""my"", ""en"")"),"446")</f>
        <v>446</v>
      </c>
      <c r="AG301" s="10" t="str">
        <f>IFERROR(__xludf.DUMMYFUNCTION("GOOGLETRANSLATE(O301,""my"", ""en"")"),"1255")</f>
        <v>1255</v>
      </c>
      <c r="AH301" s="10" t="str">
        <f>IFERROR(__xludf.DUMMYFUNCTION("GOOGLETRANSLATE(P301,""my"", ""en"")"),"29.65%")</f>
        <v>29.65%</v>
      </c>
    </row>
    <row r="302" ht="24.0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3" t="s">
        <v>2150</v>
      </c>
      <c r="L302" s="23" t="s">
        <v>2151</v>
      </c>
      <c r="M302" s="24" t="s">
        <v>2152</v>
      </c>
      <c r="N302" s="24" t="s">
        <v>2153</v>
      </c>
      <c r="O302" s="24" t="s">
        <v>2154</v>
      </c>
      <c r="P302" s="25" t="s">
        <v>2155</v>
      </c>
      <c r="AC302" s="10" t="str">
        <f>IFERROR(__xludf.DUMMYFUNCTION("GOOGLETRANSLATE(K302,""my"", ""en"")"),"Mixed Mann")</f>
        <v>Mixed Mann</v>
      </c>
      <c r="AD302" s="10" t="str">
        <f>IFERROR(__xludf.DUMMYFUNCTION("GOOGLETRANSLATE(L302,""my"", ""en"")"),"Ethnic  Game Development  Phil  ေရး Party")</f>
        <v>Ethnic  Game Development  Phil  ေရး Party</v>
      </c>
      <c r="AE302" s="10" t="str">
        <f>IFERROR(__xludf.DUMMYFUNCTION("GOOGLETRANSLATE(M302,""my"", ""en"")"),"997")</f>
        <v>997</v>
      </c>
      <c r="AF302" s="10" t="str">
        <f>IFERROR(__xludf.DUMMYFUNCTION("GOOGLETRANSLATE(N302,""my"", ""en"")"),"205")</f>
        <v>205</v>
      </c>
      <c r="AG302" s="10" t="str">
        <f>IFERROR(__xludf.DUMMYFUNCTION("GOOGLETRANSLATE(O302,""my"", ""en"")"),"1202")</f>
        <v>1202</v>
      </c>
      <c r="AH302" s="10" t="str">
        <f>IFERROR(__xludf.DUMMYFUNCTION("GOOGLETRANSLATE(P302,""my"", ""en"")"),"28.39%")</f>
        <v>28.39%</v>
      </c>
    </row>
    <row r="303" ht="24.0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3" t="s">
        <v>2156</v>
      </c>
      <c r="L303" s="23" t="s">
        <v>2157</v>
      </c>
      <c r="M303" s="24" t="s">
        <v>2158</v>
      </c>
      <c r="N303" s="24" t="s">
        <v>2159</v>
      </c>
      <c r="O303" s="24" t="s">
        <v>2160</v>
      </c>
      <c r="P303" s="25" t="s">
        <v>2161</v>
      </c>
      <c r="AC303" s="10" t="str">
        <f>IFERROR(__xludf.DUMMYFUNCTION("GOOGLETRANSLATE(K303,""my"", ""en"")"),"Lin")</f>
        <v>Lin</v>
      </c>
      <c r="AD303" s="10" t="str">
        <f>IFERROR(__xludf.DUMMYFUNCTION("GOOGLETRANSLATE(L303,""my"", ""en"")")," Game Democracy group   Pop Party")</f>
        <v> Game Democracy group   Pop Party</v>
      </c>
      <c r="AE303" s="10" t="str">
        <f>IFERROR(__xludf.DUMMYFUNCTION("GOOGLETRANSLATE(M303,""my"", ""en"")"),"214")</f>
        <v>214</v>
      </c>
      <c r="AF303" s="10" t="str">
        <f>IFERROR(__xludf.DUMMYFUNCTION("GOOGLETRANSLATE(N303,""my"", ""en"")"),"50")</f>
        <v>50</v>
      </c>
      <c r="AG303" s="10" t="str">
        <f>IFERROR(__xludf.DUMMYFUNCTION("GOOGLETRANSLATE(O303,""my"", ""en"")"),"264")</f>
        <v>264</v>
      </c>
      <c r="AH303" s="10" t="str">
        <f>IFERROR(__xludf.DUMMYFUNCTION("GOOGLETRANSLATE(P303,""my"", ""en"")"),"6.24%")</f>
        <v>6.24%</v>
      </c>
    </row>
    <row r="304" ht="24.0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3" t="s">
        <v>2162</v>
      </c>
      <c r="L304" s="23" t="s">
        <v>2163</v>
      </c>
      <c r="M304" s="24" t="s">
        <v>2164</v>
      </c>
      <c r="N304" s="24" t="s">
        <v>2165</v>
      </c>
      <c r="O304" s="24" t="s">
        <v>2166</v>
      </c>
      <c r="P304" s="25" t="s">
        <v>2167</v>
      </c>
      <c r="AC304" s="10" t="str">
        <f>IFERROR(__xludf.DUMMYFUNCTION("GOOGLETRANSLATE(K304,""my"", ""en"")"),"Ken Lin")</f>
        <v>Ken Lin</v>
      </c>
      <c r="AD304" s="10" t="str">
        <f>IFERROR(__xludf.DUMMYFUNCTION("GOOGLETRANSLATE(L304,""my"", ""en"")"),"ခူမီး (b)  Game Party")</f>
        <v>ခူမီး (b)  Game Party</v>
      </c>
      <c r="AE304" s="10" t="str">
        <f>IFERROR(__xludf.DUMMYFUNCTION("GOOGLETRANSLATE(M304,""my"", ""en"")"),"179")</f>
        <v>179</v>
      </c>
      <c r="AF304" s="10" t="str">
        <f>IFERROR(__xludf.DUMMYFUNCTION("GOOGLETRANSLATE(N304,""my"", ""en"")"),"49")</f>
        <v>49</v>
      </c>
      <c r="AG304" s="10" t="str">
        <f>IFERROR(__xludf.DUMMYFUNCTION("GOOGLETRANSLATE(O304,""my"", ""en"")"),"228")</f>
        <v>228</v>
      </c>
      <c r="AH304" s="10" t="str">
        <f>IFERROR(__xludf.DUMMYFUNCTION("GOOGLETRANSLATE(P304,""my"", ""en"")"),"5.39%")</f>
        <v>5.39%</v>
      </c>
    </row>
    <row r="305" ht="27.75" customHeight="1">
      <c r="A305" s="17" t="s">
        <v>2168</v>
      </c>
      <c r="B305" s="17" t="s">
        <v>2169</v>
      </c>
      <c r="C305" s="18" t="s">
        <v>2170</v>
      </c>
      <c r="D305" s="18" t="s">
        <v>2171</v>
      </c>
      <c r="E305" s="18" t="s">
        <v>2172</v>
      </c>
      <c r="F305" s="18" t="s">
        <v>2173</v>
      </c>
      <c r="G305" s="18" t="s">
        <v>2174</v>
      </c>
      <c r="H305" s="18" t="s">
        <v>2175</v>
      </c>
      <c r="I305" s="18" t="s">
        <v>2176</v>
      </c>
      <c r="J305" s="18" t="s">
        <v>2177</v>
      </c>
      <c r="K305" s="27"/>
      <c r="L305" s="27"/>
      <c r="M305" s="18" t="s">
        <v>2178</v>
      </c>
      <c r="N305" s="18" t="s">
        <v>2179</v>
      </c>
      <c r="O305" s="18" t="s">
        <v>2180</v>
      </c>
      <c r="P305" s="27"/>
      <c r="S305" s="10" t="str">
        <f>IFERROR(__xludf.DUMMYFUNCTION("GOOGLETRANSLATE(A305,""my"", ""en"")"),"44")</f>
        <v>44</v>
      </c>
      <c r="T305" s="10" t="str">
        <f>IFERROR(__xludf.DUMMYFUNCTION("GOOGLETRANSLATE(B305,""my"", ""en"")"),"မဲဆ  No. (8)")</f>
        <v>မဲဆ  No. (8)</v>
      </c>
      <c r="U305" s="10" t="str">
        <f>IFERROR(__xludf.DUMMYFUNCTION("GOOGLETRANSLATE(C305,""my"", ""en"")"),"7613")</f>
        <v>7613</v>
      </c>
      <c r="V305" s="10" t="str">
        <f>IFERROR(__xludf.DUMMYFUNCTION("GOOGLETRANSLATE(D305,""my"", ""en"")"),"3965")</f>
        <v>3965</v>
      </c>
      <c r="W305" s="10" t="str">
        <f>IFERROR(__xludf.DUMMYFUNCTION("GOOGLETRANSLATE(E305,""my"", ""en"")"),"1723")</f>
        <v>1723</v>
      </c>
      <c r="X305" s="10" t="str">
        <f>IFERROR(__xludf.DUMMYFUNCTION("GOOGLETRANSLATE(F305,""my"", ""en"")"),"5688")</f>
        <v>5688</v>
      </c>
      <c r="Y305" s="10" t="str">
        <f>IFERROR(__xludf.DUMMYFUNCTION("GOOGLETRANSLATE(G305,""my"", ""en"")"),"74.71")</f>
        <v>74.71</v>
      </c>
      <c r="Z305" s="10" t="str">
        <f>IFERROR(__xludf.DUMMYFUNCTION("GOOGLETRANSLATE(H305,""my"", ""en"")"),"227")</f>
        <v>227</v>
      </c>
      <c r="AA305" s="10" t="str">
        <f>IFERROR(__xludf.DUMMYFUNCTION("GOOGLETRANSLATE(I305,""my"", ""en"")"),"2")</f>
        <v>2</v>
      </c>
      <c r="AB305" s="10" t="str">
        <f>IFERROR(__xludf.DUMMYFUNCTION("GOOGLETRANSLATE(J305,""my"", ""en"")"),"229")</f>
        <v>229</v>
      </c>
      <c r="AE305" s="10" t="str">
        <f>IFERROR(__xludf.DUMMYFUNCTION("GOOGLETRANSLATE(M305,""my"", ""en"")"),"3765")</f>
        <v>3765</v>
      </c>
      <c r="AF305" s="10" t="str">
        <f>IFERROR(__xludf.DUMMYFUNCTION("GOOGLETRANSLATE(N305,""my"", ""en"")"),"1694")</f>
        <v>1694</v>
      </c>
      <c r="AG305" s="10" t="str">
        <f>IFERROR(__xludf.DUMMYFUNCTION("GOOGLETRANSLATE(O305,""my"", ""en"")"),"5459")</f>
        <v>5459</v>
      </c>
    </row>
    <row r="306" ht="24.7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3" t="s">
        <v>2181</v>
      </c>
      <c r="L306" s="23" t="s">
        <v>2182</v>
      </c>
      <c r="M306" s="24" t="s">
        <v>2183</v>
      </c>
      <c r="N306" s="24" t="s">
        <v>2184</v>
      </c>
      <c r="O306" s="24" t="s">
        <v>2185</v>
      </c>
      <c r="P306" s="25" t="s">
        <v>2186</v>
      </c>
      <c r="AC306" s="10" t="str">
        <f>IFERROR(__xludf.DUMMYFUNCTION("GOOGLETRANSLATE(K306,""my"", ""en"")"),"ေြ")</f>
        <v>ေြ</v>
      </c>
      <c r="AD306" s="10" t="str">
        <f>IFERROR(__xludf.DUMMYFUNCTION("GOOGLETRANSLATE(L306,""my"", ""en"")")," Game Democracy group   Pop Party")</f>
        <v> Game Democracy group   Pop Party</v>
      </c>
      <c r="AE306" s="10" t="str">
        <f>IFERROR(__xludf.DUMMYFUNCTION("GOOGLETRANSLATE(M306,""my"", ""en"")"),"1474")</f>
        <v>1474</v>
      </c>
      <c r="AF306" s="10" t="str">
        <f>IFERROR(__xludf.DUMMYFUNCTION("GOOGLETRANSLATE(N306,""my"", ""en"")"),"552")</f>
        <v>552</v>
      </c>
      <c r="AG306" s="10" t="str">
        <f>IFERROR(__xludf.DUMMYFUNCTION("GOOGLETRANSLATE(O306,""my"", ""en"")"),"2026")</f>
        <v>2026</v>
      </c>
      <c r="AH306" s="10" t="str">
        <f>IFERROR(__xludf.DUMMYFUNCTION("GOOGLETRANSLATE(P306,""my"", ""en"")"),"37.11%")</f>
        <v>37.11%</v>
      </c>
    </row>
    <row r="307" ht="24.7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3" t="s">
        <v>2187</v>
      </c>
      <c r="L307" s="23" t="s">
        <v>2188</v>
      </c>
      <c r="M307" s="24" t="s">
        <v>2189</v>
      </c>
      <c r="N307" s="24" t="s">
        <v>2190</v>
      </c>
      <c r="O307" s="24" t="s">
        <v>2191</v>
      </c>
      <c r="P307" s="25" t="s">
        <v>2192</v>
      </c>
      <c r="AC307" s="10" t="str">
        <f>IFERROR(__xludf.DUMMYFUNCTION("GOOGLETRANSLATE(K307,""my"", ""en"")"),"ဦွး ေပ")</f>
        <v>ဦွး ေပ</v>
      </c>
      <c r="AD307" s="10" t="str">
        <f>IFERROR(__xludf.DUMMYFUNCTION("GOOGLETRANSLATE(L307,""my"", ""en"")"),"Local ေထာင် soap-stone strong ေရး  under development  Phil  ေရး Party")</f>
        <v>Local ေထာင် soap-stone strong ေရး  under development  Phil  ေရး Party</v>
      </c>
      <c r="AE307" s="10" t="str">
        <f>IFERROR(__xludf.DUMMYFUNCTION("GOOGLETRANSLATE(M307,""my"", ""en"")"),"991")</f>
        <v>991</v>
      </c>
      <c r="AF307" s="10" t="str">
        <f>IFERROR(__xludf.DUMMYFUNCTION("GOOGLETRANSLATE(N307,""my"", ""en"")"),"552")</f>
        <v>552</v>
      </c>
      <c r="AG307" s="10" t="str">
        <f>IFERROR(__xludf.DUMMYFUNCTION("GOOGLETRANSLATE(O307,""my"", ""en"")"),"1543")</f>
        <v>1543</v>
      </c>
      <c r="AH307" s="10" t="str">
        <f>IFERROR(__xludf.DUMMYFUNCTION("GOOGLETRANSLATE(P307,""my"", ""en"")"),"28.27%")</f>
        <v>28.27%</v>
      </c>
    </row>
    <row r="308" ht="24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6" t="s">
        <v>2193</v>
      </c>
      <c r="L308" s="36" t="s">
        <v>2194</v>
      </c>
      <c r="M308" s="37" t="s">
        <v>2195</v>
      </c>
      <c r="N308" s="37" t="s">
        <v>2196</v>
      </c>
      <c r="O308" s="37" t="s">
        <v>2197</v>
      </c>
      <c r="P308" s="38" t="s">
        <v>2198</v>
      </c>
      <c r="AC308" s="10" t="str">
        <f>IFERROR(__xludf.DUMMYFUNCTION("GOOGLETRANSLATE(K308,""my"", ""en"")"),"Thang '")</f>
        <v>Thang '</v>
      </c>
      <c r="AD308" s="10" t="str">
        <f>IFERROR(__xludf.DUMMYFUNCTION("GOOGLETRANSLATE(L308,""my"", ""en"")")," Game Democracy group   Pop Party")</f>
        <v> Game Democracy group   Pop Party</v>
      </c>
      <c r="AE308" s="10" t="str">
        <f>IFERROR(__xludf.DUMMYFUNCTION("GOOGLETRANSLATE(M308,""my"", ""en"")"),"904")</f>
        <v>904</v>
      </c>
      <c r="AF308" s="10" t="str">
        <f>IFERROR(__xludf.DUMMYFUNCTION("GOOGLETRANSLATE(N308,""my"", ""en"")"),"392")</f>
        <v>392</v>
      </c>
      <c r="AG308" s="10" t="str">
        <f>IFERROR(__xludf.DUMMYFUNCTION("GOOGLETRANSLATE(O308,""my"", ""en"")"),"1296")</f>
        <v>1296</v>
      </c>
      <c r="AH308" s="10" t="str">
        <f>IFERROR(__xludf.DUMMYFUNCTION("GOOGLETRANSLATE(P308,""my"", ""en"")"),"23.74%")</f>
        <v>23.74%</v>
      </c>
    </row>
    <row r="309" ht="24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6" t="s">
        <v>2199</v>
      </c>
      <c r="L309" s="36" t="s">
        <v>2200</v>
      </c>
      <c r="M309" s="37" t="s">
        <v>2201</v>
      </c>
      <c r="N309" s="37" t="s">
        <v>2202</v>
      </c>
      <c r="O309" s="37" t="s">
        <v>2203</v>
      </c>
      <c r="P309" s="38" t="s">
        <v>2204</v>
      </c>
      <c r="AC309" s="10" t="str">
        <f>IFERROR(__xludf.DUMMYFUNCTION("GOOGLETRANSLATE(K309,""my"", ""en"")"),"ေကျာ Tun")</f>
        <v>ေကျာ Tun</v>
      </c>
      <c r="AD309" s="10" t="str">
        <f>IFERROR(__xludf.DUMMYFUNCTION("GOOGLETRANSLATE(L309,""my"", ""en"")"),"ခူမီး (b)  Game Party")</f>
        <v>ခူမီး (b)  Game Party</v>
      </c>
      <c r="AE309" s="10" t="str">
        <f>IFERROR(__xludf.DUMMYFUNCTION("GOOGLETRANSLATE(M309,""my"", ""en"")"),"254")</f>
        <v>254</v>
      </c>
      <c r="AF309" s="10" t="str">
        <f>IFERROR(__xludf.DUMMYFUNCTION("GOOGLETRANSLATE(N309,""my"", ""en"")"),"142")</f>
        <v>142</v>
      </c>
      <c r="AG309" s="10" t="str">
        <f>IFERROR(__xludf.DUMMYFUNCTION("GOOGLETRANSLATE(O309,""my"", ""en"")"),"396")</f>
        <v>396</v>
      </c>
      <c r="AH309" s="10" t="str">
        <f>IFERROR(__xludf.DUMMYFUNCTION("GOOGLETRANSLATE(P309,""my"", ""en"")"),"7.25%")</f>
        <v>7.25%</v>
      </c>
    </row>
    <row r="310" ht="25.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6" t="s">
        <v>2205</v>
      </c>
      <c r="L310" s="36" t="s">
        <v>2206</v>
      </c>
      <c r="M310" s="37" t="s">
        <v>2207</v>
      </c>
      <c r="N310" s="37" t="s">
        <v>2208</v>
      </c>
      <c r="O310" s="37" t="s">
        <v>2209</v>
      </c>
      <c r="P310" s="38" t="s">
        <v>2210</v>
      </c>
      <c r="AC310" s="10" t="str">
        <f>IFERROR(__xludf.DUMMYFUNCTION("GOOGLETRANSLATE(K310,""my"", ""en"")"),"Kan")</f>
        <v>Kan</v>
      </c>
      <c r="AD310" s="10" t="str">
        <f>IFERROR(__xludf.DUMMYFUNCTION("GOOGLETRANSLATE(L310,""my"", ""en"")"),"Personal ")</f>
        <v>Personal </v>
      </c>
      <c r="AE310" s="10" t="str">
        <f>IFERROR(__xludf.DUMMYFUNCTION("GOOGLETRANSLATE(M310,""my"", ""en"")"),"142")</f>
        <v>142</v>
      </c>
      <c r="AF310" s="10" t="str">
        <f>IFERROR(__xludf.DUMMYFUNCTION("GOOGLETRANSLATE(N310,""my"", ""en"")"),"56")</f>
        <v>56</v>
      </c>
      <c r="AG310" s="10" t="str">
        <f>IFERROR(__xludf.DUMMYFUNCTION("GOOGLETRANSLATE(O310,""my"", ""en"")"),"198")</f>
        <v>198</v>
      </c>
      <c r="AH310" s="10" t="str">
        <f>IFERROR(__xludf.DUMMYFUNCTION("GOOGLETRANSLATE(P310,""my"", ""en"")"),"3.63%")</f>
        <v>3.63%</v>
      </c>
    </row>
    <row r="311" ht="24.75" customHeight="1">
      <c r="A311" s="17" t="s">
        <v>2211</v>
      </c>
      <c r="B311" s="17" t="s">
        <v>2212</v>
      </c>
      <c r="C311" s="18" t="s">
        <v>2213</v>
      </c>
      <c r="D311" s="18" t="s">
        <v>2214</v>
      </c>
      <c r="E311" s="18" t="s">
        <v>2215</v>
      </c>
      <c r="F311" s="18" t="s">
        <v>2216</v>
      </c>
      <c r="G311" s="18" t="s">
        <v>2217</v>
      </c>
      <c r="H311" s="18" t="s">
        <v>2218</v>
      </c>
      <c r="I311" s="18" t="s">
        <v>2219</v>
      </c>
      <c r="J311" s="18" t="s">
        <v>2220</v>
      </c>
      <c r="K311" s="27"/>
      <c r="L311" s="27"/>
      <c r="M311" s="18" t="s">
        <v>2221</v>
      </c>
      <c r="N311" s="18" t="s">
        <v>2222</v>
      </c>
      <c r="O311" s="18" t="s">
        <v>2223</v>
      </c>
      <c r="P311" s="27"/>
      <c r="S311" s="10" t="str">
        <f>IFERROR(__xludf.DUMMYFUNCTION("GOOGLETRANSLATE(A311,""my"", ""en"")"),"45")</f>
        <v>45</v>
      </c>
      <c r="T311" s="10" t="str">
        <f>IFERROR(__xludf.DUMMYFUNCTION("GOOGLETRANSLATE(B311,""my"", ""en"")"),"မဲဆ  No. (9)")</f>
        <v>မဲဆ  No. (9)</v>
      </c>
      <c r="U311" s="10" t="str">
        <f>IFERROR(__xludf.DUMMYFUNCTION("GOOGLETRANSLATE(C311,""my"", ""en"")"),"38019")</f>
        <v>38019</v>
      </c>
      <c r="V311" s="10" t="str">
        <f>IFERROR(__xludf.DUMMYFUNCTION("GOOGLETRANSLATE(D311,""my"", ""en"")"),"23807")</f>
        <v>23807</v>
      </c>
      <c r="W311" s="10" t="str">
        <f>IFERROR(__xludf.DUMMYFUNCTION("GOOGLETRANSLATE(E311,""my"", ""en"")"),"8599")</f>
        <v>8599</v>
      </c>
      <c r="X311" s="10" t="str">
        <f>IFERROR(__xludf.DUMMYFUNCTION("GOOGLETRANSLATE(F311,""my"", ""en"")"),"32406")</f>
        <v>32406</v>
      </c>
      <c r="Y311" s="10" t="str">
        <f>IFERROR(__xludf.DUMMYFUNCTION("GOOGLETRANSLATE(G311,""my"", ""en"")"),"85.24")</f>
        <v>85.24</v>
      </c>
      <c r="Z311" s="10" t="str">
        <f>IFERROR(__xludf.DUMMYFUNCTION("GOOGLETRANSLATE(H311,""my"", ""en"")"),"1031")</f>
        <v>1031</v>
      </c>
      <c r="AA311" s="10" t="str">
        <f>IFERROR(__xludf.DUMMYFUNCTION("GOOGLETRANSLATE(I311,""my"", ""en"")"),"34")</f>
        <v>34</v>
      </c>
      <c r="AB311" s="10" t="str">
        <f>IFERROR(__xludf.DUMMYFUNCTION("GOOGLETRANSLATE(J311,""my"", ""en"")"),"1065")</f>
        <v>1065</v>
      </c>
      <c r="AE311" s="10" t="str">
        <f>IFERROR(__xludf.DUMMYFUNCTION("GOOGLETRANSLATE(M311,""my"", ""en"")"),"22807")</f>
        <v>22807</v>
      </c>
      <c r="AF311" s="10" t="str">
        <f>IFERROR(__xludf.DUMMYFUNCTION("GOOGLETRANSLATE(N311,""my"", ""en"")"),"8534")</f>
        <v>8534</v>
      </c>
      <c r="AG311" s="10" t="str">
        <f>IFERROR(__xludf.DUMMYFUNCTION("GOOGLETRANSLATE(O311,""my"", ""en"")"),"31341")</f>
        <v>31341</v>
      </c>
    </row>
    <row r="312" ht="21.0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3" t="s">
        <v>2224</v>
      </c>
      <c r="L312" s="23" t="s">
        <v>2225</v>
      </c>
      <c r="M312" s="24" t="s">
        <v>2226</v>
      </c>
      <c r="N312" s="24" t="s">
        <v>2227</v>
      </c>
      <c r="O312" s="24" t="s">
        <v>2228</v>
      </c>
      <c r="P312" s="25" t="s">
        <v>2229</v>
      </c>
      <c r="AC312" s="10" t="str">
        <f>IFERROR(__xludf.DUMMYFUNCTION("GOOGLETRANSLATE(K312,""my"", ""en"")"),"It's windy")</f>
        <v>It's windy</v>
      </c>
      <c r="AD312" s="10" t="str">
        <f>IFERROR(__xludf.DUMMYFUNCTION("GOOGLETRANSLATE(L312,""my"", ""en"")")," Game Democracy group   Pop Party")</f>
        <v> Game Democracy group   Pop Party</v>
      </c>
      <c r="AE312" s="10" t="str">
        <f>IFERROR(__xludf.DUMMYFUNCTION("GOOGLETRANSLATE(M312,""my"", ""en"")"),"11100")</f>
        <v>11100</v>
      </c>
      <c r="AF312" s="10" t="str">
        <f>IFERROR(__xludf.DUMMYFUNCTION("GOOGLETRANSLATE(N312,""my"", ""en"")"),"4162")</f>
        <v>4162</v>
      </c>
      <c r="AG312" s="10" t="str">
        <f>IFERROR(__xludf.DUMMYFUNCTION("GOOGLETRANSLATE(O312,""my"", ""en"")"),"15262")</f>
        <v>15262</v>
      </c>
      <c r="AH312" s="10" t="str">
        <f>IFERROR(__xludf.DUMMYFUNCTION("GOOGLETRANSLATE(P312,""my"", ""en"")"),"48.70%")</f>
        <v>48.70%</v>
      </c>
    </row>
    <row r="313" ht="21.0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3" t="s">
        <v>2230</v>
      </c>
      <c r="L313" s="23" t="s">
        <v>2231</v>
      </c>
      <c r="M313" s="24" t="s">
        <v>2232</v>
      </c>
      <c r="N313" s="24" t="s">
        <v>2233</v>
      </c>
      <c r="O313" s="24" t="s">
        <v>2234</v>
      </c>
      <c r="P313" s="25" t="s">
        <v>2235</v>
      </c>
      <c r="AC313" s="10" t="str">
        <f>IFERROR(__xludf.DUMMYFUNCTION("GOOGLETRANSLATE(K313,""my"", ""en"")"),"ေအာင် Lian")</f>
        <v>ေအာင် Lian</v>
      </c>
      <c r="AD313" s="10" t="str">
        <f>IFERROR(__xludf.DUMMYFUNCTION("GOOGLETRANSLATE(L313,""my"", ""en"")")," Game Democracy group   Pop Party")</f>
        <v> Game Democracy group   Pop Party</v>
      </c>
      <c r="AE313" s="10" t="str">
        <f>IFERROR(__xludf.DUMMYFUNCTION("GOOGLETRANSLATE(M313,""my"", ""en"")"),"5608")</f>
        <v>5608</v>
      </c>
      <c r="AF313" s="10" t="str">
        <f>IFERROR(__xludf.DUMMYFUNCTION("GOOGLETRANSLATE(N313,""my"", ""en"")"),"2081")</f>
        <v>2081</v>
      </c>
      <c r="AG313" s="10" t="str">
        <f>IFERROR(__xludf.DUMMYFUNCTION("GOOGLETRANSLATE(O313,""my"", ""en"")"),"7689")</f>
        <v>7689</v>
      </c>
      <c r="AH313" s="10" t="str">
        <f>IFERROR(__xludf.DUMMYFUNCTION("GOOGLETRANSLATE(P313,""my"", ""en"")"),"24.53%")</f>
        <v>24.53%</v>
      </c>
    </row>
    <row r="314" ht="21.0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3" t="s">
        <v>2236</v>
      </c>
      <c r="L314" s="23" t="s">
        <v>2237</v>
      </c>
      <c r="M314" s="24" t="s">
        <v>2238</v>
      </c>
      <c r="N314" s="24" t="s">
        <v>2239</v>
      </c>
      <c r="O314" s="24" t="s">
        <v>2240</v>
      </c>
      <c r="P314" s="25" t="s">
        <v>2241</v>
      </c>
      <c r="AC314" s="10" t="str">
        <f>IFERROR(__xludf.DUMMYFUNCTION("GOOGLETRANSLATE(K314,""my"", ""en"")"),"U Tin Win")</f>
        <v>U Tin Win</v>
      </c>
      <c r="AD314" s="10" t="str">
        <f>IFERROR(__xludf.DUMMYFUNCTION("GOOGLETRANSLATE(L314,""my"", ""en"")"),"Ethnic  Game Development  Phil  ေရး Party")</f>
        <v>Ethnic  Game Development  Phil  ေရး Party</v>
      </c>
      <c r="AE314" s="10" t="str">
        <f>IFERROR(__xludf.DUMMYFUNCTION("GOOGLETRANSLATE(M314,""my"", ""en"")"),"4713")</f>
        <v>4713</v>
      </c>
      <c r="AF314" s="10" t="str">
        <f>IFERROR(__xludf.DUMMYFUNCTION("GOOGLETRANSLATE(N314,""my"", ""en"")"),"1578")</f>
        <v>1578</v>
      </c>
      <c r="AG314" s="10" t="str">
        <f>IFERROR(__xludf.DUMMYFUNCTION("GOOGLETRANSLATE(O314,""my"", ""en"")"),"6291")</f>
        <v>6291</v>
      </c>
      <c r="AH314" s="10" t="str">
        <f>IFERROR(__xludf.DUMMYFUNCTION("GOOGLETRANSLATE(P314,""my"", ""en"")"),"20.07%")</f>
        <v>20.07%</v>
      </c>
    </row>
    <row r="315" ht="21.0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3" t="s">
        <v>2242</v>
      </c>
      <c r="L315" s="23" t="s">
        <v>2243</v>
      </c>
      <c r="M315" s="24" t="s">
        <v>2244</v>
      </c>
      <c r="N315" s="24" t="s">
        <v>2245</v>
      </c>
      <c r="O315" s="24" t="s">
        <v>2246</v>
      </c>
      <c r="P315" s="25" t="s">
        <v>2247</v>
      </c>
      <c r="AC315" s="10" t="str">
        <f>IFERROR(__xludf.DUMMYFUNCTION("GOOGLETRANSLATE(K315,""my"", ""en"")"),"Mixed first car")</f>
        <v>Mixed first car</v>
      </c>
      <c r="AD315" s="10" t="str">
        <f>IFERROR(__xludf.DUMMYFUNCTION("GOOGLETRANSLATE(L315,""my"", ""en"")"),"Local ေထာင် soap-stone strong ေရး  under development  Phil  ေရး Party")</f>
        <v>Local ေထာင် soap-stone strong ေရး  under development  Phil  ေရး Party</v>
      </c>
      <c r="AE315" s="10" t="str">
        <f>IFERROR(__xludf.DUMMYFUNCTION("GOOGLETRANSLATE(M315,""my"", ""en"")"),"1386")</f>
        <v>1386</v>
      </c>
      <c r="AF315" s="10" t="str">
        <f>IFERROR(__xludf.DUMMYFUNCTION("GOOGLETRANSLATE(N315,""my"", ""en"")"),"713")</f>
        <v>713</v>
      </c>
      <c r="AG315" s="10" t="str">
        <f>IFERROR(__xludf.DUMMYFUNCTION("GOOGLETRANSLATE(O315,""my"", ""en"")"),"2099")</f>
        <v>2099</v>
      </c>
      <c r="AH315" s="10" t="str">
        <f>IFERROR(__xludf.DUMMYFUNCTION("GOOGLETRANSLATE(P315,""my"", ""en"")"),"6.70%")</f>
        <v>6.70%</v>
      </c>
    </row>
    <row r="316" ht="24.75" customHeight="1">
      <c r="A316" s="17" t="s">
        <v>2248</v>
      </c>
      <c r="B316" s="17" t="s">
        <v>2249</v>
      </c>
      <c r="C316" s="18" t="s">
        <v>2250</v>
      </c>
      <c r="D316" s="18" t="s">
        <v>2251</v>
      </c>
      <c r="E316" s="18" t="s">
        <v>2252</v>
      </c>
      <c r="F316" s="18" t="s">
        <v>2253</v>
      </c>
      <c r="G316" s="18" t="s">
        <v>2254</v>
      </c>
      <c r="H316" s="18" t="s">
        <v>2255</v>
      </c>
      <c r="I316" s="18" t="s">
        <v>2256</v>
      </c>
      <c r="J316" s="18" t="s">
        <v>2257</v>
      </c>
      <c r="K316" s="27"/>
      <c r="L316" s="27"/>
      <c r="M316" s="18" t="s">
        <v>2258</v>
      </c>
      <c r="N316" s="18" t="s">
        <v>2259</v>
      </c>
      <c r="O316" s="18" t="s">
        <v>2260</v>
      </c>
      <c r="P316" s="27"/>
      <c r="S316" s="10" t="str">
        <f>IFERROR(__xludf.DUMMYFUNCTION("GOOGLETRANSLATE(A316,""my"", ""en"")"),"46")</f>
        <v>46</v>
      </c>
      <c r="T316" s="10" t="str">
        <f>IFERROR(__xludf.DUMMYFUNCTION("GOOGLETRANSLATE(B316,""my"", ""en"")"),"မဲဆ  No. (10)")</f>
        <v>မဲဆ  No. (10)</v>
      </c>
      <c r="U316" s="10" t="str">
        <f>IFERROR(__xludf.DUMMYFUNCTION("GOOGLETRANSLATE(C316,""my"", ""en"")"),"33806")</f>
        <v>33806</v>
      </c>
      <c r="V316" s="10" t="str">
        <f>IFERROR(__xludf.DUMMYFUNCTION("GOOGLETRANSLATE(D316,""my"", ""en"")"),"23563")</f>
        <v>23563</v>
      </c>
      <c r="W316" s="10" t="str">
        <f>IFERROR(__xludf.DUMMYFUNCTION("GOOGLETRANSLATE(E316,""my"", ""en"")"),"4037")</f>
        <v>4037</v>
      </c>
      <c r="X316" s="10" t="str">
        <f>IFERROR(__xludf.DUMMYFUNCTION("GOOGLETRANSLATE(F316,""my"", ""en"")"),"27600")</f>
        <v>27600</v>
      </c>
      <c r="Y316" s="10" t="str">
        <f>IFERROR(__xludf.DUMMYFUNCTION("GOOGLETRANSLATE(G316,""my"", ""en"")"),"81.64")</f>
        <v>81.64</v>
      </c>
      <c r="Z316" s="10" t="str">
        <f>IFERROR(__xludf.DUMMYFUNCTION("GOOGLETRANSLATE(H316,""my"", ""en"")"),"845")</f>
        <v>845</v>
      </c>
      <c r="AA316" s="10" t="str">
        <f>IFERROR(__xludf.DUMMYFUNCTION("GOOGLETRANSLATE(I316,""my"", ""en"")"),"3")</f>
        <v>3</v>
      </c>
      <c r="AB316" s="10" t="str">
        <f>IFERROR(__xludf.DUMMYFUNCTION("GOOGLETRANSLATE(J316,""my"", ""en"")"),"848")</f>
        <v>848</v>
      </c>
      <c r="AE316" s="10" t="str">
        <f>IFERROR(__xludf.DUMMYFUNCTION("GOOGLETRANSLATE(M316,""my"", ""en"")"),"22763")</f>
        <v>22763</v>
      </c>
      <c r="AF316" s="10" t="str">
        <f>IFERROR(__xludf.DUMMYFUNCTION("GOOGLETRANSLATE(N316,""my"", ""en"")"),"3989")</f>
        <v>3989</v>
      </c>
      <c r="AG316" s="10" t="str">
        <f>IFERROR(__xludf.DUMMYFUNCTION("GOOGLETRANSLATE(O316,""my"", ""en"")"),"26752")</f>
        <v>26752</v>
      </c>
    </row>
    <row r="317" ht="24.7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3" t="s">
        <v>2261</v>
      </c>
      <c r="L317" s="23" t="s">
        <v>2262</v>
      </c>
      <c r="M317" s="24" t="s">
        <v>2263</v>
      </c>
      <c r="N317" s="24" t="s">
        <v>2264</v>
      </c>
      <c r="O317" s="24" t="s">
        <v>2265</v>
      </c>
      <c r="P317" s="25" t="s">
        <v>2266</v>
      </c>
      <c r="AC317" s="10" t="str">
        <f>IFERROR(__xludf.DUMMYFUNCTION("GOOGLETRANSLATE(K317,""my"", ""en"")"),"Henry Van umbrella")</f>
        <v>Henry Van umbrella</v>
      </c>
      <c r="AD317" s="10" t="str">
        <f>IFERROR(__xludf.DUMMYFUNCTION("GOOGLETRANSLATE(L317,""my"", ""en"")")," Game Democracy group   Pop Party")</f>
        <v> Game Democracy group   Pop Party</v>
      </c>
      <c r="AE317" s="10" t="str">
        <f>IFERROR(__xludf.DUMMYFUNCTION("GOOGLETRANSLATE(M317,""my"", ""en"")"),"12966")</f>
        <v>12966</v>
      </c>
      <c r="AF317" s="10" t="str">
        <f>IFERROR(__xludf.DUMMYFUNCTION("GOOGLETRANSLATE(N317,""my"", ""en"")"),"2526")</f>
        <v>2526</v>
      </c>
      <c r="AG317" s="10" t="str">
        <f>IFERROR(__xludf.DUMMYFUNCTION("GOOGLETRANSLATE(O317,""my"", ""en"")"),"15492")</f>
        <v>15492</v>
      </c>
      <c r="AH317" s="10" t="str">
        <f>IFERROR(__xludf.DUMMYFUNCTION("GOOGLETRANSLATE(P317,""my"", ""en"")"),"57.91%")</f>
        <v>57.91%</v>
      </c>
    </row>
    <row r="318" ht="24.0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3" t="s">
        <v>2267</v>
      </c>
      <c r="L318" s="23" t="s">
        <v>2268</v>
      </c>
      <c r="M318" s="24" t="s">
        <v>2269</v>
      </c>
      <c r="N318" s="24" t="s">
        <v>2270</v>
      </c>
      <c r="O318" s="24" t="s">
        <v>2271</v>
      </c>
      <c r="P318" s="25" t="s">
        <v>2272</v>
      </c>
      <c r="AC318" s="10" t="str">
        <f>IFERROR(__xludf.DUMMYFUNCTION("GOOGLETRANSLATE(K318,""my"", ""en"")"),"Van  Lian")</f>
        <v>Van  Lian</v>
      </c>
      <c r="AD318" s="10" t="str">
        <f>IFERROR(__xludf.DUMMYFUNCTION("GOOGLETRANSLATE(L318,""my"", ""en"")")," Game Democracy group   Pop Party")</f>
        <v> Game Democracy group   Pop Party</v>
      </c>
      <c r="AE318" s="10" t="str">
        <f>IFERROR(__xludf.DUMMYFUNCTION("GOOGLETRANSLATE(M318,""my"", ""en"")"),"4989")</f>
        <v>4989</v>
      </c>
      <c r="AF318" s="10" t="str">
        <f>IFERROR(__xludf.DUMMYFUNCTION("GOOGLETRANSLATE(N318,""my"", ""en"")"),"692")</f>
        <v>692</v>
      </c>
      <c r="AG318" s="10" t="str">
        <f>IFERROR(__xludf.DUMMYFUNCTION("GOOGLETRANSLATE(O318,""my"", ""en"")"),"5681")</f>
        <v>5681</v>
      </c>
      <c r="AH318" s="10" t="str">
        <f>IFERROR(__xludf.DUMMYFUNCTION("GOOGLETRANSLATE(P318,""my"", ""en"")"),"21.24%")</f>
        <v>21.24%</v>
      </c>
    </row>
    <row r="319" ht="24.7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3" t="s">
        <v>2273</v>
      </c>
      <c r="L319" s="23" t="s">
        <v>2274</v>
      </c>
      <c r="M319" s="24" t="s">
        <v>2275</v>
      </c>
      <c r="N319" s="24" t="s">
        <v>2276</v>
      </c>
      <c r="O319" s="24" t="s">
        <v>2277</v>
      </c>
      <c r="P319" s="25" t="s">
        <v>2278</v>
      </c>
      <c r="AC319" s="10" t="str">
        <f>IFERROR(__xludf.DUMMYFUNCTION("GOOGLETRANSLATE(K319,""my"", ""en"")"),"Russian around Lian ")</f>
        <v>Russian around Lian </v>
      </c>
      <c r="AD319" s="10" t="str">
        <f>IFERROR(__xludf.DUMMYFUNCTION("GOOGLETRANSLATE(L319,""my"", ""en"")"),"Local ေထာင် soap-stone strong ေရး  under development  Phil  ေရး Party")</f>
        <v>Local ေထာင် soap-stone strong ေရး  under development  Phil  ေရး Party</v>
      </c>
      <c r="AE319" s="10" t="str">
        <f>IFERROR(__xludf.DUMMYFUNCTION("GOOGLETRANSLATE(M319,""my"", ""en"")"),"4808")</f>
        <v>4808</v>
      </c>
      <c r="AF319" s="10" t="str">
        <f>IFERROR(__xludf.DUMMYFUNCTION("GOOGLETRANSLATE(N319,""my"", ""en"")"),"771")</f>
        <v>771</v>
      </c>
      <c r="AG319" s="10" t="str">
        <f>IFERROR(__xludf.DUMMYFUNCTION("GOOGLETRANSLATE(O319,""my"", ""en"")"),"5579")</f>
        <v>5579</v>
      </c>
      <c r="AH319" s="10" t="str">
        <f>IFERROR(__xludf.DUMMYFUNCTION("GOOGLETRANSLATE(P319,""my"", ""en"")"),"20.85%")</f>
        <v>20.85%</v>
      </c>
    </row>
    <row r="320" ht="21.75" customHeight="1">
      <c r="A320" s="17" t="s">
        <v>2279</v>
      </c>
      <c r="B320" s="17" t="s">
        <v>2280</v>
      </c>
      <c r="C320" s="18" t="s">
        <v>2281</v>
      </c>
      <c r="D320" s="18" t="s">
        <v>2282</v>
      </c>
      <c r="E320" s="18" t="s">
        <v>2283</v>
      </c>
      <c r="F320" s="18" t="s">
        <v>2284</v>
      </c>
      <c r="G320" s="18" t="s">
        <v>2285</v>
      </c>
      <c r="H320" s="18" t="s">
        <v>2286</v>
      </c>
      <c r="I320" s="18" t="s">
        <v>2287</v>
      </c>
      <c r="J320" s="18" t="s">
        <v>2288</v>
      </c>
      <c r="K320" s="27"/>
      <c r="L320" s="27"/>
      <c r="M320" s="18" t="s">
        <v>2289</v>
      </c>
      <c r="N320" s="18" t="s">
        <v>2290</v>
      </c>
      <c r="O320" s="18" t="s">
        <v>2291</v>
      </c>
      <c r="P320" s="27"/>
      <c r="S320" s="10" t="str">
        <f>IFERROR(__xludf.DUMMYFUNCTION("GOOGLETRANSLATE(A320,""my"", ""en"")"),"47")</f>
        <v>47</v>
      </c>
      <c r="T320" s="10" t="str">
        <f>IFERROR(__xludf.DUMMYFUNCTION("GOOGLETRANSLATE(B320,""my"", ""en"")"),"မဲဆ  No. (11)")</f>
        <v>မဲဆ  No. (11)</v>
      </c>
      <c r="U320" s="10" t="str">
        <f>IFERROR(__xludf.DUMMYFUNCTION("GOOGLETRANSLATE(C320,""my"", ""en"")"),"19689")</f>
        <v>19689</v>
      </c>
      <c r="V320" s="10" t="str">
        <f>IFERROR(__xludf.DUMMYFUNCTION("GOOGLETRANSLATE(D320,""my"", ""en"")"),"12284")</f>
        <v>12284</v>
      </c>
      <c r="W320" s="10" t="str">
        <f>IFERROR(__xludf.DUMMYFUNCTION("GOOGLETRANSLATE(E320,""my"", ""en"")"),"3033")</f>
        <v>3033</v>
      </c>
      <c r="X320" s="10" t="str">
        <f>IFERROR(__xludf.DUMMYFUNCTION("GOOGLETRANSLATE(F320,""my"", ""en"")"),"15317")</f>
        <v>15317</v>
      </c>
      <c r="Y320" s="10" t="str">
        <f>IFERROR(__xludf.DUMMYFUNCTION("GOOGLETRANSLATE(G320,""my"", ""en"")"),"77.79")</f>
        <v>77.79</v>
      </c>
      <c r="Z320" s="10" t="str">
        <f>IFERROR(__xludf.DUMMYFUNCTION("GOOGLETRANSLATE(H320,""my"", ""en"")"),"464")</f>
        <v>464</v>
      </c>
      <c r="AA320" s="10" t="str">
        <f>IFERROR(__xludf.DUMMYFUNCTION("GOOGLETRANSLATE(I320,""my"", ""en"")"),"16")</f>
        <v>16</v>
      </c>
      <c r="AB320" s="10" t="str">
        <f>IFERROR(__xludf.DUMMYFUNCTION("GOOGLETRANSLATE(J320,""my"", ""en"")"),"480")</f>
        <v>480</v>
      </c>
      <c r="AE320" s="10" t="str">
        <f>IFERROR(__xludf.DUMMYFUNCTION("GOOGLETRANSLATE(M320,""my"", ""en"")"),"11884")</f>
        <v>11884</v>
      </c>
      <c r="AF320" s="10" t="str">
        <f>IFERROR(__xludf.DUMMYFUNCTION("GOOGLETRANSLATE(N320,""my"", ""en"")"),"2953")</f>
        <v>2953</v>
      </c>
      <c r="AG320" s="10" t="str">
        <f>IFERROR(__xludf.DUMMYFUNCTION("GOOGLETRANSLATE(O320,""my"", ""en"")"),"14837")</f>
        <v>14837</v>
      </c>
    </row>
    <row r="321" ht="24.0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3" t="s">
        <v>2292</v>
      </c>
      <c r="L321" s="23" t="s">
        <v>2293</v>
      </c>
      <c r="M321" s="24" t="s">
        <v>2294</v>
      </c>
      <c r="N321" s="24" t="s">
        <v>2295</v>
      </c>
      <c r="O321" s="24" t="s">
        <v>2296</v>
      </c>
      <c r="P321" s="25" t="s">
        <v>2297</v>
      </c>
      <c r="AC321" s="10" t="str">
        <f>IFERROR(__xludf.DUMMYFUNCTION("GOOGLETRANSLATE(K321,""my"", ""en"")"),"Dr. Aye money")</f>
        <v>Dr. Aye money</v>
      </c>
      <c r="AD321" s="10" t="str">
        <f>IFERROR(__xludf.DUMMYFUNCTION("GOOGLETRANSLATE(L321,""my"", ""en"")")," Game Democracy group   Pop Party")</f>
        <v> Game Democracy group   Pop Party</v>
      </c>
      <c r="AE321" s="10" t="str">
        <f>IFERROR(__xludf.DUMMYFUNCTION("GOOGLETRANSLATE(M321,""my"", ""en"")"),"6459")</f>
        <v>6459</v>
      </c>
      <c r="AF321" s="10" t="str">
        <f>IFERROR(__xludf.DUMMYFUNCTION("GOOGLETRANSLATE(N321,""my"", ""en"")"),"1693")</f>
        <v>1693</v>
      </c>
      <c r="AG321" s="10" t="str">
        <f>IFERROR(__xludf.DUMMYFUNCTION("GOOGLETRANSLATE(O321,""my"", ""en"")"),"8152")</f>
        <v>8152</v>
      </c>
      <c r="AH321" s="10" t="str">
        <f>IFERROR(__xludf.DUMMYFUNCTION("GOOGLETRANSLATE(P321,""my"", ""en"")"),"54.94%")</f>
        <v>54.94%</v>
      </c>
    </row>
    <row r="322" ht="24.0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3" t="s">
        <v>2298</v>
      </c>
      <c r="L322" s="23" t="s">
        <v>2299</v>
      </c>
      <c r="M322" s="24" t="s">
        <v>2300</v>
      </c>
      <c r="N322" s="24" t="s">
        <v>2301</v>
      </c>
      <c r="O322" s="24" t="s">
        <v>2302</v>
      </c>
      <c r="P322" s="25" t="s">
        <v>2303</v>
      </c>
      <c r="AC322" s="10" t="str">
        <f>IFERROR(__xludf.DUMMYFUNCTION("GOOGLETRANSLATE(K322,""my"", ""en"")"),"Ram Ceu  Avatar")</f>
        <v>Ram Ceu  Avatar</v>
      </c>
      <c r="AD322" s="10" t="str">
        <f>IFERROR(__xludf.DUMMYFUNCTION("GOOGLETRANSLATE(L322,""my"", ""en"")")," Game Democracy group   Pop Party")</f>
        <v> Game Democracy group   Pop Party</v>
      </c>
      <c r="AE322" s="10" t="str">
        <f>IFERROR(__xludf.DUMMYFUNCTION("GOOGLETRANSLATE(M322,""my"", ""en"")"),"4365")</f>
        <v>4365</v>
      </c>
      <c r="AF322" s="10" t="str">
        <f>IFERROR(__xludf.DUMMYFUNCTION("GOOGLETRANSLATE(N322,""my"", ""en"")"),"921")</f>
        <v>921</v>
      </c>
      <c r="AG322" s="10" t="str">
        <f>IFERROR(__xludf.DUMMYFUNCTION("GOOGLETRANSLATE(O322,""my"", ""en"")"),"5286")</f>
        <v>5286</v>
      </c>
      <c r="AH322" s="10" t="str">
        <f>IFERROR(__xludf.DUMMYFUNCTION("GOOGLETRANSLATE(P322,""my"", ""en"")"),"35.63%")</f>
        <v>35.63%</v>
      </c>
    </row>
    <row r="323" ht="24.0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3" t="s">
        <v>2304</v>
      </c>
      <c r="L323" s="23" t="s">
        <v>2305</v>
      </c>
      <c r="M323" s="24" t="s">
        <v>2306</v>
      </c>
      <c r="N323" s="24" t="s">
        <v>2307</v>
      </c>
      <c r="O323" s="24" t="s">
        <v>2308</v>
      </c>
      <c r="P323" s="25" t="s">
        <v>2309</v>
      </c>
      <c r="AC323" s="10" t="str">
        <f>IFERROR(__xludf.DUMMYFUNCTION("GOOGLETRANSLATE(K323,""my"", ""en"")"),"Van around ")</f>
        <v>Van around </v>
      </c>
      <c r="AD323" s="10" t="str">
        <f>IFERROR(__xludf.DUMMYFUNCTION("GOOGLETRANSLATE(L323,""my"", ""en"")"),"Local ေထာင် soap-stone strong ေရး  under development  Phil  ေရး Party")</f>
        <v>Local ေထာင် soap-stone strong ေရး  under development  Phil  ေရး Party</v>
      </c>
      <c r="AE323" s="10" t="str">
        <f>IFERROR(__xludf.DUMMYFUNCTION("GOOGLETRANSLATE(M323,""my"", ""en"")"),"1060")</f>
        <v>1060</v>
      </c>
      <c r="AF323" s="10" t="str">
        <f>IFERROR(__xludf.DUMMYFUNCTION("GOOGLETRANSLATE(N323,""my"", ""en"")"),"339")</f>
        <v>339</v>
      </c>
      <c r="AG323" s="10" t="str">
        <f>IFERROR(__xludf.DUMMYFUNCTION("GOOGLETRANSLATE(O323,""my"", ""en"")"),"1399")</f>
        <v>1399</v>
      </c>
      <c r="AH323" s="10" t="str">
        <f>IFERROR(__xludf.DUMMYFUNCTION("GOOGLETRANSLATE(P323,""my"", ""en"")"),"9.43%")</f>
        <v>9.43%</v>
      </c>
    </row>
    <row r="324" ht="24.75" customHeight="1">
      <c r="A324" s="17" t="s">
        <v>2310</v>
      </c>
      <c r="B324" s="17" t="s">
        <v>2311</v>
      </c>
      <c r="C324" s="18" t="s">
        <v>2312</v>
      </c>
      <c r="D324" s="18" t="s">
        <v>2313</v>
      </c>
      <c r="E324" s="18" t="s">
        <v>2314</v>
      </c>
      <c r="F324" s="18" t="s">
        <v>2315</v>
      </c>
      <c r="G324" s="18" t="s">
        <v>2316</v>
      </c>
      <c r="H324" s="18" t="s">
        <v>2317</v>
      </c>
      <c r="I324" s="18" t="s">
        <v>2318</v>
      </c>
      <c r="J324" s="18" t="s">
        <v>2319</v>
      </c>
      <c r="K324" s="27"/>
      <c r="L324" s="27"/>
      <c r="M324" s="18" t="s">
        <v>2320</v>
      </c>
      <c r="N324" s="18" t="s">
        <v>2321</v>
      </c>
      <c r="O324" s="18" t="s">
        <v>2322</v>
      </c>
      <c r="P324" s="27"/>
      <c r="S324" s="10" t="str">
        <f>IFERROR(__xludf.DUMMYFUNCTION("GOOGLETRANSLATE(A324,""my"", ""en"")"),"48")</f>
        <v>48</v>
      </c>
      <c r="T324" s="10" t="str">
        <f>IFERROR(__xludf.DUMMYFUNCTION("GOOGLETRANSLATE(B324,""my"", ""en"")"),"မဲဆ  No. (12)")</f>
        <v>မဲဆ  No. (12)</v>
      </c>
      <c r="U324" s="10" t="str">
        <f>IFERROR(__xludf.DUMMYFUNCTION("GOOGLETRANSLATE(C324,""my"", ""en"")"),"19515")</f>
        <v>19515</v>
      </c>
      <c r="V324" s="10" t="str">
        <f>IFERROR(__xludf.DUMMYFUNCTION("GOOGLETRANSLATE(D324,""my"", ""en"")"),"12486")</f>
        <v>12486</v>
      </c>
      <c r="W324" s="10" t="str">
        <f>IFERROR(__xludf.DUMMYFUNCTION("GOOGLETRANSLATE(E324,""my"", ""en"")"),"3043")</f>
        <v>3043</v>
      </c>
      <c r="X324" s="10" t="str">
        <f>IFERROR(__xludf.DUMMYFUNCTION("GOOGLETRANSLATE(F324,""my"", ""en"")"),"15529")</f>
        <v>15529</v>
      </c>
      <c r="Y324" s="10" t="str">
        <f>IFERROR(__xludf.DUMMYFUNCTION("GOOGLETRANSLATE(G324,""my"", ""en"")"),"79.57")</f>
        <v>79.57</v>
      </c>
      <c r="Z324" s="10" t="str">
        <f>IFERROR(__xludf.DUMMYFUNCTION("GOOGLETRANSLATE(H324,""my"", ""en"")"),"563")</f>
        <v>563</v>
      </c>
      <c r="AA324" s="10" t="str">
        <f>IFERROR(__xludf.DUMMYFUNCTION("GOOGLETRANSLATE(I324,""my"", ""en"")"),"1")</f>
        <v>1</v>
      </c>
      <c r="AB324" s="10" t="str">
        <f>IFERROR(__xludf.DUMMYFUNCTION("GOOGLETRANSLATE(J324,""my"", ""en"")"),"564")</f>
        <v>564</v>
      </c>
      <c r="AE324" s="10" t="str">
        <f>IFERROR(__xludf.DUMMYFUNCTION("GOOGLETRANSLATE(M324,""my"", ""en"")"),"11986")</f>
        <v>11986</v>
      </c>
      <c r="AF324" s="10" t="str">
        <f>IFERROR(__xludf.DUMMYFUNCTION("GOOGLETRANSLATE(N324,""my"", ""en"")"),"2979")</f>
        <v>2979</v>
      </c>
      <c r="AG324" s="10" t="str">
        <f>IFERROR(__xludf.DUMMYFUNCTION("GOOGLETRANSLATE(O324,""my"", ""en"")"),"14965")</f>
        <v>14965</v>
      </c>
    </row>
    <row r="325" ht="25.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3" t="s">
        <v>2323</v>
      </c>
      <c r="L325" s="23" t="s">
        <v>2324</v>
      </c>
      <c r="M325" s="24" t="s">
        <v>2325</v>
      </c>
      <c r="N325" s="24" t="s">
        <v>2326</v>
      </c>
      <c r="O325" s="24" t="s">
        <v>2327</v>
      </c>
      <c r="P325" s="25" t="s">
        <v>2328</v>
      </c>
      <c r="AC325" s="10" t="str">
        <f>IFERROR(__xludf.DUMMYFUNCTION("GOOGLETRANSLATE(K325,""my"", ""en"")"),"Ngun heavy")</f>
        <v>Ngun heavy</v>
      </c>
      <c r="AD325" s="10" t="str">
        <f>IFERROR(__xludf.DUMMYFUNCTION("GOOGLETRANSLATE(L325,""my"", ""en"")")," Game Democracy group   Pop Party")</f>
        <v> Game Democracy group   Pop Party</v>
      </c>
      <c r="AE325" s="10" t="str">
        <f>IFERROR(__xludf.DUMMYFUNCTION("GOOGLETRANSLATE(M325,""my"", ""en"")"),"6006")</f>
        <v>6006</v>
      </c>
      <c r="AF325" s="10" t="str">
        <f>IFERROR(__xludf.DUMMYFUNCTION("GOOGLETRANSLATE(N325,""my"", ""en"")"),"1509")</f>
        <v>1509</v>
      </c>
      <c r="AG325" s="10" t="str">
        <f>IFERROR(__xludf.DUMMYFUNCTION("GOOGLETRANSLATE(O325,""my"", ""en"")"),"7515")</f>
        <v>7515</v>
      </c>
      <c r="AH325" s="10" t="str">
        <f>IFERROR(__xludf.DUMMYFUNCTION("GOOGLETRANSLATE(P325,""my"", ""en"")"),"50.22%")</f>
        <v>50.22%</v>
      </c>
    </row>
    <row r="326" ht="39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3" t="s">
        <v>2329</v>
      </c>
      <c r="L326" s="32" t="s">
        <v>2330</v>
      </c>
      <c r="M326" s="33" t="s">
        <v>2331</v>
      </c>
      <c r="N326" s="33" t="s">
        <v>2332</v>
      </c>
      <c r="O326" s="33" t="s">
        <v>2333</v>
      </c>
      <c r="P326" s="31" t="s">
        <v>2334</v>
      </c>
      <c r="AC326" s="10" t="str">
        <f>IFERROR(__xludf.DUMMYFUNCTION("GOOGLETRANSLATE(K326,""my"", ""en"")")," tied with Ben (b) origin  tied with Ben Thang")</f>
        <v> tied with Ben (b) origin  tied with Ben Thang</v>
      </c>
      <c r="AD326" s="10" t="str">
        <f>IFERROR(__xludf.DUMMYFUNCTION("GOOGLETRANSLATE(L326,""my"", ""en"")")," Game Democracy group   Pop Party")</f>
        <v> Game Democracy group   Pop Party</v>
      </c>
      <c r="AE326" s="10" t="str">
        <f>IFERROR(__xludf.DUMMYFUNCTION("GOOGLETRANSLATE(M326,""my"", ""en"")"),"5980")</f>
        <v>5980</v>
      </c>
      <c r="AF326" s="10" t="str">
        <f>IFERROR(__xludf.DUMMYFUNCTION("GOOGLETRANSLATE(N326,""my"", ""en"")"),"1470")</f>
        <v>1470</v>
      </c>
      <c r="AG326" s="10" t="str">
        <f>IFERROR(__xludf.DUMMYFUNCTION("GOOGLETRANSLATE(O326,""my"", ""en"")"),"7450")</f>
        <v>7450</v>
      </c>
      <c r="AH326" s="10" t="str">
        <f>IFERROR(__xludf.DUMMYFUNCTION("GOOGLETRANSLATE(P326,""my"", ""en"")"),"49.78%")</f>
        <v>49.78%</v>
      </c>
    </row>
    <row r="327" ht="27.0" customHeight="1">
      <c r="A327" s="14"/>
      <c r="B327" s="15" t="s">
        <v>2335</v>
      </c>
      <c r="C327" s="16" t="s">
        <v>2336</v>
      </c>
      <c r="D327" s="16" t="s">
        <v>2337</v>
      </c>
      <c r="E327" s="16" t="s">
        <v>2338</v>
      </c>
      <c r="F327" s="16" t="s">
        <v>2339</v>
      </c>
      <c r="G327" s="16" t="s">
        <v>2340</v>
      </c>
      <c r="H327" s="16" t="s">
        <v>2341</v>
      </c>
      <c r="I327" s="16" t="s">
        <v>2342</v>
      </c>
      <c r="J327" s="16" t="s">
        <v>2343</v>
      </c>
      <c r="K327" s="14"/>
      <c r="L327" s="14"/>
      <c r="M327" s="16" t="s">
        <v>2344</v>
      </c>
      <c r="N327" s="16" t="s">
        <v>2345</v>
      </c>
      <c r="O327" s="16" t="s">
        <v>2346</v>
      </c>
      <c r="P327" s="14"/>
      <c r="T327" s="10" t="str">
        <f>IFERROR(__xludf.DUMMYFUNCTION("GOOGLETRANSLATE(B327,""my"", ""en"")"),"Sagaing ေဒ  Key")</f>
        <v>Sagaing ေဒ  Key</v>
      </c>
      <c r="U327" s="10" t="str">
        <f>IFERROR(__xludf.DUMMYFUNCTION("GOOGLETRANSLATE(C327,""my"", ""en"")"),"4305403")</f>
        <v>4305403</v>
      </c>
      <c r="V327" s="10" t="str">
        <f>IFERROR(__xludf.DUMMYFUNCTION("GOOGLETRANSLATE(D327,""my"", ""en"")"),"2662189")</f>
        <v>2662189</v>
      </c>
      <c r="W327" s="10" t="str">
        <f>IFERROR(__xludf.DUMMYFUNCTION("GOOGLETRANSLATE(E327,""my"", ""en"")"),"720872")</f>
        <v>720872</v>
      </c>
      <c r="X327" s="10" t="str">
        <f>IFERROR(__xludf.DUMMYFUNCTION("GOOGLETRANSLATE(F327,""my"", ""en"")"),"3383061")</f>
        <v>3383061</v>
      </c>
      <c r="Y327" s="10" t="str">
        <f>IFERROR(__xludf.DUMMYFUNCTION("GOOGLETRANSLATE(G327,""my"", ""en"")"),"78.58")</f>
        <v>78.58</v>
      </c>
      <c r="Z327" s="10" t="str">
        <f>IFERROR(__xludf.DUMMYFUNCTION("GOOGLETRANSLATE(H327,""my"", ""en"")"),"106839")</f>
        <v>106839</v>
      </c>
      <c r="AA327" s="10" t="str">
        <f>IFERROR(__xludf.DUMMYFUNCTION("GOOGLETRANSLATE(I327,""my"", ""en"")"),"4546")</f>
        <v>4546</v>
      </c>
      <c r="AB327" s="10" t="str">
        <f>IFERROR(__xludf.DUMMYFUNCTION("GOOGLETRANSLATE(J327,""my"", ""en"")"),"111385")</f>
        <v>111385</v>
      </c>
      <c r="AE327" s="10" t="str">
        <f>IFERROR(__xludf.DUMMYFUNCTION("GOOGLETRANSLATE(M327,""my"", ""en"")"),"2555999")</f>
        <v>2555999</v>
      </c>
      <c r="AF327" s="10" t="str">
        <f>IFERROR(__xludf.DUMMYFUNCTION("GOOGLETRANSLATE(N327,""my"", ""en"")"),"715677")</f>
        <v>715677</v>
      </c>
      <c r="AG327" s="10" t="str">
        <f>IFERROR(__xludf.DUMMYFUNCTION("GOOGLETRANSLATE(O327,""my"", ""en"")"),"3271676")</f>
        <v>3271676</v>
      </c>
    </row>
    <row r="328" ht="25.5" customHeight="1">
      <c r="A328" s="17" t="s">
        <v>2347</v>
      </c>
      <c r="B328" s="17" t="s">
        <v>2348</v>
      </c>
      <c r="C328" s="18" t="s">
        <v>2349</v>
      </c>
      <c r="D328" s="18" t="s">
        <v>2350</v>
      </c>
      <c r="E328" s="18" t="s">
        <v>2351</v>
      </c>
      <c r="F328" s="18" t="s">
        <v>2352</v>
      </c>
      <c r="G328" s="17" t="s">
        <v>2353</v>
      </c>
      <c r="H328" s="18" t="s">
        <v>2354</v>
      </c>
      <c r="I328" s="18" t="s">
        <v>2355</v>
      </c>
      <c r="J328" s="18" t="s">
        <v>2356</v>
      </c>
      <c r="K328" s="27"/>
      <c r="L328" s="27"/>
      <c r="M328" s="18" t="s">
        <v>2357</v>
      </c>
      <c r="N328" s="18" t="s">
        <v>2358</v>
      </c>
      <c r="O328" s="18" t="s">
        <v>2359</v>
      </c>
      <c r="P328" s="27"/>
      <c r="S328" s="10" t="str">
        <f>IFERROR(__xludf.DUMMYFUNCTION("GOOGLETRANSLATE(A328,""my"", ""en"")"),"49")</f>
        <v>49</v>
      </c>
      <c r="T328" s="10" t="str">
        <f>IFERROR(__xludf.DUMMYFUNCTION("GOOGLETRANSLATE(B328,""my"", ""en"")"),"မဲဆ  No. (1)")</f>
        <v>မဲဆ  No. (1)</v>
      </c>
      <c r="U328" s="10" t="str">
        <f>IFERROR(__xludf.DUMMYFUNCTION("GOOGLETRANSLATE(C328,""my"", ""en"")"),"417587")</f>
        <v>417587</v>
      </c>
      <c r="V328" s="10" t="str">
        <f>IFERROR(__xludf.DUMMYFUNCTION("GOOGLETRANSLATE(D328,""my"", ""en"")"),"239327")</f>
        <v>239327</v>
      </c>
      <c r="W328" s="10" t="str">
        <f>IFERROR(__xludf.DUMMYFUNCTION("GOOGLETRANSLATE(E328,""my"", ""en"")"),"64970")</f>
        <v>64970</v>
      </c>
      <c r="X328" s="10" t="str">
        <f>IFERROR(__xludf.DUMMYFUNCTION("GOOGLETRANSLATE(F328,""my"", ""en"")"),"304297")</f>
        <v>304297</v>
      </c>
      <c r="Y328" s="10" t="str">
        <f>IFERROR(__xludf.DUMMYFUNCTION("GOOGLETRANSLATE(G328,""my"", ""en"")"),"72.87")</f>
        <v>72.87</v>
      </c>
      <c r="Z328" s="10" t="str">
        <f>IFERROR(__xludf.DUMMYFUNCTION("GOOGLETRANSLATE(H328,""my"", ""en"")"),"5723")</f>
        <v>5723</v>
      </c>
      <c r="AA328" s="10" t="str">
        <f>IFERROR(__xludf.DUMMYFUNCTION("GOOGLETRANSLATE(I328,""my"", ""en"")"),"272")</f>
        <v>272</v>
      </c>
      <c r="AB328" s="10" t="str">
        <f>IFERROR(__xludf.DUMMYFUNCTION("GOOGLETRANSLATE(J328,""my"", ""en"")"),"5995")</f>
        <v>5995</v>
      </c>
      <c r="AE328" s="10" t="str">
        <f>IFERROR(__xludf.DUMMYFUNCTION("GOOGLETRANSLATE(M328,""my"", ""en"")"),"233810")</f>
        <v>233810</v>
      </c>
      <c r="AF328" s="10" t="str">
        <f>IFERROR(__xludf.DUMMYFUNCTION("GOOGLETRANSLATE(N328,""my"", ""en"")"),"64492")</f>
        <v>64492</v>
      </c>
      <c r="AG328" s="10" t="str">
        <f>IFERROR(__xludf.DUMMYFUNCTION("GOOGLETRANSLATE(O328,""my"", ""en"")"),"298302")</f>
        <v>298302</v>
      </c>
    </row>
    <row r="329" ht="24.7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3" t="s">
        <v>2360</v>
      </c>
      <c r="L329" s="23" t="s">
        <v>2361</v>
      </c>
      <c r="M329" s="24" t="s">
        <v>2362</v>
      </c>
      <c r="N329" s="24" t="s">
        <v>2363</v>
      </c>
      <c r="O329" s="24" t="s">
        <v>2364</v>
      </c>
      <c r="P329" s="25" t="s">
        <v>2365</v>
      </c>
      <c r="AC329" s="10" t="str">
        <f>IFERROR(__xludf.DUMMYFUNCTION("GOOGLETRANSLATE(K329,""my"", ""en"")")," Cashier")</f>
        <v> Cashier</v>
      </c>
      <c r="AD329" s="10" t="str">
        <f>IFERROR(__xludf.DUMMYFUNCTION("GOOGLETRANSLATE(L329,""my"", ""en"")")," Game Democracy group   Pop Party")</f>
        <v> Game Democracy group   Pop Party</v>
      </c>
      <c r="AE329" s="10" t="str">
        <f>IFERROR(__xludf.DUMMYFUNCTION("GOOGLETRANSLATE(M329,""my"", ""en"")"),"155496")</f>
        <v>155496</v>
      </c>
      <c r="AF329" s="10" t="str">
        <f>IFERROR(__xludf.DUMMYFUNCTION("GOOGLETRANSLATE(N329,""my"", ""en"")"),"41573")</f>
        <v>41573</v>
      </c>
      <c r="AG329" s="10" t="str">
        <f>IFERROR(__xludf.DUMMYFUNCTION("GOOGLETRANSLATE(O329,""my"", ""en"")"),"197069")</f>
        <v>197069</v>
      </c>
      <c r="AH329" s="10" t="str">
        <f>IFERROR(__xludf.DUMMYFUNCTION("GOOGLETRANSLATE(P329,""my"", ""en"")"),"66.06%")</f>
        <v>66.06%</v>
      </c>
    </row>
    <row r="330" ht="24.7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3" t="s">
        <v>2366</v>
      </c>
      <c r="L330" s="23" t="s">
        <v>2367</v>
      </c>
      <c r="M330" s="24" t="s">
        <v>2368</v>
      </c>
      <c r="N330" s="24" t="s">
        <v>2369</v>
      </c>
      <c r="O330" s="24" t="s">
        <v>2370</v>
      </c>
      <c r="P330" s="25" t="s">
        <v>2371</v>
      </c>
      <c r="AC330" s="10" t="str">
        <f>IFERROR(__xludf.DUMMYFUNCTION("GOOGLETRANSLATE(K330,""my"", ""en"")"),"ပုိ million (b) ေဒ  ေမ not")</f>
        <v>ပုိ million (b) ေဒ  ေမ not</v>
      </c>
      <c r="AD330" s="10" t="str">
        <f>IFERROR(__xludf.DUMMYFUNCTION("GOOGLETRANSLATE(L330,""my"", ""en"")"),"Local ေထာင် soap-stone strong ေရး  under development  Phil  ေရး Party")</f>
        <v>Local ေထာင် soap-stone strong ေရး  under development  Phil  ေရး Party</v>
      </c>
      <c r="AE330" s="10" t="str">
        <f>IFERROR(__xludf.DUMMYFUNCTION("GOOGLETRANSLATE(M330,""my"", ""en"")"),"59135")</f>
        <v>59135</v>
      </c>
      <c r="AF330" s="10" t="str">
        <f>IFERROR(__xludf.DUMMYFUNCTION("GOOGLETRANSLATE(N330,""my"", ""en"")"),"16943")</f>
        <v>16943</v>
      </c>
      <c r="AG330" s="10" t="str">
        <f>IFERROR(__xludf.DUMMYFUNCTION("GOOGLETRANSLATE(O330,""my"", ""en"")"),"76078")</f>
        <v>76078</v>
      </c>
      <c r="AH330" s="10" t="str">
        <f>IFERROR(__xludf.DUMMYFUNCTION("GOOGLETRANSLATE(P330,""my"", ""en"")"),"25.50%")</f>
        <v>25.50%</v>
      </c>
    </row>
    <row r="331" ht="25.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3" t="s">
        <v>2372</v>
      </c>
      <c r="L331" s="23" t="s">
        <v>2373</v>
      </c>
      <c r="M331" s="24" t="s">
        <v>2374</v>
      </c>
      <c r="N331" s="24" t="s">
        <v>2375</v>
      </c>
      <c r="O331" s="24" t="s">
        <v>2376</v>
      </c>
      <c r="P331" s="25" t="s">
        <v>2377</v>
      </c>
      <c r="AC331" s="10" t="str">
        <f>IFERROR(__xludf.DUMMYFUNCTION("GOOGLETRANSLATE(K331,""my"", ""en"")"),"Dai works")</f>
        <v>Dai works</v>
      </c>
      <c r="AD331" s="10" t="str">
        <f>IFERROR(__xludf.DUMMYFUNCTION("GOOGLETRANSLATE(L331,""my"", ""en"")")," Game Democracy group   Pop Party")</f>
        <v> Game Democracy group   Pop Party</v>
      </c>
      <c r="AE331" s="10" t="str">
        <f>IFERROR(__xludf.DUMMYFUNCTION("GOOGLETRANSLATE(M331,""my"", ""en"")"),"14707")</f>
        <v>14707</v>
      </c>
      <c r="AF331" s="10" t="str">
        <f>IFERROR(__xludf.DUMMYFUNCTION("GOOGLETRANSLATE(N331,""my"", ""en"")"),"3715")</f>
        <v>3715</v>
      </c>
      <c r="AG331" s="10" t="str">
        <f>IFERROR(__xludf.DUMMYFUNCTION("GOOGLETRANSLATE(O331,""my"", ""en"")"),"18422")</f>
        <v>18422</v>
      </c>
      <c r="AH331" s="10" t="str">
        <f>IFERROR(__xludf.DUMMYFUNCTION("GOOGLETRANSLATE(P331,""my"", ""en"")"),"6.18%")</f>
        <v>6.18%</v>
      </c>
    </row>
    <row r="332" ht="24.7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3" t="s">
        <v>2378</v>
      </c>
      <c r="L332" s="23" t="s">
        <v>2379</v>
      </c>
      <c r="M332" s="24" t="s">
        <v>2380</v>
      </c>
      <c r="N332" s="24" t="s">
        <v>2381</v>
      </c>
      <c r="O332" s="24" t="s">
        <v>2382</v>
      </c>
      <c r="P332" s="25" t="s">
        <v>2383</v>
      </c>
      <c r="AC332" s="10" t="str">
        <f>IFERROR(__xludf.DUMMYFUNCTION("GOOGLETRANSLATE(K332,""my"", ""en"")"),"Show ေကျာ")</f>
        <v>Show ေကျာ</v>
      </c>
      <c r="AD332" s="10" t="str">
        <f>IFERROR(__xludf.DUMMYFUNCTION("GOOGLETRANSLATE(L332,""my"", ""en"")"),"Ethnic unity  working party ေရး")</f>
        <v>Ethnic unity  working party ေရး</v>
      </c>
      <c r="AE332" s="10" t="str">
        <f>IFERROR(__xludf.DUMMYFUNCTION("GOOGLETRANSLATE(M332,""my"", ""en"")"),"2975")</f>
        <v>2975</v>
      </c>
      <c r="AF332" s="10" t="str">
        <f>IFERROR(__xludf.DUMMYFUNCTION("GOOGLETRANSLATE(N332,""my"", ""en"")"),"1627")</f>
        <v>1627</v>
      </c>
      <c r="AG332" s="10" t="str">
        <f>IFERROR(__xludf.DUMMYFUNCTION("GOOGLETRANSLATE(O332,""my"", ""en"")"),"4602")</f>
        <v>4602</v>
      </c>
      <c r="AH332" s="10" t="str">
        <f>IFERROR(__xludf.DUMMYFUNCTION("GOOGLETRANSLATE(P332,""my"", ""en"")"),"1.54%")</f>
        <v>1.54%</v>
      </c>
    </row>
    <row r="333" ht="24.7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3" t="s">
        <v>2384</v>
      </c>
      <c r="L333" s="23" t="s">
        <v>2385</v>
      </c>
      <c r="M333" s="24" t="s">
        <v>2386</v>
      </c>
      <c r="N333" s="24" t="s">
        <v>2387</v>
      </c>
      <c r="O333" s="24" t="s">
        <v>2388</v>
      </c>
      <c r="P333" s="25" t="s">
        <v>2389</v>
      </c>
      <c r="AC333" s="10" t="str">
        <f>IFERROR(__xludf.DUMMYFUNCTION("GOOGLETRANSLATE(K333,""my"", ""en"")"),"ေဇာ  (b) the value of the court-Fi ေဇာ")</f>
        <v>ေဇာ  (b) the value of the court-Fi ေဇာ</v>
      </c>
      <c r="AD333" s="10" t="str">
        <f>IFERROR(__xludf.DUMMYFUNCTION("GOOGLETRANSLATE(L333,""my"", ""en"")"),"Local ေထာင် စုေ white  Game ေဆာင် Party")</f>
        <v>Local ေထာင် စုေ white  Game ေဆာင် Party</v>
      </c>
      <c r="AE333" s="10" t="str">
        <f>IFERROR(__xludf.DUMMYFUNCTION("GOOGLETRANSLATE(M333,""my"", ""en"")"),"1069")</f>
        <v>1069</v>
      </c>
      <c r="AF333" s="10" t="str">
        <f>IFERROR(__xludf.DUMMYFUNCTION("GOOGLETRANSLATE(N333,""my"", ""en"")"),"445")</f>
        <v>445</v>
      </c>
      <c r="AG333" s="10" t="str">
        <f>IFERROR(__xludf.DUMMYFUNCTION("GOOGLETRANSLATE(O333,""my"", ""en"")"),"1514")</f>
        <v>1514</v>
      </c>
      <c r="AH333" s="10" t="str">
        <f>IFERROR(__xludf.DUMMYFUNCTION("GOOGLETRANSLATE(P333,""my"", ""en"")"),"0.51%")</f>
        <v>0.51%</v>
      </c>
    </row>
    <row r="334" ht="25.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3" t="s">
        <v>2390</v>
      </c>
      <c r="L334" s="23" t="s">
        <v>2391</v>
      </c>
      <c r="M334" s="24" t="s">
        <v>2392</v>
      </c>
      <c r="N334" s="24" t="s">
        <v>2393</v>
      </c>
      <c r="O334" s="24" t="s">
        <v>2394</v>
      </c>
      <c r="P334" s="25" t="s">
        <v>2395</v>
      </c>
      <c r="AC334" s="10" t="str">
        <f>IFERROR(__xludf.DUMMYFUNCTION("GOOGLETRANSLATE(K334,""my"", ""en"")"),"ေမာင် ေမာင်")</f>
        <v>ေမာင် ေမာင်</v>
      </c>
      <c r="AD334" s="10" t="str">
        <f>IFERROR(__xludf.DUMMYFUNCTION("GOOGLETRANSLATE(L334,""my"", ""en"")"),"Personal ")</f>
        <v>Personal </v>
      </c>
      <c r="AE334" s="10" t="str">
        <f>IFERROR(__xludf.DUMMYFUNCTION("GOOGLETRANSLATE(M334,""my"", ""en"")"),"428")</f>
        <v>428</v>
      </c>
      <c r="AF334" s="10" t="str">
        <f>IFERROR(__xludf.DUMMYFUNCTION("GOOGLETRANSLATE(N334,""my"", ""en"")"),"189")</f>
        <v>189</v>
      </c>
      <c r="AG334" s="10" t="str">
        <f>IFERROR(__xludf.DUMMYFUNCTION("GOOGLETRANSLATE(O334,""my"", ""en"")"),"617")</f>
        <v>617</v>
      </c>
      <c r="AH334" s="10" t="str">
        <f>IFERROR(__xludf.DUMMYFUNCTION("GOOGLETRANSLATE(P334,""my"", ""en"")"),"0.21%")</f>
        <v>0.21%</v>
      </c>
    </row>
    <row r="335" ht="24.0" customHeight="1">
      <c r="A335" s="17" t="s">
        <v>2396</v>
      </c>
      <c r="B335" s="17" t="s">
        <v>2397</v>
      </c>
      <c r="C335" s="18" t="s">
        <v>2398</v>
      </c>
      <c r="D335" s="18" t="s">
        <v>2399</v>
      </c>
      <c r="E335" s="18" t="s">
        <v>2400</v>
      </c>
      <c r="F335" s="17" t="s">
        <v>2401</v>
      </c>
      <c r="G335" s="18" t="s">
        <v>2402</v>
      </c>
      <c r="H335" s="17" t="s">
        <v>2403</v>
      </c>
      <c r="I335" s="18" t="s">
        <v>2404</v>
      </c>
      <c r="J335" s="18" t="s">
        <v>2405</v>
      </c>
      <c r="K335" s="27"/>
      <c r="L335" s="27"/>
      <c r="M335" s="18" t="s">
        <v>2406</v>
      </c>
      <c r="N335" s="18" t="s">
        <v>2407</v>
      </c>
      <c r="O335" s="18" t="s">
        <v>2408</v>
      </c>
      <c r="P335" s="27"/>
      <c r="S335" s="10" t="str">
        <f>IFERROR(__xludf.DUMMYFUNCTION("GOOGLETRANSLATE(A335,""my"", ""en"")"),"50")</f>
        <v>50</v>
      </c>
      <c r="T335" s="10" t="str">
        <f>IFERROR(__xludf.DUMMYFUNCTION("GOOGLETRANSLATE(B335,""my"", ""en"")"),"မဲဆ  No. (2)")</f>
        <v>မဲဆ  No. (2)</v>
      </c>
      <c r="U335" s="10" t="str">
        <f>IFERROR(__xludf.DUMMYFUNCTION("GOOGLETRANSLATE(C335,""my"", ""en"")"),"382432")</f>
        <v>382432</v>
      </c>
      <c r="V335" s="10" t="str">
        <f>IFERROR(__xludf.DUMMYFUNCTION("GOOGLETRANSLATE(D335,""my"", ""en"")"),"238122")</f>
        <v>238122</v>
      </c>
      <c r="W335" s="10" t="str">
        <f>IFERROR(__xludf.DUMMYFUNCTION("GOOGLETRANSLATE(E335,""my"", ""en"")"),"57104")</f>
        <v>57104</v>
      </c>
      <c r="X335" s="10" t="str">
        <f>IFERROR(__xludf.DUMMYFUNCTION("GOOGLETRANSLATE(F335,""my"", ""en"")"),"295226")</f>
        <v>295226</v>
      </c>
      <c r="Y335" s="10" t="str">
        <f>IFERROR(__xludf.DUMMYFUNCTION("GOOGLETRANSLATE(G335,""my"", ""en"")"),"77.20")</f>
        <v>77.20</v>
      </c>
      <c r="Z335" s="10" t="str">
        <f>IFERROR(__xludf.DUMMYFUNCTION("GOOGLETRANSLATE(H335,""my"", ""en"")"),"10398")</f>
        <v>10398</v>
      </c>
      <c r="AA335" s="10" t="str">
        <f>IFERROR(__xludf.DUMMYFUNCTION("GOOGLETRANSLATE(I335,""my"", ""en"")"),"435")</f>
        <v>435</v>
      </c>
      <c r="AB335" s="10" t="str">
        <f>IFERROR(__xludf.DUMMYFUNCTION("GOOGLETRANSLATE(J335,""my"", ""en"")"),"10833")</f>
        <v>10833</v>
      </c>
      <c r="AE335" s="10" t="str">
        <f>IFERROR(__xludf.DUMMYFUNCTION("GOOGLETRANSLATE(M335,""my"", ""en"")"),"228096")</f>
        <v>228096</v>
      </c>
      <c r="AF335" s="10" t="str">
        <f>IFERROR(__xludf.DUMMYFUNCTION("GOOGLETRANSLATE(N335,""my"", ""en"")"),"56297")</f>
        <v>56297</v>
      </c>
      <c r="AG335" s="10" t="str">
        <f>IFERROR(__xludf.DUMMYFUNCTION("GOOGLETRANSLATE(O335,""my"", ""en"")"),"284393")</f>
        <v>284393</v>
      </c>
    </row>
    <row r="336" ht="22.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3" t="s">
        <v>2409</v>
      </c>
      <c r="L336" s="23" t="s">
        <v>2410</v>
      </c>
      <c r="M336" s="24" t="s">
        <v>2411</v>
      </c>
      <c r="N336" s="24" t="s">
        <v>2412</v>
      </c>
      <c r="O336" s="24" t="s">
        <v>2413</v>
      </c>
      <c r="P336" s="25" t="s">
        <v>2414</v>
      </c>
      <c r="AC336" s="10" t="str">
        <f>IFERROR(__xludf.DUMMYFUNCTION("GOOGLETRANSLATE(K336,""my"", ""en"")"),"ေဇာ")</f>
        <v>ေဇာ</v>
      </c>
      <c r="AD336" s="10" t="str">
        <f>IFERROR(__xludf.DUMMYFUNCTION("GOOGLETRANSLATE(L336,""my"", ""en"")")," Game Democracy group   Pop Party")</f>
        <v> Game Democracy group   Pop Party</v>
      </c>
      <c r="AE336" s="10" t="str">
        <f>IFERROR(__xludf.DUMMYFUNCTION("GOOGLETRANSLATE(M336,""my"", ""en"")"),"161360")</f>
        <v>161360</v>
      </c>
      <c r="AF336" s="10" t="str">
        <f>IFERROR(__xludf.DUMMYFUNCTION("GOOGLETRANSLATE(N336,""my"", ""en"")"),"36401")</f>
        <v>36401</v>
      </c>
      <c r="AG336" s="10" t="str">
        <f>IFERROR(__xludf.DUMMYFUNCTION("GOOGLETRANSLATE(O336,""my"", ""en"")"),"197761")</f>
        <v>197761</v>
      </c>
      <c r="AH336" s="10" t="str">
        <f>IFERROR(__xludf.DUMMYFUNCTION("GOOGLETRANSLATE(P336,""my"", ""en"")"),"69.54%")</f>
        <v>69.54%</v>
      </c>
    </row>
    <row r="337" ht="24.0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3" t="s">
        <v>2415</v>
      </c>
      <c r="L337" s="23" t="s">
        <v>2416</v>
      </c>
      <c r="M337" s="24" t="s">
        <v>2417</v>
      </c>
      <c r="N337" s="24" t="s">
        <v>2418</v>
      </c>
      <c r="O337" s="24" t="s">
        <v>2419</v>
      </c>
      <c r="P337" s="25" t="s">
        <v>2420</v>
      </c>
      <c r="AC337" s="10" t="str">
        <f>IFERROR(__xludf.DUMMYFUNCTION("GOOGLETRANSLATE(K337,""my"", ""en"")"),"Tun ေအာင် Win")</f>
        <v>Tun ေအာင် Win</v>
      </c>
      <c r="AD337" s="10" t="str">
        <f>IFERROR(__xludf.DUMMYFUNCTION("GOOGLETRANSLATE(L337,""my"", ""en"")"),"Local ေထာင် soap-stone strong ေရး  under development  Phil  ေရး Party")</f>
        <v>Local ေထာင် soap-stone strong ေရး  under development  Phil  ေရး Party</v>
      </c>
      <c r="AE337" s="10" t="str">
        <f>IFERROR(__xludf.DUMMYFUNCTION("GOOGLETRANSLATE(M337,""my"", ""en"")"),"62878")</f>
        <v>62878</v>
      </c>
      <c r="AF337" s="10" t="str">
        <f>IFERROR(__xludf.DUMMYFUNCTION("GOOGLETRANSLATE(N337,""my"", ""en"")"),"18381")</f>
        <v>18381</v>
      </c>
      <c r="AG337" s="10" t="str">
        <f>IFERROR(__xludf.DUMMYFUNCTION("GOOGLETRANSLATE(O337,""my"", ""en"")"),"81259")</f>
        <v>81259</v>
      </c>
      <c r="AH337" s="10" t="str">
        <f>IFERROR(__xludf.DUMMYFUNCTION("GOOGLETRANSLATE(P337,""my"", ""en"")"),"28.57%")</f>
        <v>28.57%</v>
      </c>
    </row>
    <row r="338" ht="22.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3" t="s">
        <v>2421</v>
      </c>
      <c r="L338" s="23" t="s">
        <v>2422</v>
      </c>
      <c r="M338" s="24" t="s">
        <v>2423</v>
      </c>
      <c r="N338" s="24" t="s">
        <v>2424</v>
      </c>
      <c r="O338" s="24" t="s">
        <v>2425</v>
      </c>
      <c r="P338" s="25" t="s">
        <v>2426</v>
      </c>
      <c r="AC338" s="10" t="str">
        <f>IFERROR(__xludf.DUMMYFUNCTION("GOOGLETRANSLATE(K338,""my"", ""en"")"),"Bae farther")</f>
        <v>Bae farther</v>
      </c>
      <c r="AD338" s="10" t="str">
        <f>IFERROR(__xludf.DUMMYFUNCTION("GOOGLETRANSLATE(L338,""my"", ""en"")"),"Local ေထာင် စုေ white  Game ေဆာင် Party")</f>
        <v>Local ေထာင် စုေ white  Game ေဆာင် Party</v>
      </c>
      <c r="AE338" s="10" t="str">
        <f>IFERROR(__xludf.DUMMYFUNCTION("GOOGLETRANSLATE(M338,""my"", ""en"")"),"3858")</f>
        <v>3858</v>
      </c>
      <c r="AF338" s="10" t="str">
        <f>IFERROR(__xludf.DUMMYFUNCTION("GOOGLETRANSLATE(N338,""my"", ""en"")"),"1515")</f>
        <v>1515</v>
      </c>
      <c r="AG338" s="10" t="str">
        <f>IFERROR(__xludf.DUMMYFUNCTION("GOOGLETRANSLATE(O338,""my"", ""en"")"),"5373")</f>
        <v>5373</v>
      </c>
      <c r="AH338" s="10" t="str">
        <f>IFERROR(__xludf.DUMMYFUNCTION("GOOGLETRANSLATE(P338,""my"", ""en"")"),"1.89%")</f>
        <v>1.89%</v>
      </c>
    </row>
    <row r="339" ht="24.0" customHeight="1">
      <c r="A339" s="17" t="s">
        <v>2427</v>
      </c>
      <c r="B339" s="17" t="s">
        <v>2428</v>
      </c>
      <c r="C339" s="18" t="s">
        <v>2429</v>
      </c>
      <c r="D339" s="18" t="s">
        <v>2430</v>
      </c>
      <c r="E339" s="18" t="s">
        <v>2431</v>
      </c>
      <c r="F339" s="17" t="s">
        <v>2432</v>
      </c>
      <c r="G339" s="18" t="s">
        <v>2433</v>
      </c>
      <c r="H339" s="17" t="s">
        <v>2434</v>
      </c>
      <c r="I339" s="18" t="s">
        <v>2435</v>
      </c>
      <c r="J339" s="18" t="s">
        <v>2436</v>
      </c>
      <c r="K339" s="27"/>
      <c r="L339" s="27"/>
      <c r="M339" s="18" t="s">
        <v>2437</v>
      </c>
      <c r="N339" s="18" t="s">
        <v>2438</v>
      </c>
      <c r="O339" s="18" t="s">
        <v>2439</v>
      </c>
      <c r="P339" s="27"/>
      <c r="S339" s="10" t="str">
        <f>IFERROR(__xludf.DUMMYFUNCTION("GOOGLETRANSLATE(A339,""my"", ""en"")"),"51")</f>
        <v>51</v>
      </c>
      <c r="T339" s="10" t="str">
        <f>IFERROR(__xludf.DUMMYFUNCTION("GOOGLETRANSLATE(B339,""my"", ""en"")"),"မဲဆ  No. (3)")</f>
        <v>မဲဆ  No. (3)</v>
      </c>
      <c r="U339" s="10" t="str">
        <f>IFERROR(__xludf.DUMMYFUNCTION("GOOGLETRANSLATE(C339,""my"", ""en"")"),"254904")</f>
        <v>254904</v>
      </c>
      <c r="V339" s="10" t="str">
        <f>IFERROR(__xludf.DUMMYFUNCTION("GOOGLETRANSLATE(D339,""my"", ""en"")"),"166772")</f>
        <v>166772</v>
      </c>
      <c r="W339" s="10" t="str">
        <f>IFERROR(__xludf.DUMMYFUNCTION("GOOGLETRANSLATE(E339,""my"", ""en"")"),"42302")</f>
        <v>42302</v>
      </c>
      <c r="X339" s="10" t="str">
        <f>IFERROR(__xludf.DUMMYFUNCTION("GOOGLETRANSLATE(F339,""my"", ""en"")"),"209074")</f>
        <v>209074</v>
      </c>
      <c r="Y339" s="10" t="str">
        <f>IFERROR(__xludf.DUMMYFUNCTION("GOOGLETRANSLATE(G339,""my"", ""en"")"),"82.02")</f>
        <v>82.02</v>
      </c>
      <c r="Z339" s="10" t="str">
        <f>IFERROR(__xludf.DUMMYFUNCTION("GOOGLETRANSLATE(H339,""my"", ""en"")"),"4896")</f>
        <v>4896</v>
      </c>
      <c r="AA339" s="10" t="str">
        <f>IFERROR(__xludf.DUMMYFUNCTION("GOOGLETRANSLATE(I339,""my"", ""en"")"),"186")</f>
        <v>186</v>
      </c>
      <c r="AB339" s="10" t="str">
        <f>IFERROR(__xludf.DUMMYFUNCTION("GOOGLETRANSLATE(J339,""my"", ""en"")"),"5082")</f>
        <v>5082</v>
      </c>
      <c r="AE339" s="10" t="str">
        <f>IFERROR(__xludf.DUMMYFUNCTION("GOOGLETRANSLATE(M339,""my"", ""en"")"),"162375")</f>
        <v>162375</v>
      </c>
      <c r="AF339" s="10" t="str">
        <f>IFERROR(__xludf.DUMMYFUNCTION("GOOGLETRANSLATE(N339,""my"", ""en"")"),"41617")</f>
        <v>41617</v>
      </c>
      <c r="AG339" s="10" t="str">
        <f>IFERROR(__xludf.DUMMYFUNCTION("GOOGLETRANSLATE(O339,""my"", ""en"")"),"203992")</f>
        <v>203992</v>
      </c>
    </row>
    <row r="340" ht="24.0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3" t="s">
        <v>2440</v>
      </c>
      <c r="L340" s="23" t="s">
        <v>2441</v>
      </c>
      <c r="M340" s="24" t="s">
        <v>2442</v>
      </c>
      <c r="N340" s="24" t="s">
        <v>2443</v>
      </c>
      <c r="O340" s="24" t="s">
        <v>2444</v>
      </c>
      <c r="P340" s="25" t="s">
        <v>2445</v>
      </c>
      <c r="AC340" s="10" t="str">
        <f>IFERROR(__xludf.DUMMYFUNCTION("GOOGLETRANSLATE(K340,""my"", ""en"")"),"Khin ေမာင် Win")</f>
        <v>Khin ေမာင် Win</v>
      </c>
      <c r="AD340" s="10" t="str">
        <f>IFERROR(__xludf.DUMMYFUNCTION("GOOGLETRANSLATE(L340,""my"", ""en"")")," Game Democracy group   Pop Party")</f>
        <v> Game Democracy group   Pop Party</v>
      </c>
      <c r="AE340" s="10" t="str">
        <f>IFERROR(__xludf.DUMMYFUNCTION("GOOGLETRANSLATE(M340,""my"", ""en"")"),"122103")</f>
        <v>122103</v>
      </c>
      <c r="AF340" s="10" t="str">
        <f>IFERROR(__xludf.DUMMYFUNCTION("GOOGLETRANSLATE(N340,""my"", ""en"")"),"29677")</f>
        <v>29677</v>
      </c>
      <c r="AG340" s="10" t="str">
        <f>IFERROR(__xludf.DUMMYFUNCTION("GOOGLETRANSLATE(O340,""my"", ""en"")"),"151780")</f>
        <v>151780</v>
      </c>
      <c r="AH340" s="10" t="str">
        <f>IFERROR(__xludf.DUMMYFUNCTION("GOOGLETRANSLATE(P340,""my"", ""en"")"),"74.40%")</f>
        <v>74.40%</v>
      </c>
    </row>
    <row r="341" ht="24.7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3" t="s">
        <v>2446</v>
      </c>
      <c r="L341" s="23" t="s">
        <v>2447</v>
      </c>
      <c r="M341" s="24" t="s">
        <v>2448</v>
      </c>
      <c r="N341" s="24" t="s">
        <v>2449</v>
      </c>
      <c r="O341" s="24" t="s">
        <v>2450</v>
      </c>
      <c r="P341" s="25" t="s">
        <v>2451</v>
      </c>
      <c r="AC341" s="10" t="str">
        <f>IFERROR(__xludf.DUMMYFUNCTION("GOOGLETRANSLATE(K341,""my"", ""en"")"),"Khin ေမာင် ေအး")</f>
        <v>Khin ေမာင် ေအး</v>
      </c>
      <c r="AD341" s="10" t="str">
        <f>IFERROR(__xludf.DUMMYFUNCTION("GOOGLETRANSLATE(L341,""my"", ""en"")"),"Local ေထာင် soap-stone strong ေရး  under development  Phil  ေရး Party")</f>
        <v>Local ေထာင် soap-stone strong ေရး  under development  Phil  ေရး Party</v>
      </c>
      <c r="AE341" s="10" t="str">
        <f>IFERROR(__xludf.DUMMYFUNCTION("GOOGLETRANSLATE(M341,""my"", ""en"")"),"36971")</f>
        <v>36971</v>
      </c>
      <c r="AF341" s="10" t="str">
        <f>IFERROR(__xludf.DUMMYFUNCTION("GOOGLETRANSLATE(N341,""my"", ""en"")"),"10574")</f>
        <v>10574</v>
      </c>
      <c r="AG341" s="10" t="str">
        <f>IFERROR(__xludf.DUMMYFUNCTION("GOOGLETRANSLATE(O341,""my"", ""en"")"),"47545")</f>
        <v>47545</v>
      </c>
      <c r="AH341" s="10" t="str">
        <f>IFERROR(__xludf.DUMMYFUNCTION("GOOGLETRANSLATE(P341,""my"", ""en"")"),"23.31%")</f>
        <v>23.31%</v>
      </c>
    </row>
    <row r="342" ht="24.7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3" t="s">
        <v>2452</v>
      </c>
      <c r="L342" s="23" t="s">
        <v>2453</v>
      </c>
      <c r="M342" s="24" t="s">
        <v>2454</v>
      </c>
      <c r="N342" s="24" t="s">
        <v>2455</v>
      </c>
      <c r="O342" s="24" t="s">
        <v>2456</v>
      </c>
      <c r="P342" s="25" t="s">
        <v>2457</v>
      </c>
      <c r="AC342" s="10" t="str">
        <f>IFERROR(__xludf.DUMMYFUNCTION("GOOGLETRANSLATE(K342,""my"", ""en"")"),"ေမာင်")</f>
        <v>ေမာင်</v>
      </c>
      <c r="AD342" s="10" t="str">
        <f>IFERROR(__xludf.DUMMYFUNCTION("GOOGLETRANSLATE(L342,""my"", ""en"")"),"Local ေထာင် စုေ white  Game ေဆာင် Party")</f>
        <v>Local ေထာင် စုေ white  Game ေဆာင် Party</v>
      </c>
      <c r="AE342" s="10" t="str">
        <f>IFERROR(__xludf.DUMMYFUNCTION("GOOGLETRANSLATE(M342,""my"", ""en"")"),"1877")</f>
        <v>1877</v>
      </c>
      <c r="AF342" s="10" t="str">
        <f>IFERROR(__xludf.DUMMYFUNCTION("GOOGLETRANSLATE(N342,""my"", ""en"")"),"669")</f>
        <v>669</v>
      </c>
      <c r="AG342" s="10" t="str">
        <f>IFERROR(__xludf.DUMMYFUNCTION("GOOGLETRANSLATE(O342,""my"", ""en"")"),"2546")</f>
        <v>2546</v>
      </c>
      <c r="AH342" s="10" t="str">
        <f>IFERROR(__xludf.DUMMYFUNCTION("GOOGLETRANSLATE(P342,""my"", ""en"")"),"1.25%")</f>
        <v>1.25%</v>
      </c>
    </row>
    <row r="343" ht="24.0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3" t="s">
        <v>2458</v>
      </c>
      <c r="L343" s="23" t="s">
        <v>2459</v>
      </c>
      <c r="M343" s="24" t="s">
        <v>2460</v>
      </c>
      <c r="N343" s="24" t="s">
        <v>2461</v>
      </c>
      <c r="O343" s="24" t="s">
        <v>2462</v>
      </c>
      <c r="P343" s="25" t="s">
        <v>2463</v>
      </c>
      <c r="AC343" s="10" t="str">
        <f>IFERROR(__xludf.DUMMYFUNCTION("GOOGLETRANSLATE(K343,""my"", ""en"")"),"Tun ေဝ")</f>
        <v>Tun ေဝ</v>
      </c>
      <c r="AD343" s="10" t="str">
        <f>IFERROR(__xludf.DUMMYFUNCTION("GOOGLETRANSLATE(L343,""my"", ""en"")"),"ပည်သူ Party")</f>
        <v>ပည်သူ Party</v>
      </c>
      <c r="AE343" s="10" t="str">
        <f>IFERROR(__xludf.DUMMYFUNCTION("GOOGLETRANSLATE(M343,""my"", ""en"")"),"1424")</f>
        <v>1424</v>
      </c>
      <c r="AF343" s="10" t="str">
        <f>IFERROR(__xludf.DUMMYFUNCTION("GOOGLETRANSLATE(N343,""my"", ""en"")"),"697")</f>
        <v>697</v>
      </c>
      <c r="AG343" s="10" t="str">
        <f>IFERROR(__xludf.DUMMYFUNCTION("GOOGLETRANSLATE(O343,""my"", ""en"")"),"2121")</f>
        <v>2121</v>
      </c>
      <c r="AH343" s="10" t="str">
        <f>IFERROR(__xludf.DUMMYFUNCTION("GOOGLETRANSLATE(P343,""my"", ""en"")"),"1.04%")</f>
        <v>1.04%</v>
      </c>
    </row>
    <row r="344" ht="22.5" customHeight="1">
      <c r="A344" s="17" t="s">
        <v>2464</v>
      </c>
      <c r="B344" s="17" t="s">
        <v>2465</v>
      </c>
      <c r="C344" s="18" t="s">
        <v>2466</v>
      </c>
      <c r="D344" s="18" t="s">
        <v>2467</v>
      </c>
      <c r="E344" s="18" t="s">
        <v>2468</v>
      </c>
      <c r="F344" s="17" t="s">
        <v>2469</v>
      </c>
      <c r="G344" s="18" t="s">
        <v>2470</v>
      </c>
      <c r="H344" s="17" t="s">
        <v>2471</v>
      </c>
      <c r="I344" s="18" t="s">
        <v>2472</v>
      </c>
      <c r="J344" s="18" t="s">
        <v>2473</v>
      </c>
      <c r="K344" s="27"/>
      <c r="L344" s="27"/>
      <c r="M344" s="18" t="s">
        <v>2474</v>
      </c>
      <c r="N344" s="18" t="s">
        <v>2475</v>
      </c>
      <c r="O344" s="18" t="s">
        <v>2476</v>
      </c>
      <c r="P344" s="27"/>
      <c r="S344" s="10" t="str">
        <f>IFERROR(__xludf.DUMMYFUNCTION("GOOGLETRANSLATE(A344,""my"", ""en"")"),"52")</f>
        <v>52</v>
      </c>
      <c r="T344" s="10" t="str">
        <f>IFERROR(__xludf.DUMMYFUNCTION("GOOGLETRANSLATE(B344,""my"", ""en"")"),"မဲဆ  No. (4)")</f>
        <v>မဲဆ  No. (4)</v>
      </c>
      <c r="U344" s="10" t="str">
        <f>IFERROR(__xludf.DUMMYFUNCTION("GOOGLETRANSLATE(C344,""my"", ""en"")"),"315203")</f>
        <v>315203</v>
      </c>
      <c r="V344" s="10" t="str">
        <f>IFERROR(__xludf.DUMMYFUNCTION("GOOGLETRANSLATE(D344,""my"", ""en"")"),"207193")</f>
        <v>207193</v>
      </c>
      <c r="W344" s="10" t="str">
        <f>IFERROR(__xludf.DUMMYFUNCTION("GOOGLETRANSLATE(E344,""my"", ""en"")"),"35889")</f>
        <v>35889</v>
      </c>
      <c r="X344" s="10" t="str">
        <f>IFERROR(__xludf.DUMMYFUNCTION("GOOGLETRANSLATE(F344,""my"", ""en"")"),"243082")</f>
        <v>243082</v>
      </c>
      <c r="Y344" s="10" t="str">
        <f>IFERROR(__xludf.DUMMYFUNCTION("GOOGLETRANSLATE(G344,""my"", ""en"")"),"77.12")</f>
        <v>77.12</v>
      </c>
      <c r="Z344" s="10" t="str">
        <f>IFERROR(__xludf.DUMMYFUNCTION("GOOGLETRANSLATE(H344,""my"", ""en"")"),"46852")</f>
        <v>46852</v>
      </c>
      <c r="AA344" s="10" t="str">
        <f>IFERROR(__xludf.DUMMYFUNCTION("GOOGLETRANSLATE(I344,""my"", ""en"")"),"787")</f>
        <v>787</v>
      </c>
      <c r="AB344" s="10" t="str">
        <f>IFERROR(__xludf.DUMMYFUNCTION("GOOGLETRANSLATE(J344,""my"", ""en"")"),"47639")</f>
        <v>47639</v>
      </c>
      <c r="AE344" s="10" t="str">
        <f>IFERROR(__xludf.DUMMYFUNCTION("GOOGLETRANSLATE(M344,""my"", ""en"")"),"160351")</f>
        <v>160351</v>
      </c>
      <c r="AF344" s="10" t="str">
        <f>IFERROR(__xludf.DUMMYFUNCTION("GOOGLETRANSLATE(N344,""my"", ""en"")"),"35092")</f>
        <v>35092</v>
      </c>
      <c r="AG344" s="10" t="str">
        <f>IFERROR(__xludf.DUMMYFUNCTION("GOOGLETRANSLATE(O344,""my"", ""en"")"),"195443")</f>
        <v>195443</v>
      </c>
    </row>
    <row r="345" ht="24.7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3" t="s">
        <v>2477</v>
      </c>
      <c r="L345" s="23" t="s">
        <v>2478</v>
      </c>
      <c r="M345" s="24" t="s">
        <v>2479</v>
      </c>
      <c r="N345" s="24" t="s">
        <v>2480</v>
      </c>
      <c r="O345" s="24" t="s">
        <v>2481</v>
      </c>
      <c r="P345" s="25" t="s">
        <v>2482</v>
      </c>
      <c r="AC345" s="10" t="str">
        <f>IFERROR(__xludf.DUMMYFUNCTION("GOOGLETRANSLATE(K345,""my"", ""en"")"),"Win ေအာင်")</f>
        <v>Win ေအာင်</v>
      </c>
      <c r="AD345" s="10" t="str">
        <f>IFERROR(__xludf.DUMMYFUNCTION("GOOGLETRANSLATE(L345,""my"", ""en"")")," Game Democracy group   Pop Party")</f>
        <v> Game Democracy group   Pop Party</v>
      </c>
      <c r="AE345" s="10" t="str">
        <f>IFERROR(__xludf.DUMMYFUNCTION("GOOGLETRANSLATE(M345,""my"", ""en"")"),"142611")</f>
        <v>142611</v>
      </c>
      <c r="AF345" s="10" t="str">
        <f>IFERROR(__xludf.DUMMYFUNCTION("GOOGLETRANSLATE(N345,""my"", ""en"")"),"30865")</f>
        <v>30865</v>
      </c>
      <c r="AG345" s="10" t="str">
        <f>IFERROR(__xludf.DUMMYFUNCTION("GOOGLETRANSLATE(O345,""my"", ""en"")"),"173476")</f>
        <v>173476</v>
      </c>
      <c r="AH345" s="10" t="str">
        <f>IFERROR(__xludf.DUMMYFUNCTION("GOOGLETRANSLATE(P345,""my"", ""en"")"),"88.76%")</f>
        <v>88.76%</v>
      </c>
    </row>
    <row r="346" ht="36.0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3" t="s">
        <v>2483</v>
      </c>
      <c r="L346" s="23" t="s">
        <v>2484</v>
      </c>
      <c r="M346" s="24" t="s">
        <v>2485</v>
      </c>
      <c r="N346" s="24" t="s">
        <v>2486</v>
      </c>
      <c r="O346" s="24" t="s">
        <v>2487</v>
      </c>
      <c r="P346" s="31" t="s">
        <v>2488</v>
      </c>
      <c r="AC346" s="10" t="str">
        <f>IFERROR(__xludf.DUMMYFUNCTION("GOOGLETRANSLATE(K346,""my"", ""en"")"),"San  (b) the court စာေ")</f>
        <v>San  (b) the court စာေ</v>
      </c>
      <c r="AD346" s="10" t="str">
        <f>IFERROR(__xludf.DUMMYFUNCTION("GOOGLETRANSLATE(L346,""my"", ""en"")"),"Local ေထာင် စုေ white  Game ေဆာင် Party")</f>
        <v>Local ေထာင် စုေ white  Game ေဆာင် Party</v>
      </c>
      <c r="AE346" s="10" t="str">
        <f>IFERROR(__xludf.DUMMYFUNCTION("GOOGLETRANSLATE(M346,""my"", ""en"")"),"17740")</f>
        <v>17740</v>
      </c>
      <c r="AF346" s="10" t="str">
        <f>IFERROR(__xludf.DUMMYFUNCTION("GOOGLETRANSLATE(N346,""my"", ""en"")"),"4227")</f>
        <v>4227</v>
      </c>
      <c r="AG346" s="10" t="str">
        <f>IFERROR(__xludf.DUMMYFUNCTION("GOOGLETRANSLATE(O346,""my"", ""en"")"),"21967")</f>
        <v>21967</v>
      </c>
      <c r="AH346" s="10" t="str">
        <f>IFERROR(__xludf.DUMMYFUNCTION("GOOGLETRANSLATE(P346,""my"", ""en"")"),"11.24%")</f>
        <v>11.24%</v>
      </c>
    </row>
    <row r="347" ht="24.75" customHeight="1">
      <c r="A347" s="17" t="s">
        <v>2489</v>
      </c>
      <c r="B347" s="17" t="s">
        <v>2490</v>
      </c>
      <c r="C347" s="18" t="s">
        <v>2491</v>
      </c>
      <c r="D347" s="18" t="s">
        <v>2492</v>
      </c>
      <c r="E347" s="18" t="s">
        <v>2493</v>
      </c>
      <c r="F347" s="17" t="s">
        <v>2494</v>
      </c>
      <c r="G347" s="18" t="s">
        <v>2495</v>
      </c>
      <c r="H347" s="17" t="s">
        <v>2496</v>
      </c>
      <c r="I347" s="18" t="s">
        <v>2497</v>
      </c>
      <c r="J347" s="18" t="s">
        <v>2498</v>
      </c>
      <c r="K347" s="27"/>
      <c r="L347" s="27"/>
      <c r="M347" s="18" t="s">
        <v>2499</v>
      </c>
      <c r="N347" s="18" t="s">
        <v>2500</v>
      </c>
      <c r="O347" s="18" t="s">
        <v>2501</v>
      </c>
      <c r="P347" s="27"/>
      <c r="S347" s="10" t="str">
        <f>IFERROR(__xludf.DUMMYFUNCTION("GOOGLETRANSLATE(A347,""my"", ""en"")"),"53")</f>
        <v>53</v>
      </c>
      <c r="T347" s="10" t="str">
        <f>IFERROR(__xludf.DUMMYFUNCTION("GOOGLETRANSLATE(B347,""my"", ""en"")"),"မဲဆ  (5 points)")</f>
        <v>မဲဆ  (5 points)</v>
      </c>
      <c r="U347" s="10" t="str">
        <f>IFERROR(__xludf.DUMMYFUNCTION("GOOGLETRANSLATE(C347,""my"", ""en"")"),"199087")</f>
        <v>199087</v>
      </c>
      <c r="V347" s="10" t="str">
        <f>IFERROR(__xludf.DUMMYFUNCTION("GOOGLETRANSLATE(D347,""my"", ""en"")"),"116357")</f>
        <v>116357</v>
      </c>
      <c r="W347" s="10" t="str">
        <f>IFERROR(__xludf.DUMMYFUNCTION("GOOGLETRANSLATE(E347,""my"", ""en"")"),"23072")</f>
        <v>23072</v>
      </c>
      <c r="X347" s="10" t="str">
        <f>IFERROR(__xludf.DUMMYFUNCTION("GOOGLETRANSLATE(F347,""my"", ""en"")"),"139429")</f>
        <v>139429</v>
      </c>
      <c r="Y347" s="10" t="str">
        <f>IFERROR(__xludf.DUMMYFUNCTION("GOOGLETRANSLATE(G347,""my"", ""en"")"),"70.03")</f>
        <v>70.03</v>
      </c>
      <c r="Z347" s="10" t="str">
        <f>IFERROR(__xludf.DUMMYFUNCTION("GOOGLETRANSLATE(H347,""my"", ""en"")"),"5666")</f>
        <v>5666</v>
      </c>
      <c r="AA347" s="10" t="str">
        <f>IFERROR(__xludf.DUMMYFUNCTION("GOOGLETRANSLATE(I347,""my"", ""en"")"),"127")</f>
        <v>127</v>
      </c>
      <c r="AB347" s="10" t="str">
        <f>IFERROR(__xludf.DUMMYFUNCTION("GOOGLETRANSLATE(J347,""my"", ""en"")"),"5793")</f>
        <v>5793</v>
      </c>
      <c r="AE347" s="10" t="str">
        <f>IFERROR(__xludf.DUMMYFUNCTION("GOOGLETRANSLATE(M347,""my"", ""en"")"),"110962")</f>
        <v>110962</v>
      </c>
      <c r="AF347" s="10" t="str">
        <f>IFERROR(__xludf.DUMMYFUNCTION("GOOGLETRANSLATE(N347,""my"", ""en"")"),"22674")</f>
        <v>22674</v>
      </c>
      <c r="AG347" s="10" t="str">
        <f>IFERROR(__xludf.DUMMYFUNCTION("GOOGLETRANSLATE(O347,""my"", ""en"")"),"133636")</f>
        <v>133636</v>
      </c>
    </row>
    <row r="348" ht="21.0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3" t="s">
        <v>2502</v>
      </c>
      <c r="L348" s="23" t="s">
        <v>2503</v>
      </c>
      <c r="M348" s="24" t="s">
        <v>2504</v>
      </c>
      <c r="N348" s="24" t="s">
        <v>2505</v>
      </c>
      <c r="O348" s="24" t="s">
        <v>2506</v>
      </c>
      <c r="P348" s="25" t="s">
        <v>2507</v>
      </c>
      <c r="AC348" s="10" t="str">
        <f>IFERROR(__xludf.DUMMYFUNCTION("GOOGLETRANSLATE(K348,""my"", ""en"")"),"ေကျာ ေဌး")</f>
        <v>ေကျာ ေဌး</v>
      </c>
      <c r="AD348" s="10" t="str">
        <f>IFERROR(__xludf.DUMMYFUNCTION("GOOGLETRANSLATE(L348,""my"", ""en"")")," Game Democracy group   Pop Party")</f>
        <v> Game Democracy group   Pop Party</v>
      </c>
      <c r="AE348" s="10" t="str">
        <f>IFERROR(__xludf.DUMMYFUNCTION("GOOGLETRANSLATE(M348,""my"", ""en"")"),"59644")</f>
        <v>59644</v>
      </c>
      <c r="AF348" s="10" t="str">
        <f>IFERROR(__xludf.DUMMYFUNCTION("GOOGLETRANSLATE(N348,""my"", ""en"")"),"10186")</f>
        <v>10186</v>
      </c>
      <c r="AG348" s="10" t="str">
        <f>IFERROR(__xludf.DUMMYFUNCTION("GOOGLETRANSLATE(O348,""my"", ""en"")"),"69830")</f>
        <v>69830</v>
      </c>
      <c r="AH348" s="10" t="str">
        <f>IFERROR(__xludf.DUMMYFUNCTION("GOOGLETRANSLATE(P348,""my"", ""en"")"),"52.25%")</f>
        <v>52.25%</v>
      </c>
    </row>
    <row r="349" ht="21.0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3" t="s">
        <v>2508</v>
      </c>
      <c r="L349" s="29" t="s">
        <v>2509</v>
      </c>
      <c r="M349" s="30" t="s">
        <v>2510</v>
      </c>
      <c r="N349" s="30" t="s">
        <v>2511</v>
      </c>
      <c r="O349" s="24" t="s">
        <v>2512</v>
      </c>
      <c r="P349" s="25" t="s">
        <v>2513</v>
      </c>
      <c r="AC349" s="10" t="str">
        <f>IFERROR(__xludf.DUMMYFUNCTION("GOOGLETRANSLATE(K349,""my"", ""en"")")," -Fi Wi-ေကျာ")</f>
        <v> -Fi Wi-ေကျာ</v>
      </c>
      <c r="AD349" s="10" t="str">
        <f>IFERROR(__xludf.DUMMYFUNCTION("GOOGLETRANSLATE(L349,""my"", ""en"")"),"ရှမ်းနီ (Lian) ေသွး bunch  working party ေရး")</f>
        <v>ရှမ်းနီ (Lian) ေသွး bunch  working party ေရး</v>
      </c>
      <c r="AE349" s="10" t="str">
        <f>IFERROR(__xludf.DUMMYFUNCTION("GOOGLETRANSLATE(M349,""my"", ""en"")"),"26416")</f>
        <v>26416</v>
      </c>
      <c r="AF349" s="10" t="str">
        <f>IFERROR(__xludf.DUMMYFUNCTION("GOOGLETRANSLATE(N349,""my"", ""en"")"),"6160")</f>
        <v>6160</v>
      </c>
      <c r="AG349" s="10" t="str">
        <f>IFERROR(__xludf.DUMMYFUNCTION("GOOGLETRANSLATE(O349,""my"", ""en"")"),"32576")</f>
        <v>32576</v>
      </c>
      <c r="AH349" s="10" t="str">
        <f>IFERROR(__xludf.DUMMYFUNCTION("GOOGLETRANSLATE(P349,""my"", ""en"")"),"24.38%")</f>
        <v>24.38%</v>
      </c>
    </row>
    <row r="350" ht="20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3" t="s">
        <v>2514</v>
      </c>
      <c r="L350" s="23" t="s">
        <v>2515</v>
      </c>
      <c r="M350" s="24" t="s">
        <v>2516</v>
      </c>
      <c r="N350" s="24" t="s">
        <v>2517</v>
      </c>
      <c r="O350" s="24" t="s">
        <v>2518</v>
      </c>
      <c r="P350" s="25" t="s">
        <v>2519</v>
      </c>
      <c r="AC350" s="10" t="str">
        <f>IFERROR(__xludf.DUMMYFUNCTION("GOOGLETRANSLATE(K350,""my"", ""en"")"),"(B) Cold Cold")</f>
        <v>(B) Cold Cold</v>
      </c>
      <c r="AD350" s="10" t="str">
        <f>IFERROR(__xludf.DUMMYFUNCTION("GOOGLETRANSLATE(L350,""my"", ""en"")"),"Local ေထာင် soap-stone strong ေရး  under development  Phil  ေရး Party")</f>
        <v>Local ေထာင် soap-stone strong ေရး  under development  Phil  ေရး Party</v>
      </c>
      <c r="AE350" s="10" t="str">
        <f>IFERROR(__xludf.DUMMYFUNCTION("GOOGLETRANSLATE(M350,""my"", ""en"")"),"14697")</f>
        <v>14697</v>
      </c>
      <c r="AF350" s="10" t="str">
        <f>IFERROR(__xludf.DUMMYFUNCTION("GOOGLETRANSLATE(N350,""my"", ""en"")"),"3763")</f>
        <v>3763</v>
      </c>
      <c r="AG350" s="10" t="str">
        <f>IFERROR(__xludf.DUMMYFUNCTION("GOOGLETRANSLATE(O350,""my"", ""en"")"),"18460")</f>
        <v>18460</v>
      </c>
      <c r="AH350" s="10" t="str">
        <f>IFERROR(__xludf.DUMMYFUNCTION("GOOGLETRANSLATE(P350,""my"", ""en"")"),"13.81%")</f>
        <v>13.81%</v>
      </c>
    </row>
    <row r="351" ht="37.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3" t="s">
        <v>2520</v>
      </c>
      <c r="L351" s="23" t="s">
        <v>2521</v>
      </c>
      <c r="M351" s="24" t="s">
        <v>2522</v>
      </c>
      <c r="N351" s="24" t="s">
        <v>2523</v>
      </c>
      <c r="O351" s="24" t="s">
        <v>2524</v>
      </c>
      <c r="P351" s="31" t="s">
        <v>2525</v>
      </c>
      <c r="AC351" s="10" t="str">
        <f>IFERROR(__xludf.DUMMYFUNCTION("GOOGLETRANSLATE(K351,""my"", ""en"")"),"ေဒ   Avatar  strengthen security")</f>
        <v>ေဒ   Avatar  strengthen security</v>
      </c>
      <c r="AD351" s="10" t="str">
        <f>IFERROR(__xludf.DUMMYFUNCTION("GOOGLETRANSLATE(L351,""my"", ""en"")"),"တိုင်းလိုင် (ရှမ်းနီ)  Game Development  increased Phil  ေရး Party")</f>
        <v>တိုင်းလိုင် (ရှမ်းနီ)  Game Development  increased Phil  ေရး Party</v>
      </c>
      <c r="AE351" s="10" t="str">
        <f>IFERROR(__xludf.DUMMYFUNCTION("GOOGLETRANSLATE(M351,""my"", ""en"")"),"8627")</f>
        <v>8627</v>
      </c>
      <c r="AF351" s="10" t="str">
        <f>IFERROR(__xludf.DUMMYFUNCTION("GOOGLETRANSLATE(N351,""my"", ""en"")"),"1981")</f>
        <v>1981</v>
      </c>
      <c r="AG351" s="10" t="str">
        <f>IFERROR(__xludf.DUMMYFUNCTION("GOOGLETRANSLATE(O351,""my"", ""en"")"),"10608")</f>
        <v>10608</v>
      </c>
      <c r="AH351" s="10" t="str">
        <f>IFERROR(__xludf.DUMMYFUNCTION("GOOGLETRANSLATE(P351,""my"", ""en"")"),"7.94%")</f>
        <v>7.94%</v>
      </c>
    </row>
    <row r="352" ht="21.7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3" t="s">
        <v>2526</v>
      </c>
      <c r="L352" s="23" t="s">
        <v>2527</v>
      </c>
      <c r="M352" s="24" t="s">
        <v>2528</v>
      </c>
      <c r="N352" s="24" t="s">
        <v>2529</v>
      </c>
      <c r="O352" s="24" t="s">
        <v>2530</v>
      </c>
      <c r="P352" s="25" t="s">
        <v>2531</v>
      </c>
      <c r="AC352" s="10" t="str">
        <f>IFERROR(__xludf.DUMMYFUNCTION("GOOGLETRANSLATE(K352,""my"", ""en"")"),"Than Tun")</f>
        <v>Than Tun</v>
      </c>
      <c r="AD352" s="10" t="str">
        <f>IFERROR(__xludf.DUMMYFUNCTION("GOOGLETRANSLATE(L352,""my"", ""en"")"),"Local ေထာင် စုေ white  Game ေဆာင် Party")</f>
        <v>Local ေထာင် စုေ white  Game ေဆာင် Party</v>
      </c>
      <c r="AE352" s="10" t="str">
        <f>IFERROR(__xludf.DUMMYFUNCTION("GOOGLETRANSLATE(M352,""my"", ""en"")"),"1578")</f>
        <v>1578</v>
      </c>
      <c r="AF352" s="10" t="str">
        <f>IFERROR(__xludf.DUMMYFUNCTION("GOOGLETRANSLATE(N352,""my"", ""en"")"),"584")</f>
        <v>584</v>
      </c>
      <c r="AG352" s="10" t="str">
        <f>IFERROR(__xludf.DUMMYFUNCTION("GOOGLETRANSLATE(O352,""my"", ""en"")"),"2162")</f>
        <v>2162</v>
      </c>
      <c r="AH352" s="10" t="str">
        <f>IFERROR(__xludf.DUMMYFUNCTION("GOOGLETRANSLATE(P352,""my"", ""en"")"),"1.62%")</f>
        <v>1.62%</v>
      </c>
    </row>
    <row r="353" ht="21.75" customHeight="1">
      <c r="A353" s="17" t="s">
        <v>2532</v>
      </c>
      <c r="B353" s="17" t="s">
        <v>2533</v>
      </c>
      <c r="C353" s="18" t="s">
        <v>2534</v>
      </c>
      <c r="D353" s="18" t="s">
        <v>2535</v>
      </c>
      <c r="E353" s="18" t="s">
        <v>2536</v>
      </c>
      <c r="F353" s="18" t="s">
        <v>2537</v>
      </c>
      <c r="G353" s="18" t="s">
        <v>2538</v>
      </c>
      <c r="H353" s="18" t="s">
        <v>2539</v>
      </c>
      <c r="I353" s="18" t="s">
        <v>2540</v>
      </c>
      <c r="J353" s="18" t="s">
        <v>2541</v>
      </c>
      <c r="K353" s="27"/>
      <c r="L353" s="27"/>
      <c r="M353" s="34" t="s">
        <v>2542</v>
      </c>
      <c r="N353" s="34" t="s">
        <v>2543</v>
      </c>
      <c r="O353" s="34" t="s">
        <v>2544</v>
      </c>
      <c r="P353" s="27"/>
      <c r="S353" s="10" t="str">
        <f>IFERROR(__xludf.DUMMYFUNCTION("GOOGLETRANSLATE(A353,""my"", ""en"")"),"54")</f>
        <v>54</v>
      </c>
      <c r="T353" s="10" t="str">
        <f>IFERROR(__xludf.DUMMYFUNCTION("GOOGLETRANSLATE(B353,""my"", ""en"")"),"မဲဆ  No. (6)")</f>
        <v>မဲဆ  No. (6)</v>
      </c>
      <c r="U353" s="10" t="str">
        <f>IFERROR(__xludf.DUMMYFUNCTION("GOOGLETRANSLATE(C353,""my"", ""en"")"),"433644")</f>
        <v>433644</v>
      </c>
      <c r="V353" s="10" t="str">
        <f>IFERROR(__xludf.DUMMYFUNCTION("GOOGLETRANSLATE(D353,""my"", ""en"")"),"266901")</f>
        <v>266901</v>
      </c>
      <c r="W353" s="10" t="str">
        <f>IFERROR(__xludf.DUMMYFUNCTION("GOOGLETRANSLATE(E353,""my"", ""en"")"),"87533")</f>
        <v>87533</v>
      </c>
      <c r="X353" s="10" t="str">
        <f>IFERROR(__xludf.DUMMYFUNCTION("GOOGLETRANSLATE(F353,""my"", ""en"")"),"354434")</f>
        <v>354434</v>
      </c>
      <c r="Y353" s="10" t="str">
        <f>IFERROR(__xludf.DUMMYFUNCTION("GOOGLETRANSLATE(G353,""my"", ""en"")"),"81.73")</f>
        <v>81.73</v>
      </c>
      <c r="Z353" s="10" t="str">
        <f>IFERROR(__xludf.DUMMYFUNCTION("GOOGLETRANSLATE(H353,""my"", ""en"")"),"3734")</f>
        <v>3734</v>
      </c>
      <c r="AA353" s="10" t="str">
        <f>IFERROR(__xludf.DUMMYFUNCTION("GOOGLETRANSLATE(I353,""my"", ""en"")"),"152")</f>
        <v>152</v>
      </c>
      <c r="AB353" s="10" t="str">
        <f>IFERROR(__xludf.DUMMYFUNCTION("GOOGLETRANSLATE(J353,""my"", ""en"")"),"3886")</f>
        <v>3886</v>
      </c>
      <c r="AE353" s="10" t="str">
        <f>IFERROR(__xludf.DUMMYFUNCTION("GOOGLETRANSLATE(M353,""my"", ""en"")"),"263167")</f>
        <v>263167</v>
      </c>
      <c r="AF353" s="10" t="str">
        <f>IFERROR(__xludf.DUMMYFUNCTION("GOOGLETRANSLATE(N353,""my"", ""en"")"),"87381")</f>
        <v>87381</v>
      </c>
      <c r="AG353" s="10" t="str">
        <f>IFERROR(__xludf.DUMMYFUNCTION("GOOGLETRANSLATE(O353,""my"", ""en"")"),"350548")</f>
        <v>350548</v>
      </c>
    </row>
    <row r="354" ht="21.7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3" t="s">
        <v>2545</v>
      </c>
      <c r="L354" s="23" t="s">
        <v>2546</v>
      </c>
      <c r="M354" s="24" t="s">
        <v>2547</v>
      </c>
      <c r="N354" s="24" t="s">
        <v>2548</v>
      </c>
      <c r="O354" s="24" t="s">
        <v>2549</v>
      </c>
      <c r="P354" s="25" t="s">
        <v>2550</v>
      </c>
      <c r="AC354" s="10" t="str">
        <f>IFERROR(__xludf.DUMMYFUNCTION("GOOGLETRANSLATE(K354,""my"", ""en"")"),"ေကျာ ေသာင်း")</f>
        <v>ေကျာ ေသာင်း</v>
      </c>
      <c r="AD354" s="10" t="str">
        <f>IFERROR(__xludf.DUMMYFUNCTION("GOOGLETRANSLATE(L354,""my"", ""en"")")," Game Democracy group   Pop Party")</f>
        <v> Game Democracy group   Pop Party</v>
      </c>
      <c r="AE354" s="10" t="str">
        <f>IFERROR(__xludf.DUMMYFUNCTION("GOOGLETRANSLATE(M354,""my"", ""en"")"),"218875")</f>
        <v>218875</v>
      </c>
      <c r="AF354" s="10" t="str">
        <f>IFERROR(__xludf.DUMMYFUNCTION("GOOGLETRANSLATE(N354,""my"", ""en"")"),"68600")</f>
        <v>68600</v>
      </c>
      <c r="AG354" s="10" t="str">
        <f>IFERROR(__xludf.DUMMYFUNCTION("GOOGLETRANSLATE(O354,""my"", ""en"")"),"287475")</f>
        <v>287475</v>
      </c>
      <c r="AH354" s="10" t="str">
        <f>IFERROR(__xludf.DUMMYFUNCTION("GOOGLETRANSLATE(P354,""my"", ""en"")"),"82.01%")</f>
        <v>82.01%</v>
      </c>
    </row>
    <row r="355" ht="22.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3" t="s">
        <v>2551</v>
      </c>
      <c r="L355" s="23" t="s">
        <v>2552</v>
      </c>
      <c r="M355" s="24" t="s">
        <v>2553</v>
      </c>
      <c r="N355" s="24" t="s">
        <v>2554</v>
      </c>
      <c r="O355" s="24" t="s">
        <v>2555</v>
      </c>
      <c r="P355" s="25" t="s">
        <v>2556</v>
      </c>
      <c r="AC355" s="10" t="str">
        <f>IFERROR(__xludf.DUMMYFUNCTION("GOOGLETRANSLATE(K355,""my"", ""en"")"),"Win Tint")</f>
        <v>Win Tint</v>
      </c>
      <c r="AD355" s="10" t="str">
        <f>IFERROR(__xludf.DUMMYFUNCTION("GOOGLETRANSLATE(L355,""my"", ""en"")"),"Local ေထာင် soap-stone strong ေရး  under development  Phil  ေရး Party")</f>
        <v>Local ေထာင် soap-stone strong ေရး  under development  Phil  ေရး Party</v>
      </c>
      <c r="AE355" s="10" t="str">
        <f>IFERROR(__xludf.DUMMYFUNCTION("GOOGLETRANSLATE(M355,""my"", ""en"")"),"40976")</f>
        <v>40976</v>
      </c>
      <c r="AF355" s="10" t="str">
        <f>IFERROR(__xludf.DUMMYFUNCTION("GOOGLETRANSLATE(N355,""my"", ""en"")"),"16752")</f>
        <v>16752</v>
      </c>
      <c r="AG355" s="10" t="str">
        <f>IFERROR(__xludf.DUMMYFUNCTION("GOOGLETRANSLATE(O355,""my"", ""en"")"),"57728")</f>
        <v>57728</v>
      </c>
      <c r="AH355" s="10" t="str">
        <f>IFERROR(__xludf.DUMMYFUNCTION("GOOGLETRANSLATE(P355,""my"", ""en"")"),"16.47%")</f>
        <v>16.47%</v>
      </c>
    </row>
    <row r="356" ht="21.7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3" t="s">
        <v>2557</v>
      </c>
      <c r="L356" s="23" t="s">
        <v>2558</v>
      </c>
      <c r="M356" s="24" t="s">
        <v>2559</v>
      </c>
      <c r="N356" s="24" t="s">
        <v>2560</v>
      </c>
      <c r="O356" s="24" t="s">
        <v>2561</v>
      </c>
      <c r="P356" s="25" t="s">
        <v>2562</v>
      </c>
      <c r="AC356" s="10" t="str">
        <f>IFERROR(__xludf.DUMMYFUNCTION("GOOGLETRANSLATE(K356,""my"", ""en"")"),"ေဒ  Khin San Win")</f>
        <v>ေဒ  Khin San Win</v>
      </c>
      <c r="AD356" s="10" t="str">
        <f>IFERROR(__xludf.DUMMYFUNCTION("GOOGLETRANSLATE(L356,""my"", ""en"")"),"Ethnic unity  working party ေရး")</f>
        <v>Ethnic unity  working party ေရး</v>
      </c>
      <c r="AE356" s="10" t="str">
        <f>IFERROR(__xludf.DUMMYFUNCTION("GOOGLETRANSLATE(M356,""my"", ""en"")"),"1350")</f>
        <v>1350</v>
      </c>
      <c r="AF356" s="10" t="str">
        <f>IFERROR(__xludf.DUMMYFUNCTION("GOOGLETRANSLATE(N356,""my"", ""en"")"),"1039")</f>
        <v>1039</v>
      </c>
      <c r="AG356" s="10" t="str">
        <f>IFERROR(__xludf.DUMMYFUNCTION("GOOGLETRANSLATE(O356,""my"", ""en"")"),"2389")</f>
        <v>2389</v>
      </c>
      <c r="AH356" s="10" t="str">
        <f>IFERROR(__xludf.DUMMYFUNCTION("GOOGLETRANSLATE(P356,""my"", ""en"")"),"0.68%")</f>
        <v>0.68%</v>
      </c>
    </row>
    <row r="357" ht="22.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3" t="s">
        <v>2563</v>
      </c>
      <c r="L357" s="23" t="s">
        <v>2564</v>
      </c>
      <c r="M357" s="24" t="s">
        <v>2565</v>
      </c>
      <c r="N357" s="24" t="s">
        <v>2566</v>
      </c>
      <c r="O357" s="24" t="s">
        <v>2567</v>
      </c>
      <c r="P357" s="25" t="s">
        <v>2568</v>
      </c>
      <c r="AC357" s="10" t="str">
        <f>IFERROR(__xludf.DUMMYFUNCTION("GOOGLETRANSLATE(K357,""my"", ""en"")"),"Khin folded ေမာင် ")</f>
        <v>Khin folded ေမာင် </v>
      </c>
      <c r="AD357" s="10" t="str">
        <f>IFERROR(__xludf.DUMMYFUNCTION("GOOGLETRANSLATE(L357,""my"", ""en"")"),"ပည်သူ ေရှ  ေဆာင် Party")</f>
        <v>ပည်သူ ေရှ  ေဆာင် Party</v>
      </c>
      <c r="AE357" s="10" t="str">
        <f>IFERROR(__xludf.DUMMYFUNCTION("GOOGLETRANSLATE(M357,""my"", ""en"")"),"1122")</f>
        <v>1122</v>
      </c>
      <c r="AF357" s="10" t="str">
        <f>IFERROR(__xludf.DUMMYFUNCTION("GOOGLETRANSLATE(N357,""my"", ""en"")"),"590")</f>
        <v>590</v>
      </c>
      <c r="AG357" s="10" t="str">
        <f>IFERROR(__xludf.DUMMYFUNCTION("GOOGLETRANSLATE(O357,""my"", ""en"")"),"1712")</f>
        <v>1712</v>
      </c>
      <c r="AH357" s="10" t="str">
        <f>IFERROR(__xludf.DUMMYFUNCTION("GOOGLETRANSLATE(P357,""my"", ""en"")"),"0.49%")</f>
        <v>0.49%</v>
      </c>
    </row>
    <row r="358" ht="21.7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3" t="s">
        <v>2569</v>
      </c>
      <c r="L358" s="23" t="s">
        <v>2570</v>
      </c>
      <c r="M358" s="24" t="s">
        <v>2571</v>
      </c>
      <c r="N358" s="24" t="s">
        <v>2572</v>
      </c>
      <c r="O358" s="24" t="s">
        <v>2573</v>
      </c>
      <c r="P358" s="25" t="s">
        <v>2574</v>
      </c>
      <c r="AC358" s="10" t="str">
        <f>IFERROR(__xludf.DUMMYFUNCTION("GOOGLETRANSLATE(K358,""my"", ""en"")"),"The Sun")</f>
        <v>The Sun</v>
      </c>
      <c r="AD358" s="10" t="str">
        <f>IFERROR(__xludf.DUMMYFUNCTION("GOOGLETRANSLATE(L358,""my"", ""en"")"),"Local ေထာင် စုေ white  Game ေဆာင် Party")</f>
        <v>Local ေထာင် စုေ white  Game ေဆာင် Party</v>
      </c>
      <c r="AE358" s="10" t="str">
        <f>IFERROR(__xludf.DUMMYFUNCTION("GOOGLETRANSLATE(M358,""my"", ""en"")"),"844")</f>
        <v>844</v>
      </c>
      <c r="AF358" s="10" t="str">
        <f>IFERROR(__xludf.DUMMYFUNCTION("GOOGLETRANSLATE(N358,""my"", ""en"")"),"400")</f>
        <v>400</v>
      </c>
      <c r="AG358" s="10" t="str">
        <f>IFERROR(__xludf.DUMMYFUNCTION("GOOGLETRANSLATE(O358,""my"", ""en"")"),"1244")</f>
        <v>1244</v>
      </c>
      <c r="AH358" s="10" t="str">
        <f>IFERROR(__xludf.DUMMYFUNCTION("GOOGLETRANSLATE(P358,""my"", ""en"")"),"0.35%")</f>
        <v>0.35%</v>
      </c>
    </row>
    <row r="359" ht="22.5" customHeight="1">
      <c r="A359" s="17" t="s">
        <v>2575</v>
      </c>
      <c r="B359" s="17" t="s">
        <v>2576</v>
      </c>
      <c r="C359" s="18" t="s">
        <v>2577</v>
      </c>
      <c r="D359" s="18" t="s">
        <v>2578</v>
      </c>
      <c r="E359" s="18" t="s">
        <v>2579</v>
      </c>
      <c r="F359" s="18" t="s">
        <v>2580</v>
      </c>
      <c r="G359" s="18" t="s">
        <v>2581</v>
      </c>
      <c r="H359" s="18" t="s">
        <v>2582</v>
      </c>
      <c r="I359" s="18" t="s">
        <v>2583</v>
      </c>
      <c r="J359" s="18" t="s">
        <v>2584</v>
      </c>
      <c r="K359" s="27"/>
      <c r="L359" s="27"/>
      <c r="M359" s="18" t="s">
        <v>2585</v>
      </c>
      <c r="N359" s="18" t="s">
        <v>2586</v>
      </c>
      <c r="O359" s="18" t="s">
        <v>2587</v>
      </c>
      <c r="P359" s="27"/>
      <c r="S359" s="10" t="str">
        <f>IFERROR(__xludf.DUMMYFUNCTION("GOOGLETRANSLATE(A359,""my"", ""en"")"),"55")</f>
        <v>55</v>
      </c>
      <c r="T359" s="10" t="str">
        <f>IFERROR(__xludf.DUMMYFUNCTION("GOOGLETRANSLATE(B359,""my"", ""en"")"),"မဲဆ  No. (7)")</f>
        <v>မဲဆ  No. (7)</v>
      </c>
      <c r="U359" s="10" t="str">
        <f>IFERROR(__xludf.DUMMYFUNCTION("GOOGLETRANSLATE(C359,""my"", ""en"")"),"84384")</f>
        <v>84384</v>
      </c>
      <c r="V359" s="10" t="str">
        <f>IFERROR(__xludf.DUMMYFUNCTION("GOOGLETRANSLATE(D359,""my"", ""en"")"),"48744")</f>
        <v>48744</v>
      </c>
      <c r="W359" s="10" t="str">
        <f>IFERROR(__xludf.DUMMYFUNCTION("GOOGLETRANSLATE(E359,""my"", ""en"")"),"12293")</f>
        <v>12293</v>
      </c>
      <c r="X359" s="10" t="str">
        <f>IFERROR(__xludf.DUMMYFUNCTION("GOOGLETRANSLATE(F359,""my"", ""en"")"),"61037")</f>
        <v>61037</v>
      </c>
      <c r="Y359" s="10" t="str">
        <f>IFERROR(__xludf.DUMMYFUNCTION("GOOGLETRANSLATE(G359,""my"", ""en"")"),"72.33")</f>
        <v>72.33</v>
      </c>
      <c r="Z359" s="10" t="str">
        <f>IFERROR(__xludf.DUMMYFUNCTION("GOOGLETRANSLATE(H359,""my"", ""en"")"),"1216")</f>
        <v>1216</v>
      </c>
      <c r="AA359" s="10" t="str">
        <f>IFERROR(__xludf.DUMMYFUNCTION("GOOGLETRANSLATE(I359,""my"", ""en"")"),"106")</f>
        <v>106</v>
      </c>
      <c r="AB359" s="10" t="str">
        <f>IFERROR(__xludf.DUMMYFUNCTION("GOOGLETRANSLATE(J359,""my"", ""en"")"),"1322")</f>
        <v>1322</v>
      </c>
      <c r="AE359" s="10" t="str">
        <f>IFERROR(__xludf.DUMMYFUNCTION("GOOGLETRANSLATE(M359,""my"", ""en"")"),"47497")</f>
        <v>47497</v>
      </c>
      <c r="AF359" s="10" t="str">
        <f>IFERROR(__xludf.DUMMYFUNCTION("GOOGLETRANSLATE(N359,""my"", ""en"")"),"12218")</f>
        <v>12218</v>
      </c>
      <c r="AG359" s="10" t="str">
        <f>IFERROR(__xludf.DUMMYFUNCTION("GOOGLETRANSLATE(O359,""my"", ""en"")"),"59715")</f>
        <v>59715</v>
      </c>
    </row>
    <row r="360" ht="22.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3" t="s">
        <v>2588</v>
      </c>
      <c r="L360" s="23" t="s">
        <v>2589</v>
      </c>
      <c r="M360" s="24" t="s">
        <v>2590</v>
      </c>
      <c r="N360" s="24" t="s">
        <v>2591</v>
      </c>
      <c r="O360" s="24" t="s">
        <v>2592</v>
      </c>
      <c r="P360" s="25" t="s">
        <v>2593</v>
      </c>
      <c r="AC360" s="10" t="str">
        <f>IFERROR(__xludf.DUMMYFUNCTION("GOOGLETRANSLATE(K360,""my"", ""en"")"),"U")</f>
        <v>U</v>
      </c>
      <c r="AD360" s="10" t="str">
        <f>IFERROR(__xludf.DUMMYFUNCTION("GOOGLETRANSLATE(L360,""my"", ""en"")")," Game Democracy group   Pop Party")</f>
        <v> Game Democracy group   Pop Party</v>
      </c>
      <c r="AE360" s="10" t="str">
        <f>IFERROR(__xludf.DUMMYFUNCTION("GOOGLETRANSLATE(M360,""my"", ""en"")"),"28533")</f>
        <v>28533</v>
      </c>
      <c r="AF360" s="10" t="str">
        <f>IFERROR(__xludf.DUMMYFUNCTION("GOOGLETRANSLATE(N360,""my"", ""en"")"),"6921")</f>
        <v>6921</v>
      </c>
      <c r="AG360" s="10" t="str">
        <f>IFERROR(__xludf.DUMMYFUNCTION("GOOGLETRANSLATE(O360,""my"", ""en"")"),"35454")</f>
        <v>35454</v>
      </c>
      <c r="AH360" s="10" t="str">
        <f>IFERROR(__xludf.DUMMYFUNCTION("GOOGLETRANSLATE(P360,""my"", ""en"")"),"59.37%")</f>
        <v>59.37%</v>
      </c>
    </row>
    <row r="361" ht="22.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3" t="s">
        <v>2594</v>
      </c>
      <c r="L361" s="23" t="s">
        <v>2595</v>
      </c>
      <c r="M361" s="24" t="s">
        <v>2596</v>
      </c>
      <c r="N361" s="24" t="s">
        <v>2597</v>
      </c>
      <c r="O361" s="24" t="s">
        <v>2598</v>
      </c>
      <c r="P361" s="25" t="s">
        <v>2599</v>
      </c>
      <c r="AC361" s="10" t="str">
        <f>IFERROR(__xludf.DUMMYFUNCTION("GOOGLETRANSLATE(K361,""my"", ""en"")"),"An ")</f>
        <v>An </v>
      </c>
      <c r="AD361" s="10" t="str">
        <f>IFERROR(__xludf.DUMMYFUNCTION("GOOGLETRANSLATE(L361,""my"", ""en"")"),"Local ေထာင် soap-stone strong ေရး  under development  Phil  ေရး Party")</f>
        <v>Local ေထာင် soap-stone strong ေရး  under development  Phil  ေရး Party</v>
      </c>
      <c r="AE361" s="10" t="str">
        <f>IFERROR(__xludf.DUMMYFUNCTION("GOOGLETRANSLATE(M361,""my"", ""en"")"),"16277")</f>
        <v>16277</v>
      </c>
      <c r="AF361" s="10" t="str">
        <f>IFERROR(__xludf.DUMMYFUNCTION("GOOGLETRANSLATE(N361,""my"", ""en"")"),"4459")</f>
        <v>4459</v>
      </c>
      <c r="AG361" s="10" t="str">
        <f>IFERROR(__xludf.DUMMYFUNCTION("GOOGLETRANSLATE(O361,""my"", ""en"")"),"20736")</f>
        <v>20736</v>
      </c>
      <c r="AH361" s="10" t="str">
        <f>IFERROR(__xludf.DUMMYFUNCTION("GOOGLETRANSLATE(P361,""my"", ""en"")"),"34.72%")</f>
        <v>34.72%</v>
      </c>
    </row>
    <row r="362" ht="22.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3" t="s">
        <v>2600</v>
      </c>
      <c r="L362" s="23" t="s">
        <v>2601</v>
      </c>
      <c r="M362" s="24" t="s">
        <v>2602</v>
      </c>
      <c r="N362" s="24" t="s">
        <v>2603</v>
      </c>
      <c r="O362" s="24" t="s">
        <v>2604</v>
      </c>
      <c r="P362" s="25" t="s">
        <v>2605</v>
      </c>
      <c r="AC362" s="10" t="str">
        <f>IFERROR(__xludf.DUMMYFUNCTION("GOOGLETRANSLATE(K362,""my"", ""en"")")," Divisional Hi Con")</f>
        <v> Divisional Hi Con</v>
      </c>
      <c r="AD362" s="10" t="str">
        <f>IFERROR(__xludf.DUMMYFUNCTION("GOOGLETRANSLATE(L362,""my"", ""en"")")," Game Democracy group   Pop Party")</f>
        <v> Game Democracy group   Pop Party</v>
      </c>
      <c r="AE362" s="10" t="str">
        <f>IFERROR(__xludf.DUMMYFUNCTION("GOOGLETRANSLATE(M362,""my"", ""en"")"),"2214")</f>
        <v>2214</v>
      </c>
      <c r="AF362" s="10" t="str">
        <f>IFERROR(__xludf.DUMMYFUNCTION("GOOGLETRANSLATE(N362,""my"", ""en"")"),"568")</f>
        <v>568</v>
      </c>
      <c r="AG362" s="10" t="str">
        <f>IFERROR(__xludf.DUMMYFUNCTION("GOOGLETRANSLATE(O362,""my"", ""en"")"),"2782")</f>
        <v>2782</v>
      </c>
      <c r="AH362" s="10" t="str">
        <f>IFERROR(__xludf.DUMMYFUNCTION("GOOGLETRANSLATE(P362,""my"", ""en"")"),"4.66%")</f>
        <v>4.66%</v>
      </c>
    </row>
    <row r="363" ht="22.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3" t="s">
        <v>2606</v>
      </c>
      <c r="L363" s="23" t="s">
        <v>2607</v>
      </c>
      <c r="M363" s="24" t="s">
        <v>2608</v>
      </c>
      <c r="N363" s="24" t="s">
        <v>2609</v>
      </c>
      <c r="O363" s="24" t="s">
        <v>2610</v>
      </c>
      <c r="P363" s="25" t="s">
        <v>2611</v>
      </c>
      <c r="AC363" s="10" t="str">
        <f>IFERROR(__xludf.DUMMYFUNCTION("GOOGLETRANSLATE(K363,""my"", ""en"")"),"Tun ေရ")</f>
        <v>Tun ေရ</v>
      </c>
      <c r="AD363" s="10" t="str">
        <f>IFERROR(__xludf.DUMMYFUNCTION("GOOGLETRANSLATE(L363,""my"", ""en"")"),"Ethnic unity  working party ေရး")</f>
        <v>Ethnic unity  working party ေရး</v>
      </c>
      <c r="AE363" s="10" t="str">
        <f>IFERROR(__xludf.DUMMYFUNCTION("GOOGLETRANSLATE(M363,""my"", ""en"")"),"307")</f>
        <v>307</v>
      </c>
      <c r="AF363" s="10" t="str">
        <f>IFERROR(__xludf.DUMMYFUNCTION("GOOGLETRANSLATE(N363,""my"", ""en"")"),"205")</f>
        <v>205</v>
      </c>
      <c r="AG363" s="10" t="str">
        <f>IFERROR(__xludf.DUMMYFUNCTION("GOOGLETRANSLATE(O363,""my"", ""en"")"),"512")</f>
        <v>512</v>
      </c>
      <c r="AH363" s="10" t="str">
        <f>IFERROR(__xludf.DUMMYFUNCTION("GOOGLETRANSLATE(P363,""my"", ""en"")"),"0.86%")</f>
        <v>0.86%</v>
      </c>
    </row>
    <row r="364" ht="24.0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3" t="s">
        <v>2612</v>
      </c>
      <c r="L364" s="23" t="s">
        <v>2613</v>
      </c>
      <c r="M364" s="24" t="s">
        <v>2614</v>
      </c>
      <c r="N364" s="24" t="s">
        <v>2615</v>
      </c>
      <c r="O364" s="24" t="s">
        <v>2616</v>
      </c>
      <c r="P364" s="25" t="s">
        <v>2617</v>
      </c>
      <c r="AC364" s="10" t="str">
        <f>IFERROR(__xludf.DUMMYFUNCTION("GOOGLETRANSLATE(K364,""my"", ""en"")"),"Huntington")</f>
        <v>Huntington</v>
      </c>
      <c r="AD364" s="10" t="str">
        <f>IFERROR(__xludf.DUMMYFUNCTION("GOOGLETRANSLATE(L364,""my"", ""en"")"),"Local ေထာင် စုေ white  Game ေဆာင် Party")</f>
        <v>Local ေထာင် စုေ white  Game ေဆာင် Party</v>
      </c>
      <c r="AE364" s="10" t="str">
        <f>IFERROR(__xludf.DUMMYFUNCTION("GOOGLETRANSLATE(M364,""my"", ""en"")"),"166")</f>
        <v>166</v>
      </c>
      <c r="AF364" s="10" t="str">
        <f>IFERROR(__xludf.DUMMYFUNCTION("GOOGLETRANSLATE(N364,""my"", ""en"")"),"65")</f>
        <v>65</v>
      </c>
      <c r="AG364" s="10" t="str">
        <f>IFERROR(__xludf.DUMMYFUNCTION("GOOGLETRANSLATE(O364,""my"", ""en"")"),"231")</f>
        <v>231</v>
      </c>
      <c r="AH364" s="10" t="str">
        <f>IFERROR(__xludf.DUMMYFUNCTION("GOOGLETRANSLATE(P364,""my"", ""en"")"),"0.39%")</f>
        <v>0.39%</v>
      </c>
    </row>
    <row r="365" ht="21.0" customHeight="1">
      <c r="A365" s="17" t="s">
        <v>2618</v>
      </c>
      <c r="B365" s="17" t="s">
        <v>2619</v>
      </c>
      <c r="C365" s="18" t="s">
        <v>2620</v>
      </c>
      <c r="D365" s="18" t="s">
        <v>2621</v>
      </c>
      <c r="E365" s="18" t="s">
        <v>2622</v>
      </c>
      <c r="F365" s="18" t="s">
        <v>2623</v>
      </c>
      <c r="G365" s="18" t="s">
        <v>2624</v>
      </c>
      <c r="H365" s="18" t="s">
        <v>2625</v>
      </c>
      <c r="I365" s="18" t="s">
        <v>2626</v>
      </c>
      <c r="J365" s="18" t="s">
        <v>2627</v>
      </c>
      <c r="K365" s="27"/>
      <c r="L365" s="27"/>
      <c r="M365" s="18" t="s">
        <v>2628</v>
      </c>
      <c r="N365" s="18" t="s">
        <v>2629</v>
      </c>
      <c r="O365" s="18" t="s">
        <v>2630</v>
      </c>
      <c r="P365" s="27"/>
      <c r="S365" s="10" t="str">
        <f>IFERROR(__xludf.DUMMYFUNCTION("GOOGLETRANSLATE(A365,""my"", ""en"")"),"56")</f>
        <v>56</v>
      </c>
      <c r="T365" s="10" t="str">
        <f>IFERROR(__xludf.DUMMYFUNCTION("GOOGLETRANSLATE(B365,""my"", ""en"")"),"မဲဆ  No. (8)")</f>
        <v>မဲဆ  No. (8)</v>
      </c>
      <c r="U365" s="10" t="str">
        <f>IFERROR(__xludf.DUMMYFUNCTION("GOOGLETRANSLATE(C365,""my"", ""en"")"),"643103")</f>
        <v>643103</v>
      </c>
      <c r="V365" s="10" t="str">
        <f>IFERROR(__xludf.DUMMYFUNCTION("GOOGLETRANSLATE(D365,""my"", ""en"")"),"401648")</f>
        <v>401648</v>
      </c>
      <c r="W365" s="10" t="str">
        <f>IFERROR(__xludf.DUMMYFUNCTION("GOOGLETRANSLATE(E365,""my"", ""en"")"),"116706")</f>
        <v>116706</v>
      </c>
      <c r="X365" s="10" t="str">
        <f>IFERROR(__xludf.DUMMYFUNCTION("GOOGLETRANSLATE(F365,""my"", ""en"")"),"518354")</f>
        <v>518354</v>
      </c>
      <c r="Y365" s="10" t="str">
        <f>IFERROR(__xludf.DUMMYFUNCTION("GOOGLETRANSLATE(G365,""my"", ""en"")"),"80.60")</f>
        <v>80.60</v>
      </c>
      <c r="Z365" s="10" t="str">
        <f>IFERROR(__xludf.DUMMYFUNCTION("GOOGLETRANSLATE(H365,""my"", ""en"")"),"5824")</f>
        <v>5824</v>
      </c>
      <c r="AA365" s="10" t="str">
        <f>IFERROR(__xludf.DUMMYFUNCTION("GOOGLETRANSLATE(I365,""my"", ""en"")"),"1570")</f>
        <v>1570</v>
      </c>
      <c r="AB365" s="10" t="str">
        <f>IFERROR(__xludf.DUMMYFUNCTION("GOOGLETRANSLATE(J365,""my"", ""en"")"),"7394")</f>
        <v>7394</v>
      </c>
      <c r="AE365" s="10" t="str">
        <f>IFERROR(__xludf.DUMMYFUNCTION("GOOGLETRANSLATE(M365,""my"", ""en"")"),"395174")</f>
        <v>395174</v>
      </c>
      <c r="AF365" s="10" t="str">
        <f>IFERROR(__xludf.DUMMYFUNCTION("GOOGLETRANSLATE(N365,""my"", ""en"")"),"115786")</f>
        <v>115786</v>
      </c>
      <c r="AG365" s="10" t="str">
        <f>IFERROR(__xludf.DUMMYFUNCTION("GOOGLETRANSLATE(O365,""my"", ""en"")"),"510960")</f>
        <v>510960</v>
      </c>
    </row>
    <row r="366" ht="24.0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3" t="s">
        <v>2631</v>
      </c>
      <c r="L366" s="23" t="s">
        <v>2632</v>
      </c>
      <c r="M366" s="24" t="s">
        <v>2633</v>
      </c>
      <c r="N366" s="24" t="s">
        <v>2634</v>
      </c>
      <c r="O366" s="24" t="s">
        <v>2635</v>
      </c>
      <c r="P366" s="25" t="s">
        <v>2636</v>
      </c>
      <c r="AC366" s="10" t="str">
        <f>IFERROR(__xludf.DUMMYFUNCTION("GOOGLETRANSLATE(K366,""my"", ""en"")"),"ေဒ  Thida Win")</f>
        <v>ေဒ  Thida Win</v>
      </c>
      <c r="AD366" s="10" t="str">
        <f>IFERROR(__xludf.DUMMYFUNCTION("GOOGLETRANSLATE(L366,""my"", ""en"")")," Game Democracy group   Pop Party")</f>
        <v> Game Democracy group   Pop Party</v>
      </c>
      <c r="AE366" s="10" t="str">
        <f>IFERROR(__xludf.DUMMYFUNCTION("GOOGLETRANSLATE(M366,""my"", ""en"")"),"344998")</f>
        <v>344998</v>
      </c>
      <c r="AF366" s="10" t="str">
        <f>IFERROR(__xludf.DUMMYFUNCTION("GOOGLETRANSLATE(N366,""my"", ""en"")"),"98099")</f>
        <v>98099</v>
      </c>
      <c r="AG366" s="10" t="str">
        <f>IFERROR(__xludf.DUMMYFUNCTION("GOOGLETRANSLATE(O366,""my"", ""en"")"),"443097")</f>
        <v>443097</v>
      </c>
      <c r="AH366" s="10" t="str">
        <f>IFERROR(__xludf.DUMMYFUNCTION("GOOGLETRANSLATE(P366,""my"", ""en"")"),"86.72%")</f>
        <v>86.72%</v>
      </c>
    </row>
    <row r="367" ht="24.0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3" t="s">
        <v>2637</v>
      </c>
      <c r="L367" s="23" t="s">
        <v>2638</v>
      </c>
      <c r="M367" s="24" t="s">
        <v>2639</v>
      </c>
      <c r="N367" s="24" t="s">
        <v>2640</v>
      </c>
      <c r="O367" s="24" t="s">
        <v>2641</v>
      </c>
      <c r="P367" s="25" t="s">
        <v>2642</v>
      </c>
      <c r="AC367" s="10" t="str">
        <f>IFERROR(__xludf.DUMMYFUNCTION("GOOGLETRANSLATE(K367,""my"", ""en"")"),"An estimated data   Htay")</f>
        <v>An estimated data   Htay</v>
      </c>
      <c r="AD367" s="10" t="str">
        <f>IFERROR(__xludf.DUMMYFUNCTION("GOOGLETRANSLATE(L367,""my"", ""en"")"),"Local ေထာင် soap-stone strong ေရး  under development  Phil  ေရး Party")</f>
        <v>Local ေထာင် soap-stone strong ေရး  under development  Phil  ေရး Party</v>
      </c>
      <c r="AE367" s="10" t="str">
        <f>IFERROR(__xludf.DUMMYFUNCTION("GOOGLETRANSLATE(M367,""my"", ""en"")"),"44559")</f>
        <v>44559</v>
      </c>
      <c r="AF367" s="10" t="str">
        <f>IFERROR(__xludf.DUMMYFUNCTION("GOOGLETRANSLATE(N367,""my"", ""en"")"),"15508")</f>
        <v>15508</v>
      </c>
      <c r="AG367" s="10" t="str">
        <f>IFERROR(__xludf.DUMMYFUNCTION("GOOGLETRANSLATE(O367,""my"", ""en"")"),"60067")</f>
        <v>60067</v>
      </c>
      <c r="AH367" s="10" t="str">
        <f>IFERROR(__xludf.DUMMYFUNCTION("GOOGLETRANSLATE(P367,""my"", ""en"")"),"11.76%")</f>
        <v>11.76%</v>
      </c>
    </row>
    <row r="368" ht="24.0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3" t="s">
        <v>2643</v>
      </c>
      <c r="L368" s="23" t="s">
        <v>2644</v>
      </c>
      <c r="M368" s="24" t="s">
        <v>2645</v>
      </c>
      <c r="N368" s="24" t="s">
        <v>2646</v>
      </c>
      <c r="O368" s="24" t="s">
        <v>2647</v>
      </c>
      <c r="P368" s="25" t="s">
        <v>2648</v>
      </c>
      <c r="AC368" s="10" t="str">
        <f>IFERROR(__xludf.DUMMYFUNCTION("GOOGLETRANSLATE(K368,""my"", ""en"")"),"ေအာင် ေဇာ Lin")</f>
        <v>ေအာင် ေဇာ Lin</v>
      </c>
      <c r="AD368" s="10" t="str">
        <f>IFERROR(__xludf.DUMMYFUNCTION("GOOGLETRANSLATE(L368,""my"", ""en"")"),"Local ေထာင် စုေ white  Game ေဆာင် Party")</f>
        <v>Local ေထာင် စုေ white  Game ေဆာင် Party</v>
      </c>
      <c r="AE368" s="10" t="str">
        <f>IFERROR(__xludf.DUMMYFUNCTION("GOOGLETRANSLATE(M368,""my"", ""en"")"),"4048")</f>
        <v>4048</v>
      </c>
      <c r="AF368" s="10" t="str">
        <f>IFERROR(__xludf.DUMMYFUNCTION("GOOGLETRANSLATE(N368,""my"", ""en"")"),"1473")</f>
        <v>1473</v>
      </c>
      <c r="AG368" s="10" t="str">
        <f>IFERROR(__xludf.DUMMYFUNCTION("GOOGLETRANSLATE(O368,""my"", ""en"")"),"5521")</f>
        <v>5521</v>
      </c>
      <c r="AH368" s="10" t="str">
        <f>IFERROR(__xludf.DUMMYFUNCTION("GOOGLETRANSLATE(P368,""my"", ""en"")"),"1.07%")</f>
        <v>1.07%</v>
      </c>
    </row>
    <row r="369" ht="33.7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3" t="s">
        <v>2649</v>
      </c>
      <c r="L369" s="23" t="s">
        <v>2650</v>
      </c>
      <c r="M369" s="24" t="s">
        <v>2651</v>
      </c>
      <c r="N369" s="24" t="s">
        <v>2652</v>
      </c>
      <c r="O369" s="24" t="s">
        <v>2653</v>
      </c>
      <c r="P369" s="25" t="s">
        <v>2654</v>
      </c>
      <c r="AC369" s="10" t="str">
        <f>IFERROR(__xludf.DUMMYFUNCTION("GOOGLETRANSLATE(K369,""my"", ""en"")"),"Thein ေအာင်")</f>
        <v>Thein ေအာင်</v>
      </c>
      <c r="AD369" s="10" t="str">
        <f>IFERROR(__xludf.DUMMYFUNCTION("GOOGLETRANSLATE(L369,""my"", ""en"")")," Union ေသာ ethnic  Game Democracy Party")</f>
        <v> Union ေသာ ethnic  Game Democracy Party</v>
      </c>
      <c r="AE369" s="10" t="str">
        <f>IFERROR(__xludf.DUMMYFUNCTION("GOOGLETRANSLATE(M369,""my"", ""en"")"),"1054")</f>
        <v>1054</v>
      </c>
      <c r="AF369" s="10" t="str">
        <f>IFERROR(__xludf.DUMMYFUNCTION("GOOGLETRANSLATE(N369,""my"", ""en"")"),"417")</f>
        <v>417</v>
      </c>
      <c r="AG369" s="10" t="str">
        <f>IFERROR(__xludf.DUMMYFUNCTION("GOOGLETRANSLATE(O369,""my"", ""en"")"),"1471")</f>
        <v>1471</v>
      </c>
      <c r="AH369" s="10" t="str">
        <f>IFERROR(__xludf.DUMMYFUNCTION("GOOGLETRANSLATE(P369,""my"", ""en"")"),"0.29%")</f>
        <v>0.29%</v>
      </c>
    </row>
    <row r="370" ht="34.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3" t="s">
        <v>2655</v>
      </c>
      <c r="L370" s="23" t="s">
        <v>2656</v>
      </c>
      <c r="M370" s="24" t="s">
        <v>2657</v>
      </c>
      <c r="N370" s="24" t="s">
        <v>2658</v>
      </c>
      <c r="O370" s="24" t="s">
        <v>2659</v>
      </c>
      <c r="P370" s="25" t="s">
        <v>2660</v>
      </c>
      <c r="AC370" s="10" t="str">
        <f>IFERROR(__xludf.DUMMYFUNCTION("GOOGLETRANSLATE(K370,""my"", ""en"")"),"ေကျာ ေကျာ (b) ေကျာ million ေကျာ")</f>
        <v>ေကျာ ေကျာ (b) ေကျာ million ေကျာ</v>
      </c>
      <c r="AD370" s="10" t="str">
        <f>IFERROR(__xludf.DUMMYFUNCTION("GOOGLETRANSLATE(L370,""my"", ""en"")"),"Personal ")</f>
        <v>Personal </v>
      </c>
      <c r="AE370" s="10" t="str">
        <f>IFERROR(__xludf.DUMMYFUNCTION("GOOGLETRANSLATE(M370,""my"", ""en"")"),"515")</f>
        <v>515</v>
      </c>
      <c r="AF370" s="10" t="str">
        <f>IFERROR(__xludf.DUMMYFUNCTION("GOOGLETRANSLATE(N370,""my"", ""en"")"),"289")</f>
        <v>289</v>
      </c>
      <c r="AG370" s="10" t="str">
        <f>IFERROR(__xludf.DUMMYFUNCTION("GOOGLETRANSLATE(O370,""my"", ""en"")"),"804")</f>
        <v>804</v>
      </c>
      <c r="AH370" s="10" t="str">
        <f>IFERROR(__xludf.DUMMYFUNCTION("GOOGLETRANSLATE(P370,""my"", ""en"")"),"0.16%")</f>
        <v>0.16%</v>
      </c>
    </row>
    <row r="371" ht="22.5" customHeight="1">
      <c r="A371" s="17" t="s">
        <v>2661</v>
      </c>
      <c r="B371" s="17" t="s">
        <v>2662</v>
      </c>
      <c r="C371" s="18" t="s">
        <v>2663</v>
      </c>
      <c r="D371" s="18" t="s">
        <v>2664</v>
      </c>
      <c r="E371" s="18" t="s">
        <v>2665</v>
      </c>
      <c r="F371" s="18" t="s">
        <v>2666</v>
      </c>
      <c r="G371" s="18" t="s">
        <v>2667</v>
      </c>
      <c r="H371" s="18" t="s">
        <v>2668</v>
      </c>
      <c r="I371" s="18" t="s">
        <v>2669</v>
      </c>
      <c r="J371" s="18" t="s">
        <v>2670</v>
      </c>
      <c r="K371" s="27"/>
      <c r="L371" s="27"/>
      <c r="M371" s="18" t="s">
        <v>2671</v>
      </c>
      <c r="N371" s="18" t="s">
        <v>2672</v>
      </c>
      <c r="O371" s="18" t="s">
        <v>2673</v>
      </c>
      <c r="P371" s="27"/>
      <c r="S371" s="10" t="str">
        <f>IFERROR(__xludf.DUMMYFUNCTION("GOOGLETRANSLATE(A371,""my"", ""en"")"),"57")</f>
        <v>57</v>
      </c>
      <c r="T371" s="10" t="str">
        <f>IFERROR(__xludf.DUMMYFUNCTION("GOOGLETRANSLATE(B371,""my"", ""en"")"),"မဲဆ  No. (9)")</f>
        <v>မဲဆ  No. (9)</v>
      </c>
      <c r="U371" s="10" t="str">
        <f>IFERROR(__xludf.DUMMYFUNCTION("GOOGLETRANSLATE(C371,""my"", ""en"")"),"126455")</f>
        <v>126455</v>
      </c>
      <c r="V371" s="10" t="str">
        <f>IFERROR(__xludf.DUMMYFUNCTION("GOOGLETRANSLATE(D371,""my"", ""en"")"),"75714")</f>
        <v>75714</v>
      </c>
      <c r="W371" s="10" t="str">
        <f>IFERROR(__xludf.DUMMYFUNCTION("GOOGLETRANSLATE(E371,""my"", ""en"")"),"20064")</f>
        <v>20064</v>
      </c>
      <c r="X371" s="10" t="str">
        <f>IFERROR(__xludf.DUMMYFUNCTION("GOOGLETRANSLATE(F371,""my"", ""en"")"),"95778")</f>
        <v>95778</v>
      </c>
      <c r="Y371" s="10" t="str">
        <f>IFERROR(__xludf.DUMMYFUNCTION("GOOGLETRANSLATE(G371,""my"", ""en"")"),"75.74")</f>
        <v>75.74</v>
      </c>
      <c r="Z371" s="10" t="str">
        <f>IFERROR(__xludf.DUMMYFUNCTION("GOOGLETRANSLATE(H371,""my"", ""en"")"),"2081")</f>
        <v>2081</v>
      </c>
      <c r="AA371" s="10" t="str">
        <f>IFERROR(__xludf.DUMMYFUNCTION("GOOGLETRANSLATE(I371,""my"", ""en"")"),"109")</f>
        <v>109</v>
      </c>
      <c r="AB371" s="10" t="str">
        <f>IFERROR(__xludf.DUMMYFUNCTION("GOOGLETRANSLATE(J371,""my"", ""en"")"),"2190")</f>
        <v>2190</v>
      </c>
      <c r="AE371" s="10" t="str">
        <f>IFERROR(__xludf.DUMMYFUNCTION("GOOGLETRANSLATE(M371,""my"", ""en"")"),"73620")</f>
        <v>73620</v>
      </c>
      <c r="AF371" s="10" t="str">
        <f>IFERROR(__xludf.DUMMYFUNCTION("GOOGLETRANSLATE(N371,""my"", ""en"")"),"19968")</f>
        <v>19968</v>
      </c>
      <c r="AG371" s="10" t="str">
        <f>IFERROR(__xludf.DUMMYFUNCTION("GOOGLETRANSLATE(O371,""my"", ""en"")"),"93588")</f>
        <v>93588</v>
      </c>
    </row>
    <row r="372" ht="24.0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3" t="s">
        <v>2674</v>
      </c>
      <c r="L372" s="23" t="s">
        <v>2675</v>
      </c>
      <c r="M372" s="24" t="s">
        <v>2676</v>
      </c>
      <c r="N372" s="24" t="s">
        <v>2677</v>
      </c>
      <c r="O372" s="24" t="s">
        <v>2678</v>
      </c>
      <c r="P372" s="25" t="s">
        <v>2679</v>
      </c>
      <c r="AC372" s="10" t="str">
        <f>IFERROR(__xludf.DUMMYFUNCTION("GOOGLETRANSLATE(K372,""my"", ""en"")"),"Tin ေမာင် Win")</f>
        <v>Tin ေမာင် Win</v>
      </c>
      <c r="AD372" s="10" t="str">
        <f>IFERROR(__xludf.DUMMYFUNCTION("GOOGLETRANSLATE(L372,""my"", ""en"")")," Game Democracy group   Pop Party")</f>
        <v> Game Democracy group   Pop Party</v>
      </c>
      <c r="AE372" s="10" t="str">
        <f>IFERROR(__xludf.DUMMYFUNCTION("GOOGLETRANSLATE(M372,""my"", ""en"")"),"41553")</f>
        <v>41553</v>
      </c>
      <c r="AF372" s="10" t="str">
        <f>IFERROR(__xludf.DUMMYFUNCTION("GOOGLETRANSLATE(N372,""my"", ""en"")"),"10528")</f>
        <v>10528</v>
      </c>
      <c r="AG372" s="10" t="str">
        <f>IFERROR(__xludf.DUMMYFUNCTION("GOOGLETRANSLATE(O372,""my"", ""en"")"),"52081")</f>
        <v>52081</v>
      </c>
      <c r="AH372" s="10" t="str">
        <f>IFERROR(__xludf.DUMMYFUNCTION("GOOGLETRANSLATE(P372,""my"", ""en"")"),"55.65%")</f>
        <v>55.65%</v>
      </c>
    </row>
    <row r="373" ht="24.0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3" t="s">
        <v>2680</v>
      </c>
      <c r="L373" s="23" t="s">
        <v>2681</v>
      </c>
      <c r="M373" s="24" t="s">
        <v>2682</v>
      </c>
      <c r="N373" s="24" t="s">
        <v>2683</v>
      </c>
      <c r="O373" s="24" t="s">
        <v>2684</v>
      </c>
      <c r="P373" s="25" t="s">
        <v>2685</v>
      </c>
      <c r="AC373" s="10" t="str">
        <f>IFERROR(__xludf.DUMMYFUNCTION("GOOGLETRANSLATE(K373,""my"", ""en"")"),"Tin Min Htut")</f>
        <v>Tin Min Htut</v>
      </c>
      <c r="AD373" s="10" t="str">
        <f>IFERROR(__xludf.DUMMYFUNCTION("GOOGLETRANSLATE(L373,""my"", ""en"")"),"Local ေထာင် soap-stone strong ေရး  under development  Phil  ေရး Party")</f>
        <v>Local ေထာင် soap-stone strong ေရး  under development  Phil  ေရး Party</v>
      </c>
      <c r="AE373" s="10" t="str">
        <f>IFERROR(__xludf.DUMMYFUNCTION("GOOGLETRANSLATE(M373,""my"", ""en"")"),"29147")</f>
        <v>29147</v>
      </c>
      <c r="AF373" s="10" t="str">
        <f>IFERROR(__xludf.DUMMYFUNCTION("GOOGLETRANSLATE(N373,""my"", ""en"")"),"8143")</f>
        <v>8143</v>
      </c>
      <c r="AG373" s="10" t="str">
        <f>IFERROR(__xludf.DUMMYFUNCTION("GOOGLETRANSLATE(O373,""my"", ""en"")"),"37290")</f>
        <v>37290</v>
      </c>
      <c r="AH373" s="10" t="str">
        <f>IFERROR(__xludf.DUMMYFUNCTION("GOOGLETRANSLATE(P373,""my"", ""en"")"),"39.84%")</f>
        <v>39.84%</v>
      </c>
    </row>
    <row r="374" ht="24.0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3" t="s">
        <v>2686</v>
      </c>
      <c r="L374" s="23" t="s">
        <v>2687</v>
      </c>
      <c r="M374" s="24" t="s">
        <v>2688</v>
      </c>
      <c r="N374" s="24" t="s">
        <v>2689</v>
      </c>
      <c r="O374" s="24" t="s">
        <v>2690</v>
      </c>
      <c r="P374" s="25" t="s">
        <v>2691</v>
      </c>
      <c r="AC374" s="10" t="str">
        <f>IFERROR(__xludf.DUMMYFUNCTION("GOOGLETRANSLATE(K374,""my"", ""en"")"),"ေမာင်")</f>
        <v>ေမာင်</v>
      </c>
      <c r="AD374" s="10" t="str">
        <f>IFERROR(__xludf.DUMMYFUNCTION("GOOGLETRANSLATE(L374,""my"", ""en"")"),"Ethnic unity  working party ေရး")</f>
        <v>Ethnic unity  working party ေရး</v>
      </c>
      <c r="AE374" s="10" t="str">
        <f>IFERROR(__xludf.DUMMYFUNCTION("GOOGLETRANSLATE(M374,""my"", ""en"")"),"1612")</f>
        <v>1612</v>
      </c>
      <c r="AF374" s="10" t="str">
        <f>IFERROR(__xludf.DUMMYFUNCTION("GOOGLETRANSLATE(N374,""my"", ""en"")"),"929")</f>
        <v>929</v>
      </c>
      <c r="AG374" s="10" t="str">
        <f>IFERROR(__xludf.DUMMYFUNCTION("GOOGLETRANSLATE(O374,""my"", ""en"")"),"2541")</f>
        <v>2541</v>
      </c>
      <c r="AH374" s="10" t="str">
        <f>IFERROR(__xludf.DUMMYFUNCTION("GOOGLETRANSLATE(P374,""my"", ""en"")"),"2.72%")</f>
        <v>2.72%</v>
      </c>
    </row>
    <row r="375" ht="24.0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3" t="s">
        <v>2692</v>
      </c>
      <c r="L375" s="23" t="s">
        <v>2693</v>
      </c>
      <c r="M375" s="24" t="s">
        <v>2694</v>
      </c>
      <c r="N375" s="24" t="s">
        <v>2695</v>
      </c>
      <c r="O375" s="24" t="s">
        <v>2696</v>
      </c>
      <c r="P375" s="25" t="s">
        <v>2697</v>
      </c>
      <c r="AC375" s="10" t="str">
        <f>IFERROR(__xludf.DUMMYFUNCTION("GOOGLETRANSLATE(K375,""my"", ""en"")"),"portable")</f>
        <v>portable</v>
      </c>
      <c r="AD375" s="10" t="str">
        <f>IFERROR(__xludf.DUMMYFUNCTION("GOOGLETRANSLATE(L375,""my"", ""en"")"),"Local ေထာင် စုေ white  Game ေဆာင် Party")</f>
        <v>Local ေထာင် စုေ white  Game ေဆာင် Party</v>
      </c>
      <c r="AE375" s="10" t="str">
        <f>IFERROR(__xludf.DUMMYFUNCTION("GOOGLETRANSLATE(M375,""my"", ""en"")"),"1308")</f>
        <v>1308</v>
      </c>
      <c r="AF375" s="10" t="str">
        <f>IFERROR(__xludf.DUMMYFUNCTION("GOOGLETRANSLATE(N375,""my"", ""en"")"),"368")</f>
        <v>368</v>
      </c>
      <c r="AG375" s="10" t="str">
        <f>IFERROR(__xludf.DUMMYFUNCTION("GOOGLETRANSLATE(O375,""my"", ""en"")"),"1676")</f>
        <v>1676</v>
      </c>
      <c r="AH375" s="10" t="str">
        <f>IFERROR(__xludf.DUMMYFUNCTION("GOOGLETRANSLATE(P375,""my"", ""en"")"),"1.79%")</f>
        <v>1.79%</v>
      </c>
    </row>
    <row r="376" ht="21.75" customHeight="1">
      <c r="A376" s="17" t="s">
        <v>2698</v>
      </c>
      <c r="B376" s="17" t="s">
        <v>2699</v>
      </c>
      <c r="C376" s="18" t="s">
        <v>2700</v>
      </c>
      <c r="D376" s="18" t="s">
        <v>2701</v>
      </c>
      <c r="E376" s="18" t="s">
        <v>2702</v>
      </c>
      <c r="F376" s="18" t="s">
        <v>2703</v>
      </c>
      <c r="G376" s="18" t="s">
        <v>2704</v>
      </c>
      <c r="H376" s="18" t="s">
        <v>2705</v>
      </c>
      <c r="I376" s="18" t="s">
        <v>2706</v>
      </c>
      <c r="J376" s="18" t="s">
        <v>2707</v>
      </c>
      <c r="K376" s="27"/>
      <c r="L376" s="27"/>
      <c r="M376" s="18" t="s">
        <v>2708</v>
      </c>
      <c r="N376" s="18" t="s">
        <v>2709</v>
      </c>
      <c r="O376" s="18" t="s">
        <v>2710</v>
      </c>
      <c r="P376" s="27"/>
      <c r="S376" s="10" t="str">
        <f>IFERROR(__xludf.DUMMYFUNCTION("GOOGLETRANSLATE(A376,""my"", ""en"")"),"58")</f>
        <v>58</v>
      </c>
      <c r="T376" s="10" t="str">
        <f>IFERROR(__xludf.DUMMYFUNCTION("GOOGLETRANSLATE(B376,""my"", ""en"")"),"မဲဆ  No. (10)")</f>
        <v>မဲဆ  No. (10)</v>
      </c>
      <c r="U376" s="10" t="str">
        <f>IFERROR(__xludf.DUMMYFUNCTION("GOOGLETRANSLATE(C376,""my"", ""en"")"),"476786")</f>
        <v>476786</v>
      </c>
      <c r="V376" s="10" t="str">
        <f>IFERROR(__xludf.DUMMYFUNCTION("GOOGLETRANSLATE(D376,""my"", ""en"")"),"293590")</f>
        <v>293590</v>
      </c>
      <c r="W376" s="10" t="str">
        <f>IFERROR(__xludf.DUMMYFUNCTION("GOOGLETRANSLATE(E376,""my"", ""en"")"),"82150")</f>
        <v>82150</v>
      </c>
      <c r="X376" s="10" t="str">
        <f>IFERROR(__xludf.DUMMYFUNCTION("GOOGLETRANSLATE(F376,""my"", ""en"")"),"375740")</f>
        <v>375740</v>
      </c>
      <c r="Y376" s="10" t="str">
        <f>IFERROR(__xludf.DUMMYFUNCTION("GOOGLETRANSLATE(G376,""my"", ""en"")"),"78.81")</f>
        <v>78.81</v>
      </c>
      <c r="Z376" s="10" t="str">
        <f>IFERROR(__xludf.DUMMYFUNCTION("GOOGLETRANSLATE(H376,""my"", ""en"")"),"5878")</f>
        <v>5878</v>
      </c>
      <c r="AA376" s="10" t="str">
        <f>IFERROR(__xludf.DUMMYFUNCTION("GOOGLETRANSLATE(I376,""my"", ""en"")"),"584")</f>
        <v>584</v>
      </c>
      <c r="AB376" s="10" t="str">
        <f>IFERROR(__xludf.DUMMYFUNCTION("GOOGLETRANSLATE(J376,""my"", ""en"")"),"6462")</f>
        <v>6462</v>
      </c>
      <c r="AE376" s="10" t="str">
        <f>IFERROR(__xludf.DUMMYFUNCTION("GOOGLETRANSLATE(M376,""my"", ""en"")"),"287755")</f>
        <v>287755</v>
      </c>
      <c r="AF376" s="10" t="str">
        <f>IFERROR(__xludf.DUMMYFUNCTION("GOOGLETRANSLATE(N376,""my"", ""en"")"),"81523")</f>
        <v>81523</v>
      </c>
      <c r="AG376" s="10" t="str">
        <f>IFERROR(__xludf.DUMMYFUNCTION("GOOGLETRANSLATE(O376,""my"", ""en"")"),"369278")</f>
        <v>369278</v>
      </c>
    </row>
    <row r="377" ht="24.7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3" t="s">
        <v>2711</v>
      </c>
      <c r="L377" s="23" t="s">
        <v>2712</v>
      </c>
      <c r="M377" s="24" t="s">
        <v>2713</v>
      </c>
      <c r="N377" s="24" t="s">
        <v>2714</v>
      </c>
      <c r="O377" s="24" t="s">
        <v>2715</v>
      </c>
      <c r="P377" s="25" t="s">
        <v>2716</v>
      </c>
      <c r="AC377" s="10" t="str">
        <f>IFERROR(__xludf.DUMMYFUNCTION("GOOGLETRANSLATE(K377,""my"", ""en"")"),"ေဒါက် တာေ farther Lin")</f>
        <v>ေဒါက် တာေ farther Lin</v>
      </c>
      <c r="AD377" s="10" t="str">
        <f>IFERROR(__xludf.DUMMYFUNCTION("GOOGLETRANSLATE(L377,""my"", ""en"")")," Game Democracy group   Pop Party")</f>
        <v> Game Democracy group   Pop Party</v>
      </c>
      <c r="AE377" s="10" t="str">
        <f>IFERROR(__xludf.DUMMYFUNCTION("GOOGLETRANSLATE(M377,""my"", ""en"")"),"238121")</f>
        <v>238121</v>
      </c>
      <c r="AF377" s="10" t="str">
        <f>IFERROR(__xludf.DUMMYFUNCTION("GOOGLETRANSLATE(N377,""my"", ""en"")"),"64859")</f>
        <v>64859</v>
      </c>
      <c r="AG377" s="10" t="str">
        <f>IFERROR(__xludf.DUMMYFUNCTION("GOOGLETRANSLATE(O377,""my"", ""en"")"),"302980")</f>
        <v>302980</v>
      </c>
      <c r="AH377" s="10" t="str">
        <f>IFERROR(__xludf.DUMMYFUNCTION("GOOGLETRANSLATE(P377,""my"", ""en"")"),"82.05%")</f>
        <v>82.05%</v>
      </c>
    </row>
    <row r="378" ht="24.7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3" t="s">
        <v>2717</v>
      </c>
      <c r="L378" s="23" t="s">
        <v>2718</v>
      </c>
      <c r="M378" s="24" t="s">
        <v>2719</v>
      </c>
      <c r="N378" s="24" t="s">
        <v>2720</v>
      </c>
      <c r="O378" s="24" t="s">
        <v>2721</v>
      </c>
      <c r="P378" s="25" t="s">
        <v>2722</v>
      </c>
      <c r="AC378" s="10" t="str">
        <f>IFERROR(__xludf.DUMMYFUNCTION("GOOGLETRANSLATE(K378,""my"", ""en"")"),"U Saw Maung")</f>
        <v>U Saw Maung</v>
      </c>
      <c r="AD378" s="10" t="str">
        <f>IFERROR(__xludf.DUMMYFUNCTION("GOOGLETRANSLATE(L378,""my"", ""en"")"),"Local ေထာင် soap-stone strong ေရး  under development  Phil  ေရး Party")</f>
        <v>Local ေထာင် soap-stone strong ေရး  under development  Phil  ေရး Party</v>
      </c>
      <c r="AE378" s="10" t="str">
        <f>IFERROR(__xludf.DUMMYFUNCTION("GOOGLETRANSLATE(M378,""my"", ""en"")"),"47884")</f>
        <v>47884</v>
      </c>
      <c r="AF378" s="10" t="str">
        <f>IFERROR(__xludf.DUMMYFUNCTION("GOOGLETRANSLATE(N378,""my"", ""en"")"),"15719")</f>
        <v>15719</v>
      </c>
      <c r="AG378" s="10" t="str">
        <f>IFERROR(__xludf.DUMMYFUNCTION("GOOGLETRANSLATE(O378,""my"", ""en"")"),"63603")</f>
        <v>63603</v>
      </c>
      <c r="AH378" s="10" t="str">
        <f>IFERROR(__xludf.DUMMYFUNCTION("GOOGLETRANSLATE(P378,""my"", ""en"")"),"17.22%")</f>
        <v>17.22%</v>
      </c>
    </row>
    <row r="379" ht="24.0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6" t="s">
        <v>2723</v>
      </c>
      <c r="L379" s="36" t="s">
        <v>2724</v>
      </c>
      <c r="M379" s="37" t="s">
        <v>2725</v>
      </c>
      <c r="N379" s="37" t="s">
        <v>2726</v>
      </c>
      <c r="O379" s="37" t="s">
        <v>2727</v>
      </c>
      <c r="P379" s="38" t="s">
        <v>2728</v>
      </c>
      <c r="AC379" s="10" t="str">
        <f>IFERROR(__xludf.DUMMYFUNCTION("GOOGLETRANSLATE(K379,""my"", ""en"")"),"ေအာင်")</f>
        <v>ေအာင်</v>
      </c>
      <c r="AD379" s="10" t="str">
        <f>IFERROR(__xludf.DUMMYFUNCTION("GOOGLETRANSLATE(L379,""my"", ""en"")"),"Local ေထာင် စုေ white  Game ေဆာင် Party")</f>
        <v>Local ေထာင် စုေ white  Game ေဆာင် Party</v>
      </c>
      <c r="AE379" s="10" t="str">
        <f>IFERROR(__xludf.DUMMYFUNCTION("GOOGLETRANSLATE(M379,""my"", ""en"")"),"1750")</f>
        <v>1750</v>
      </c>
      <c r="AF379" s="10" t="str">
        <f>IFERROR(__xludf.DUMMYFUNCTION("GOOGLETRANSLATE(N379,""my"", ""en"")"),"945")</f>
        <v>945</v>
      </c>
      <c r="AG379" s="10" t="str">
        <f>IFERROR(__xludf.DUMMYFUNCTION("GOOGLETRANSLATE(O379,""my"", ""en"")"),"2695")</f>
        <v>2695</v>
      </c>
      <c r="AH379" s="10" t="str">
        <f>IFERROR(__xludf.DUMMYFUNCTION("GOOGLETRANSLATE(P379,""my"", ""en"")"),"0.73%")</f>
        <v>0.73%</v>
      </c>
    </row>
    <row r="380" ht="22.5" customHeight="1">
      <c r="A380" s="17" t="s">
        <v>2729</v>
      </c>
      <c r="B380" s="17" t="s">
        <v>2730</v>
      </c>
      <c r="C380" s="18" t="s">
        <v>2731</v>
      </c>
      <c r="D380" s="18" t="s">
        <v>2732</v>
      </c>
      <c r="E380" s="18" t="s">
        <v>2733</v>
      </c>
      <c r="F380" s="18" t="s">
        <v>2734</v>
      </c>
      <c r="G380" s="18" t="s">
        <v>2735</v>
      </c>
      <c r="H380" s="18" t="s">
        <v>2736</v>
      </c>
      <c r="I380" s="18" t="s">
        <v>2737</v>
      </c>
      <c r="J380" s="18" t="s">
        <v>2738</v>
      </c>
      <c r="K380" s="27"/>
      <c r="L380" s="27"/>
      <c r="M380" s="18" t="s">
        <v>2739</v>
      </c>
      <c r="N380" s="18" t="s">
        <v>2740</v>
      </c>
      <c r="O380" s="18" t="s">
        <v>2741</v>
      </c>
      <c r="P380" s="27"/>
      <c r="S380" s="10" t="str">
        <f>IFERROR(__xludf.DUMMYFUNCTION("GOOGLETRANSLATE(A380,""my"", ""en"")"),"59")</f>
        <v>59</v>
      </c>
      <c r="T380" s="10" t="str">
        <f>IFERROR(__xludf.DUMMYFUNCTION("GOOGLETRANSLATE(B380,""my"", ""en"")"),"မဲဆ  No. (11)")</f>
        <v>မဲဆ  No. (11)</v>
      </c>
      <c r="U380" s="10" t="str">
        <f>IFERROR(__xludf.DUMMYFUNCTION("GOOGLETRANSLATE(C380,""my"", ""en"")"),"895442")</f>
        <v>895442</v>
      </c>
      <c r="V380" s="10" t="str">
        <f>IFERROR(__xludf.DUMMYFUNCTION("GOOGLETRANSLATE(D380,""my"", ""en"")"),"558064")</f>
        <v>558064</v>
      </c>
      <c r="W380" s="10" t="str">
        <f>IFERROR(__xludf.DUMMYFUNCTION("GOOGLETRANSLATE(E380,""my"", ""en"")"),"165339")</f>
        <v>165339</v>
      </c>
      <c r="X380" s="10" t="str">
        <f>IFERROR(__xludf.DUMMYFUNCTION("GOOGLETRANSLATE(F380,""my"", ""en"")"),"723403")</f>
        <v>723403</v>
      </c>
      <c r="Y380" s="10" t="str">
        <f>IFERROR(__xludf.DUMMYFUNCTION("GOOGLETRANSLATE(G380,""my"", ""en"")"),"80.79")</f>
        <v>80.79</v>
      </c>
      <c r="Z380" s="10" t="str">
        <f>IFERROR(__xludf.DUMMYFUNCTION("GOOGLETRANSLATE(H380,""my"", ""en"")"),"11828")</f>
        <v>11828</v>
      </c>
      <c r="AA380" s="10" t="str">
        <f>IFERROR(__xludf.DUMMYFUNCTION("GOOGLETRANSLATE(I380,""my"", ""en"")"),"153")</f>
        <v>153</v>
      </c>
      <c r="AB380" s="10" t="str">
        <f>IFERROR(__xludf.DUMMYFUNCTION("GOOGLETRANSLATE(J380,""my"", ""en"")"),"11981")</f>
        <v>11981</v>
      </c>
      <c r="AE380" s="10" t="str">
        <f>IFERROR(__xludf.DUMMYFUNCTION("GOOGLETRANSLATE(M380,""my"", ""en"")"),"546177")</f>
        <v>546177</v>
      </c>
      <c r="AF380" s="10" t="str">
        <f>IFERROR(__xludf.DUMMYFUNCTION("GOOGLETRANSLATE(N380,""my"", ""en"")"),"165245")</f>
        <v>165245</v>
      </c>
      <c r="AG380" s="10" t="str">
        <f>IFERROR(__xludf.DUMMYFUNCTION("GOOGLETRANSLATE(O380,""my"", ""en"")"),"711422")</f>
        <v>711422</v>
      </c>
    </row>
    <row r="381" ht="21.7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3" t="s">
        <v>2742</v>
      </c>
      <c r="L381" s="23" t="s">
        <v>2743</v>
      </c>
      <c r="M381" s="24" t="s">
        <v>2744</v>
      </c>
      <c r="N381" s="24" t="s">
        <v>2745</v>
      </c>
      <c r="O381" s="24" t="s">
        <v>2746</v>
      </c>
      <c r="P381" s="25" t="s">
        <v>2747</v>
      </c>
      <c r="AC381" s="10" t="str">
        <f>IFERROR(__xludf.DUMMYFUNCTION("GOOGLETRANSLATE(K381,""my"", ""en"")"),"ေဒ   ေထွး")</f>
        <v>ေဒ   ေထွး</v>
      </c>
      <c r="AD381" s="10" t="str">
        <f>IFERROR(__xludf.DUMMYFUNCTION("GOOGLETRANSLATE(L381,""my"", ""en"")")," Game Democracy group   Pop Party")</f>
        <v> Game Democracy group   Pop Party</v>
      </c>
      <c r="AE381" s="10" t="str">
        <f>IFERROR(__xludf.DUMMYFUNCTION("GOOGLETRANSLATE(M381,""my"", ""en"")"),"455059")</f>
        <v>455059</v>
      </c>
      <c r="AF381" s="10" t="str">
        <f>IFERROR(__xludf.DUMMYFUNCTION("GOOGLETRANSLATE(N381,""my"", ""en"")"),"133501")</f>
        <v>133501</v>
      </c>
      <c r="AG381" s="10" t="str">
        <f>IFERROR(__xludf.DUMMYFUNCTION("GOOGLETRANSLATE(O381,""my"", ""en"")"),"588560")</f>
        <v>588560</v>
      </c>
      <c r="AH381" s="10" t="str">
        <f>IFERROR(__xludf.DUMMYFUNCTION("GOOGLETRANSLATE(P381,""my"", ""en"")"),"82.73%")</f>
        <v>82.73%</v>
      </c>
    </row>
    <row r="382" ht="22.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3" t="s">
        <v>2748</v>
      </c>
      <c r="L382" s="23" t="s">
        <v>2749</v>
      </c>
      <c r="M382" s="24" t="s">
        <v>2750</v>
      </c>
      <c r="N382" s="24" t="s">
        <v>2751</v>
      </c>
      <c r="O382" s="24" t="s">
        <v>2752</v>
      </c>
      <c r="P382" s="25" t="s">
        <v>2753</v>
      </c>
      <c r="AC382" s="10" t="str">
        <f>IFERROR(__xludf.DUMMYFUNCTION("GOOGLETRANSLATE(K382,""my"", ""en"")"),"March  Game  Union")</f>
        <v>March  Game  Union</v>
      </c>
      <c r="AD382" s="10" t="str">
        <f>IFERROR(__xludf.DUMMYFUNCTION("GOOGLETRANSLATE(L382,""my"", ""en"")"),"Local ေထာင် soap-stone strong ေရး  under development  Phil  ေရး Party")</f>
        <v>Local ေထာင် soap-stone strong ေရး  under development  Phil  ေရး Party</v>
      </c>
      <c r="AE382" s="10" t="str">
        <f>IFERROR(__xludf.DUMMYFUNCTION("GOOGLETRANSLATE(M382,""my"", ""en"")"),"86043")</f>
        <v>86043</v>
      </c>
      <c r="AF382" s="10" t="str">
        <f>IFERROR(__xludf.DUMMYFUNCTION("GOOGLETRANSLATE(N382,""my"", ""en"")"),"29632")</f>
        <v>29632</v>
      </c>
      <c r="AG382" s="10" t="str">
        <f>IFERROR(__xludf.DUMMYFUNCTION("GOOGLETRANSLATE(O382,""my"", ""en"")"),"115675")</f>
        <v>115675</v>
      </c>
      <c r="AH382" s="10" t="str">
        <f>IFERROR(__xludf.DUMMYFUNCTION("GOOGLETRANSLATE(P382,""my"", ""en"")"),"16.26%")</f>
        <v>16.26%</v>
      </c>
    </row>
    <row r="383" ht="21.7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3" t="s">
        <v>2754</v>
      </c>
      <c r="L383" s="23" t="s">
        <v>2755</v>
      </c>
      <c r="M383" s="24" t="s">
        <v>2756</v>
      </c>
      <c r="N383" s="24" t="s">
        <v>2757</v>
      </c>
      <c r="O383" s="24" t="s">
        <v>2758</v>
      </c>
      <c r="P383" s="25" t="s">
        <v>2759</v>
      </c>
      <c r="AC383" s="10" t="str">
        <f>IFERROR(__xludf.DUMMYFUNCTION("GOOGLETRANSLATE(K383,""my"", ""en"")"),"Cold level data level  ")</f>
        <v>Cold level data level  </v>
      </c>
      <c r="AD383" s="10" t="str">
        <f>IFERROR(__xludf.DUMMYFUNCTION("GOOGLETRANSLATE(L383,""my"", ""en"")"),"Local ေထာင် စုေ white  Game ေဆာင် Party")</f>
        <v>Local ေထာင် စုေ white  Game ေဆာင် Party</v>
      </c>
      <c r="AE383" s="10" t="str">
        <f>IFERROR(__xludf.DUMMYFUNCTION("GOOGLETRANSLATE(M383,""my"", ""en"")"),"5075")</f>
        <v>5075</v>
      </c>
      <c r="AF383" s="10" t="str">
        <f>IFERROR(__xludf.DUMMYFUNCTION("GOOGLETRANSLATE(N383,""my"", ""en"")"),"2112")</f>
        <v>2112</v>
      </c>
      <c r="AG383" s="10" t="str">
        <f>IFERROR(__xludf.DUMMYFUNCTION("GOOGLETRANSLATE(O383,""my"", ""en"")"),"7187")</f>
        <v>7187</v>
      </c>
      <c r="AH383" s="10" t="str">
        <f>IFERROR(__xludf.DUMMYFUNCTION("GOOGLETRANSLATE(P383,""my"", ""en"")"),"1.01%")</f>
        <v>1.01%</v>
      </c>
    </row>
    <row r="384" ht="21.75" customHeight="1">
      <c r="A384" s="17" t="s">
        <v>2760</v>
      </c>
      <c r="B384" s="17" t="s">
        <v>2761</v>
      </c>
      <c r="C384" s="18" t="s">
        <v>2762</v>
      </c>
      <c r="D384" s="18" t="s">
        <v>2763</v>
      </c>
      <c r="E384" s="18" t="s">
        <v>2764</v>
      </c>
      <c r="F384" s="18" t="s">
        <v>2765</v>
      </c>
      <c r="G384" s="18" t="s">
        <v>2766</v>
      </c>
      <c r="H384" s="18" t="s">
        <v>2767</v>
      </c>
      <c r="I384" s="18" t="s">
        <v>2768</v>
      </c>
      <c r="J384" s="18" t="s">
        <v>2769</v>
      </c>
      <c r="K384" s="27"/>
      <c r="L384" s="27"/>
      <c r="M384" s="18" t="s">
        <v>2770</v>
      </c>
      <c r="N384" s="18" t="s">
        <v>2771</v>
      </c>
      <c r="O384" s="18" t="s">
        <v>2772</v>
      </c>
      <c r="P384" s="27"/>
      <c r="S384" s="10" t="str">
        <f>IFERROR(__xludf.DUMMYFUNCTION("GOOGLETRANSLATE(A384,""my"", ""en"")"),"60")</f>
        <v>60</v>
      </c>
      <c r="T384" s="10" t="str">
        <f>IFERROR(__xludf.DUMMYFUNCTION("GOOGLETRANSLATE(B384,""my"", ""en"")"),"မဲဆ  No. (12)")</f>
        <v>မဲဆ  No. (12)</v>
      </c>
      <c r="U384" s="10" t="str">
        <f>IFERROR(__xludf.DUMMYFUNCTION("GOOGLETRANSLATE(C384,""my"", ""en"")"),"76376")</f>
        <v>76376</v>
      </c>
      <c r="V384" s="10" t="str">
        <f>IFERROR(__xludf.DUMMYFUNCTION("GOOGLETRANSLATE(D384,""my"", ""en"")"),"49757")</f>
        <v>49757</v>
      </c>
      <c r="W384" s="10" t="str">
        <f>IFERROR(__xludf.DUMMYFUNCTION("GOOGLETRANSLATE(E384,""my"", ""en"")"),"13450")</f>
        <v>13450</v>
      </c>
      <c r="X384" s="10" t="str">
        <f>IFERROR(__xludf.DUMMYFUNCTION("GOOGLETRANSLATE(F384,""my"", ""en"")"),"63207")</f>
        <v>63207</v>
      </c>
      <c r="Y384" s="10" t="str">
        <f>IFERROR(__xludf.DUMMYFUNCTION("GOOGLETRANSLATE(G384,""my"", ""en"")"),"82.76")</f>
        <v>82.76</v>
      </c>
      <c r="Z384" s="10" t="str">
        <f>IFERROR(__xludf.DUMMYFUNCTION("GOOGLETRANSLATE(H384,""my"", ""en"")"),"2743")</f>
        <v>2743</v>
      </c>
      <c r="AA384" s="10" t="str">
        <f>IFERROR(__xludf.DUMMYFUNCTION("GOOGLETRANSLATE(I384,""my"", ""en"")"),"65")</f>
        <v>65</v>
      </c>
      <c r="AB384" s="10" t="str">
        <f>IFERROR(__xludf.DUMMYFUNCTION("GOOGLETRANSLATE(J384,""my"", ""en"")"),"2808")</f>
        <v>2808</v>
      </c>
      <c r="AE384" s="10" t="str">
        <f>IFERROR(__xludf.DUMMYFUNCTION("GOOGLETRANSLATE(M384,""my"", ""en"")"),"47015")</f>
        <v>47015</v>
      </c>
      <c r="AF384" s="10" t="str">
        <f>IFERROR(__xludf.DUMMYFUNCTION("GOOGLETRANSLATE(N384,""my"", ""en"")"),"13384")</f>
        <v>13384</v>
      </c>
      <c r="AG384" s="10" t="str">
        <f>IFERROR(__xludf.DUMMYFUNCTION("GOOGLETRANSLATE(O384,""my"", ""en"")"),"60399")</f>
        <v>60399</v>
      </c>
    </row>
    <row r="385" ht="22.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3" t="s">
        <v>2773</v>
      </c>
      <c r="L385" s="23" t="s">
        <v>2774</v>
      </c>
      <c r="M385" s="24" t="s">
        <v>2775</v>
      </c>
      <c r="N385" s="24" t="s">
        <v>2776</v>
      </c>
      <c r="O385" s="24" t="s">
        <v>2777</v>
      </c>
      <c r="P385" s="25" t="s">
        <v>2778</v>
      </c>
      <c r="AC385" s="10" t="str">
        <f>IFERROR(__xludf.DUMMYFUNCTION("GOOGLETRANSLATE(K385,""my"", ""en"")")," Cashier")</f>
        <v> Cashier</v>
      </c>
      <c r="AD385" s="10" t="str">
        <f>IFERROR(__xludf.DUMMYFUNCTION("GOOGLETRANSLATE(L385,""my"", ""en"")")," Game Democracy group   Pop Party")</f>
        <v> Game Democracy group   Pop Party</v>
      </c>
      <c r="AE385" s="10" t="str">
        <f>IFERROR(__xludf.DUMMYFUNCTION("GOOGLETRANSLATE(M385,""my"", ""en"")"),"18619")</f>
        <v>18619</v>
      </c>
      <c r="AF385" s="10" t="str">
        <f>IFERROR(__xludf.DUMMYFUNCTION("GOOGLETRANSLATE(N385,""my"", ""en"")"),"5052")</f>
        <v>5052</v>
      </c>
      <c r="AG385" s="10" t="str">
        <f>IFERROR(__xludf.DUMMYFUNCTION("GOOGLETRANSLATE(O385,""my"", ""en"")"),"23671")</f>
        <v>23671</v>
      </c>
      <c r="AH385" s="10" t="str">
        <f>IFERROR(__xludf.DUMMYFUNCTION("GOOGLETRANSLATE(P385,""my"", ""en"")"),"39.19%")</f>
        <v>39.19%</v>
      </c>
    </row>
    <row r="386" ht="21.7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3" t="s">
        <v>2779</v>
      </c>
      <c r="L386" s="23" t="s">
        <v>2780</v>
      </c>
      <c r="M386" s="24" t="s">
        <v>2781</v>
      </c>
      <c r="N386" s="24" t="s">
        <v>2782</v>
      </c>
      <c r="O386" s="24" t="s">
        <v>2783</v>
      </c>
      <c r="P386" s="25" t="s">
        <v>2784</v>
      </c>
      <c r="AC386" s="10" t="str">
        <f>IFERROR(__xludf.DUMMYFUNCTION("GOOGLETRANSLATE(K386,""my"", ""en"")"),"In practice Wan")</f>
        <v>In practice Wan</v>
      </c>
      <c r="AD386" s="10" t="str">
        <f>IFERROR(__xludf.DUMMYFUNCTION("GOOGLETRANSLATE(L386,""my"", ""en"")"),"Local ေထာင် soap-stone strong ေရး  under development  Phil  ေရး Party")</f>
        <v>Local ေထာင် soap-stone strong ေရး  under development  Phil  ေရး Party</v>
      </c>
      <c r="AE386" s="10" t="str">
        <f>IFERROR(__xludf.DUMMYFUNCTION("GOOGLETRANSLATE(M386,""my"", ""en"")"),"15847")</f>
        <v>15847</v>
      </c>
      <c r="AF386" s="10" t="str">
        <f>IFERROR(__xludf.DUMMYFUNCTION("GOOGLETRANSLATE(N386,""my"", ""en"")"),"5299")</f>
        <v>5299</v>
      </c>
      <c r="AG386" s="10" t="str">
        <f>IFERROR(__xludf.DUMMYFUNCTION("GOOGLETRANSLATE(O386,""my"", ""en"")"),"21146")</f>
        <v>21146</v>
      </c>
      <c r="AH386" s="10" t="str">
        <f>IFERROR(__xludf.DUMMYFUNCTION("GOOGLETRANSLATE(P386,""my"", ""en"")"),"35.01%")</f>
        <v>35.01%</v>
      </c>
    </row>
    <row r="387" ht="22.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3" t="s">
        <v>2785</v>
      </c>
      <c r="L387" s="23" t="s">
        <v>2786</v>
      </c>
      <c r="M387" s="24" t="s">
        <v>2787</v>
      </c>
      <c r="N387" s="24" t="s">
        <v>2788</v>
      </c>
      <c r="O387" s="24" t="s">
        <v>2789</v>
      </c>
      <c r="P387" s="25" t="s">
        <v>2790</v>
      </c>
      <c r="AC387" s="10" t="str">
        <f>IFERROR(__xludf.DUMMYFUNCTION("GOOGLETRANSLATE(K387,""my"", ""en"")"),"An အီေ ")</f>
        <v>An အီေ </v>
      </c>
      <c r="AD387" s="10" t="str">
        <f>IFERROR(__xludf.DUMMYFUNCTION("GOOGLETRANSLATE(L387,""my"", ""en"")"),"Naga  Game Party")</f>
        <v>Naga  Game Party</v>
      </c>
      <c r="AE387" s="10" t="str">
        <f>IFERROR(__xludf.DUMMYFUNCTION("GOOGLETRANSLATE(M387,""my"", ""en"")"),"11117")</f>
        <v>11117</v>
      </c>
      <c r="AF387" s="10" t="str">
        <f>IFERROR(__xludf.DUMMYFUNCTION("GOOGLETRANSLATE(N387,""my"", ""en"")"),"2507")</f>
        <v>2507</v>
      </c>
      <c r="AG387" s="10" t="str">
        <f>IFERROR(__xludf.DUMMYFUNCTION("GOOGLETRANSLATE(O387,""my"", ""en"")"),"13624")</f>
        <v>13624</v>
      </c>
      <c r="AH387" s="10" t="str">
        <f>IFERROR(__xludf.DUMMYFUNCTION("GOOGLETRANSLATE(P387,""my"", ""en"")"),"22.56%")</f>
        <v>22.56%</v>
      </c>
    </row>
    <row r="388" ht="21.7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3" t="s">
        <v>2791</v>
      </c>
      <c r="L388" s="23" t="s">
        <v>2792</v>
      </c>
      <c r="M388" s="24" t="s">
        <v>2793</v>
      </c>
      <c r="N388" s="24" t="s">
        <v>2794</v>
      </c>
      <c r="O388" s="24" t="s">
        <v>2795</v>
      </c>
      <c r="P388" s="25" t="s">
        <v>2796</v>
      </c>
      <c r="AC388" s="10" t="str">
        <f>IFERROR(__xludf.DUMMYFUNCTION("GOOGLETRANSLATE(K388,""my"", ""en"")"),"ေစာ Tun")</f>
        <v>ေစာ Tun</v>
      </c>
      <c r="AD388" s="10" t="str">
        <f>IFERROR(__xludf.DUMMYFUNCTION("GOOGLETRANSLATE(L388,""my"", ""en"")"),"Local ေထာင် စုေ white  Game ေဆာင် Party")</f>
        <v>Local ေထာင် စုေ white  Game ေဆာင် Party</v>
      </c>
      <c r="AE388" s="10" t="str">
        <f>IFERROR(__xludf.DUMMYFUNCTION("GOOGLETRANSLATE(M388,""my"", ""en"")"),"1432")</f>
        <v>1432</v>
      </c>
      <c r="AF388" s="10" t="str">
        <f>IFERROR(__xludf.DUMMYFUNCTION("GOOGLETRANSLATE(N388,""my"", ""en"")"),"526")</f>
        <v>526</v>
      </c>
      <c r="AG388" s="10" t="str">
        <f>IFERROR(__xludf.DUMMYFUNCTION("GOOGLETRANSLATE(O388,""my"", ""en"")"),"1958")</f>
        <v>1958</v>
      </c>
      <c r="AH388" s="10" t="str">
        <f>IFERROR(__xludf.DUMMYFUNCTION("GOOGLETRANSLATE(P388,""my"", ""en"")"),"3.24%")</f>
        <v>3.24%</v>
      </c>
    </row>
    <row r="389" ht="24.0" customHeight="1">
      <c r="A389" s="14"/>
      <c r="B389" s="15" t="s">
        <v>2797</v>
      </c>
      <c r="C389" s="16" t="s">
        <v>2798</v>
      </c>
      <c r="D389" s="16" t="s">
        <v>2799</v>
      </c>
      <c r="E389" s="16" t="s">
        <v>2800</v>
      </c>
      <c r="F389" s="16" t="s">
        <v>2801</v>
      </c>
      <c r="G389" s="16" t="s">
        <v>2802</v>
      </c>
      <c r="H389" s="16" t="s">
        <v>2803</v>
      </c>
      <c r="I389" s="16" t="s">
        <v>2804</v>
      </c>
      <c r="J389" s="16" t="s">
        <v>2805</v>
      </c>
      <c r="K389" s="14"/>
      <c r="L389" s="14"/>
      <c r="M389" s="16" t="s">
        <v>2806</v>
      </c>
      <c r="N389" s="16" t="s">
        <v>2807</v>
      </c>
      <c r="O389" s="16" t="s">
        <v>2808</v>
      </c>
      <c r="P389" s="14"/>
      <c r="T389" s="10" t="str">
        <f>IFERROR(__xludf.DUMMYFUNCTION("GOOGLETRANSLATE(B389,""my"", ""en"")")," several key areas ")</f>
        <v> several key areas </v>
      </c>
      <c r="U389" s="10" t="str">
        <f>IFERROR(__xludf.DUMMYFUNCTION("GOOGLETRANSLATE(C389,""my"", ""en"")"),"1191890")</f>
        <v>1191890</v>
      </c>
      <c r="V389" s="10" t="str">
        <f>IFERROR(__xludf.DUMMYFUNCTION("GOOGLETRANSLATE(D389,""my"", ""en"")"),"622811")</f>
        <v>622811</v>
      </c>
      <c r="W389" s="10" t="str">
        <f>IFERROR(__xludf.DUMMYFUNCTION("GOOGLETRANSLATE(E389,""my"", ""en"")"),"167516")</f>
        <v>167516</v>
      </c>
      <c r="X389" s="10" t="str">
        <f>IFERROR(__xludf.DUMMYFUNCTION("GOOGLETRANSLATE(F389,""my"", ""en"")"),"790327")</f>
        <v>790327</v>
      </c>
      <c r="Y389" s="10" t="str">
        <f>IFERROR(__xludf.DUMMYFUNCTION("GOOGLETRANSLATE(G389,""my"", ""en"")"),"66.31")</f>
        <v>66.31</v>
      </c>
      <c r="Z389" s="10" t="str">
        <f>IFERROR(__xludf.DUMMYFUNCTION("GOOGLETRANSLATE(H389,""my"", ""en"")"),"24419")</f>
        <v>24419</v>
      </c>
      <c r="AA389" s="10" t="str">
        <f>IFERROR(__xludf.DUMMYFUNCTION("GOOGLETRANSLATE(I389,""my"", ""en"")"),"807")</f>
        <v>807</v>
      </c>
      <c r="AB389" s="10" t="str">
        <f>IFERROR(__xludf.DUMMYFUNCTION("GOOGLETRANSLATE(J389,""my"", ""en"")"),"25226")</f>
        <v>25226</v>
      </c>
      <c r="AE389" s="10" t="str">
        <f>IFERROR(__xludf.DUMMYFUNCTION("GOOGLETRANSLATE(M389,""my"", ""en"")"),"601045")</f>
        <v>601045</v>
      </c>
      <c r="AF389" s="10" t="str">
        <f>IFERROR(__xludf.DUMMYFUNCTION("GOOGLETRANSLATE(N389,""my"", ""en"")"),"164056")</f>
        <v>164056</v>
      </c>
      <c r="AG389" s="10" t="str">
        <f>IFERROR(__xludf.DUMMYFUNCTION("GOOGLETRANSLATE(O389,""my"", ""en"")"),"765101")</f>
        <v>765101</v>
      </c>
    </row>
    <row r="390" ht="24.0" customHeight="1">
      <c r="A390" s="17" t="s">
        <v>2809</v>
      </c>
      <c r="B390" s="17" t="s">
        <v>2810</v>
      </c>
      <c r="C390" s="18" t="s">
        <v>2811</v>
      </c>
      <c r="D390" s="18" t="s">
        <v>2812</v>
      </c>
      <c r="E390" s="18" t="s">
        <v>2813</v>
      </c>
      <c r="F390" s="18" t="s">
        <v>2814</v>
      </c>
      <c r="G390" s="18" t="s">
        <v>2815</v>
      </c>
      <c r="H390" s="18" t="s">
        <v>2816</v>
      </c>
      <c r="I390" s="18" t="s">
        <v>2817</v>
      </c>
      <c r="J390" s="18" t="s">
        <v>2818</v>
      </c>
      <c r="K390" s="27"/>
      <c r="L390" s="27"/>
      <c r="M390" s="18" t="s">
        <v>2819</v>
      </c>
      <c r="N390" s="18" t="s">
        <v>2820</v>
      </c>
      <c r="O390" s="18" t="s">
        <v>2821</v>
      </c>
      <c r="P390" s="27"/>
      <c r="S390" s="10" t="str">
        <f>IFERROR(__xludf.DUMMYFUNCTION("GOOGLETRANSLATE(A390,""my"", ""en"")"),"61")</f>
        <v>61</v>
      </c>
      <c r="T390" s="10" t="str">
        <f>IFERROR(__xludf.DUMMYFUNCTION("GOOGLETRANSLATE(B390,""my"", ""en"")"),"မဲဆ  No. (1)")</f>
        <v>မဲဆ  No. (1)</v>
      </c>
      <c r="U390" s="10" t="str">
        <f>IFERROR(__xludf.DUMMYFUNCTION("GOOGLETRANSLATE(C390,""my"", ""en"")"),"112589")</f>
        <v>112589</v>
      </c>
      <c r="V390" s="10" t="str">
        <f>IFERROR(__xludf.DUMMYFUNCTION("GOOGLETRANSLATE(D390,""my"", ""en"")"),"51283")</f>
        <v>51283</v>
      </c>
      <c r="W390" s="10" t="str">
        <f>IFERROR(__xludf.DUMMYFUNCTION("GOOGLETRANSLATE(E390,""my"", ""en"")"),"13436")</f>
        <v>13436</v>
      </c>
      <c r="X390" s="10" t="str">
        <f>IFERROR(__xludf.DUMMYFUNCTION("GOOGLETRANSLATE(F390,""my"", ""en"")"),"64719")</f>
        <v>64719</v>
      </c>
      <c r="Y390" s="10" t="str">
        <f>IFERROR(__xludf.DUMMYFUNCTION("GOOGLETRANSLATE(G390,""my"", ""en"")"),"57.48")</f>
        <v>57.48</v>
      </c>
      <c r="Z390" s="10" t="str">
        <f>IFERROR(__xludf.DUMMYFUNCTION("GOOGLETRANSLATE(H390,""my"", ""en"")"),"2035")</f>
        <v>2035</v>
      </c>
      <c r="AA390" s="10" t="str">
        <f>IFERROR(__xludf.DUMMYFUNCTION("GOOGLETRANSLATE(I390,""my"", ""en"")"),"24")</f>
        <v>24</v>
      </c>
      <c r="AB390" s="10" t="str">
        <f>IFERROR(__xludf.DUMMYFUNCTION("GOOGLETRANSLATE(J390,""my"", ""en"")"),"2059")</f>
        <v>2059</v>
      </c>
      <c r="AE390" s="10" t="str">
        <f>IFERROR(__xludf.DUMMYFUNCTION("GOOGLETRANSLATE(M390,""my"", ""en"")"),"49224")</f>
        <v>49224</v>
      </c>
      <c r="AF390" s="10" t="str">
        <f>IFERROR(__xludf.DUMMYFUNCTION("GOOGLETRANSLATE(N390,""my"", ""en"")"),"13436")</f>
        <v>13436</v>
      </c>
      <c r="AG390" s="10" t="str">
        <f>IFERROR(__xludf.DUMMYFUNCTION("GOOGLETRANSLATE(O390,""my"", ""en"")"),"62660")</f>
        <v>62660</v>
      </c>
    </row>
    <row r="391" ht="24.0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3" t="s">
        <v>2822</v>
      </c>
      <c r="L391" s="23" t="s">
        <v>2823</v>
      </c>
      <c r="M391" s="24" t="s">
        <v>2824</v>
      </c>
      <c r="N391" s="24" t="s">
        <v>2825</v>
      </c>
      <c r="O391" s="24" t="s">
        <v>2826</v>
      </c>
      <c r="P391" s="25" t="s">
        <v>2827</v>
      </c>
      <c r="AC391" s="10" t="str">
        <f>IFERROR(__xludf.DUMMYFUNCTION("GOOGLETRANSLATE(K391,""my"", ""en"")"),"ေဒါက် Win Htein")</f>
        <v>ေဒါက် Win Htein</v>
      </c>
      <c r="AD391" s="10" t="str">
        <f>IFERROR(__xludf.DUMMYFUNCTION("GOOGLETRANSLATE(L391,""my"", ""en"")")," Game Democracy group   Pop Party")</f>
        <v> Game Democracy group   Pop Party</v>
      </c>
      <c r="AE391" s="10" t="str">
        <f>IFERROR(__xludf.DUMMYFUNCTION("GOOGLETRANSLATE(M391,""my"", ""en"")"),"37213")</f>
        <v>37213</v>
      </c>
      <c r="AF391" s="10" t="str">
        <f>IFERROR(__xludf.DUMMYFUNCTION("GOOGLETRANSLATE(N391,""my"", ""en"")"),"8164")</f>
        <v>8164</v>
      </c>
      <c r="AG391" s="10" t="str">
        <f>IFERROR(__xludf.DUMMYFUNCTION("GOOGLETRANSLATE(O391,""my"", ""en"")"),"45377")</f>
        <v>45377</v>
      </c>
      <c r="AH391" s="10" t="str">
        <f>IFERROR(__xludf.DUMMYFUNCTION("GOOGLETRANSLATE(P391,""my"", ""en"")"),"72.42%")</f>
        <v>72.42%</v>
      </c>
    </row>
    <row r="392" ht="24.7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3" t="s">
        <v>2828</v>
      </c>
      <c r="L392" s="23" t="s">
        <v>2829</v>
      </c>
      <c r="M392" s="24" t="s">
        <v>2830</v>
      </c>
      <c r="N392" s="24" t="s">
        <v>2831</v>
      </c>
      <c r="O392" s="24" t="s">
        <v>2832</v>
      </c>
      <c r="P392" s="25" t="s">
        <v>2833</v>
      </c>
      <c r="AC392" s="10" t="str">
        <f>IFERROR(__xludf.DUMMYFUNCTION("GOOGLETRANSLATE(K392,""my"", ""en"")"),"Boat cold")</f>
        <v>Boat cold</v>
      </c>
      <c r="AD392" s="10" t="str">
        <f>IFERROR(__xludf.DUMMYFUNCTION("GOOGLETRANSLATE(L392,""my"", ""en"")"),"Local ေထာင် soap-stone strong ေရး  under development  Phil  ေရး Party")</f>
        <v>Local ေထာင် soap-stone strong ေရး  under development  Phil  ေရး Party</v>
      </c>
      <c r="AE392" s="10" t="str">
        <f>IFERROR(__xludf.DUMMYFUNCTION("GOOGLETRANSLATE(M392,""my"", ""en"")"),"8423")</f>
        <v>8423</v>
      </c>
      <c r="AF392" s="10" t="str">
        <f>IFERROR(__xludf.DUMMYFUNCTION("GOOGLETRANSLATE(N392,""my"", ""en"")"),"3690")</f>
        <v>3690</v>
      </c>
      <c r="AG392" s="10" t="str">
        <f>IFERROR(__xludf.DUMMYFUNCTION("GOOGLETRANSLATE(O392,""my"", ""en"")"),"12113")</f>
        <v>12113</v>
      </c>
      <c r="AH392" s="10" t="str">
        <f>IFERROR(__xludf.DUMMYFUNCTION("GOOGLETRANSLATE(P392,""my"", ""en"")"),"19.33%")</f>
        <v>19.33%</v>
      </c>
    </row>
    <row r="393" ht="24.7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3" t="s">
        <v>2834</v>
      </c>
      <c r="L393" s="23" t="s">
        <v>2835</v>
      </c>
      <c r="M393" s="24" t="s">
        <v>2836</v>
      </c>
      <c r="N393" s="24" t="s">
        <v>2837</v>
      </c>
      <c r="O393" s="24" t="s">
        <v>2838</v>
      </c>
      <c r="P393" s="25" t="s">
        <v>2839</v>
      </c>
      <c r="AC393" s="10" t="str">
        <f>IFERROR(__xludf.DUMMYFUNCTION("GOOGLETRANSLATE(K393,""my"", ""en"")"),"ေဒ  frequency ေဝ")</f>
        <v>ေဒ  frequency ေဝ</v>
      </c>
      <c r="AD393" s="10" t="str">
        <f>IFERROR(__xludf.DUMMYFUNCTION("GOOGLETRANSLATE(L393,""my"", ""en"")"),"Mon  working party ေရး")</f>
        <v>Mon  working party ေရး</v>
      </c>
      <c r="AE393" s="10" t="str">
        <f>IFERROR(__xludf.DUMMYFUNCTION("GOOGLETRANSLATE(M393,""my"", ""en"")"),"1869")</f>
        <v>1869</v>
      </c>
      <c r="AF393" s="10" t="str">
        <f>IFERROR(__xludf.DUMMYFUNCTION("GOOGLETRANSLATE(N393,""my"", ""en"")"),"850")</f>
        <v>850</v>
      </c>
      <c r="AG393" s="10" t="str">
        <f>IFERROR(__xludf.DUMMYFUNCTION("GOOGLETRANSLATE(O393,""my"", ""en"")"),"2719")</f>
        <v>2719</v>
      </c>
      <c r="AH393" s="10" t="str">
        <f>IFERROR(__xludf.DUMMYFUNCTION("GOOGLETRANSLATE(P393,""my"", ""en"")"),"4.34%")</f>
        <v>4.34%</v>
      </c>
    </row>
    <row r="394" ht="24.7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3" t="s">
        <v>2840</v>
      </c>
      <c r="L394" s="23" t="s">
        <v>2841</v>
      </c>
      <c r="M394" s="24" t="s">
        <v>2842</v>
      </c>
      <c r="N394" s="24" t="s">
        <v>2843</v>
      </c>
      <c r="O394" s="24" t="s">
        <v>2844</v>
      </c>
      <c r="P394" s="25" t="s">
        <v>2845</v>
      </c>
      <c r="AC394" s="10" t="str">
        <f>IFERROR(__xludf.DUMMYFUNCTION("GOOGLETRANSLATE(K394,""my"", ""en"")"),"ေကျာ million")</f>
        <v>ေကျာ million</v>
      </c>
      <c r="AD394" s="10" t="str">
        <f>IFERROR(__xludf.DUMMYFUNCTION("GOOGLETRANSLATE(L394,""my"", ""en"")"),"Local ေထာင် စုေ white  Game ေဆာင် Party")</f>
        <v>Local ေထာင် စုေ white  Game ေဆာင် Party</v>
      </c>
      <c r="AE394" s="10" t="str">
        <f>IFERROR(__xludf.DUMMYFUNCTION("GOOGLETRANSLATE(M394,""my"", ""en"")"),"993")</f>
        <v>993</v>
      </c>
      <c r="AF394" s="10" t="str">
        <f>IFERROR(__xludf.DUMMYFUNCTION("GOOGLETRANSLATE(N394,""my"", ""en"")"),"387")</f>
        <v>387</v>
      </c>
      <c r="AG394" s="10" t="str">
        <f>IFERROR(__xludf.DUMMYFUNCTION("GOOGLETRANSLATE(O394,""my"", ""en"")"),"1380")</f>
        <v>1380</v>
      </c>
      <c r="AH394" s="10" t="str">
        <f>IFERROR(__xludf.DUMMYFUNCTION("GOOGLETRANSLATE(P394,""my"", ""en"")"),"2.20%")</f>
        <v>2.20%</v>
      </c>
    </row>
    <row r="395" ht="33.7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3" t="s">
        <v>2846</v>
      </c>
      <c r="L395" s="23" t="s">
        <v>2847</v>
      </c>
      <c r="M395" s="24" t="s">
        <v>2848</v>
      </c>
      <c r="N395" s="24" t="s">
        <v>2849</v>
      </c>
      <c r="O395" s="24" t="s">
        <v>2850</v>
      </c>
      <c r="P395" s="25" t="s">
        <v>2851</v>
      </c>
      <c r="AC395" s="10" t="str">
        <f>IFERROR(__xludf.DUMMYFUNCTION("GOOGLETRANSLATE(K395,""my"", ""en"")"),"Win ေမာင် (b) the legislature ေဖာ sacred")</f>
        <v>Win ေမာင် (b) the legislature ေဖာ sacred</v>
      </c>
      <c r="AD395" s="10" t="str">
        <f>IFERROR(__xludf.DUMMYFUNCTION("GOOGLETRANSLATE(L395,""my"", ""en"")"),"Local farmers ေထာင် Labor Force")</f>
        <v>Local farmers ေထာင် Labor Force</v>
      </c>
      <c r="AE395" s="10" t="str">
        <f>IFERROR(__xludf.DUMMYFUNCTION("GOOGLETRANSLATE(M395,""my"", ""en"")"),"441")</f>
        <v>441</v>
      </c>
      <c r="AF395" s="10" t="str">
        <f>IFERROR(__xludf.DUMMYFUNCTION("GOOGLETRANSLATE(N395,""my"", ""en"")"),"160")</f>
        <v>160</v>
      </c>
      <c r="AG395" s="10" t="str">
        <f>IFERROR(__xludf.DUMMYFUNCTION("GOOGLETRANSLATE(O395,""my"", ""en"")"),"601")</f>
        <v>601</v>
      </c>
      <c r="AH395" s="10" t="str">
        <f>IFERROR(__xludf.DUMMYFUNCTION("GOOGLETRANSLATE(P395,""my"", ""en"")"),"0.96%")</f>
        <v>0.96%</v>
      </c>
    </row>
    <row r="396" ht="24.7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3" t="s">
        <v>2852</v>
      </c>
      <c r="L396" s="23" t="s">
        <v>2853</v>
      </c>
      <c r="M396" s="24" t="s">
        <v>2854</v>
      </c>
      <c r="N396" s="24" t="s">
        <v>2855</v>
      </c>
      <c r="O396" s="24" t="s">
        <v>2856</v>
      </c>
      <c r="P396" s="25" t="s">
        <v>2857</v>
      </c>
      <c r="AC396" s="10" t="str">
        <f>IFERROR(__xludf.DUMMYFUNCTION("GOOGLETRANSLATE(K396,""my"", ""en"")"),"ေဒ   David")</f>
        <v>ေဒ   David</v>
      </c>
      <c r="AD396" s="10" t="str">
        <f>IFERROR(__xludf.DUMMYFUNCTION("GOOGLETRANSLATE(L396,""my"", ""en"")"),"Ethnic unity  working party ေရး")</f>
        <v>Ethnic unity  working party ေရး</v>
      </c>
      <c r="AE396" s="10" t="str">
        <f>IFERROR(__xludf.DUMMYFUNCTION("GOOGLETRANSLATE(M396,""my"", ""en"")"),"285")</f>
        <v>285</v>
      </c>
      <c r="AF396" s="10" t="str">
        <f>IFERROR(__xludf.DUMMYFUNCTION("GOOGLETRANSLATE(N396,""my"", ""en"")"),"185")</f>
        <v>185</v>
      </c>
      <c r="AG396" s="10" t="str">
        <f>IFERROR(__xludf.DUMMYFUNCTION("GOOGLETRANSLATE(O396,""my"", ""en"")"),"470")</f>
        <v>470</v>
      </c>
      <c r="AH396" s="10" t="str">
        <f>IFERROR(__xludf.DUMMYFUNCTION("GOOGLETRANSLATE(P396,""my"", ""en"")"),"0.75%")</f>
        <v>0.75%</v>
      </c>
    </row>
    <row r="397" ht="22.5" customHeight="1">
      <c r="A397" s="17" t="s">
        <v>2858</v>
      </c>
      <c r="B397" s="17" t="s">
        <v>2859</v>
      </c>
      <c r="C397" s="18" t="s">
        <v>2860</v>
      </c>
      <c r="D397" s="17" t="s">
        <v>2861</v>
      </c>
      <c r="E397" s="18" t="s">
        <v>2862</v>
      </c>
      <c r="F397" s="18" t="s">
        <v>2863</v>
      </c>
      <c r="G397" s="18" t="s">
        <v>2864</v>
      </c>
      <c r="H397" s="18" t="s">
        <v>2865</v>
      </c>
      <c r="I397" s="18" t="s">
        <v>2866</v>
      </c>
      <c r="J397" s="18" t="s">
        <v>2867</v>
      </c>
      <c r="K397" s="27"/>
      <c r="L397" s="27"/>
      <c r="M397" s="18" t="s">
        <v>2868</v>
      </c>
      <c r="N397" s="18" t="s">
        <v>2869</v>
      </c>
      <c r="O397" s="18" t="s">
        <v>2870</v>
      </c>
      <c r="P397" s="27"/>
      <c r="S397" s="10" t="str">
        <f>IFERROR(__xludf.DUMMYFUNCTION("GOOGLETRANSLATE(A397,""my"", ""en"")"),"62")</f>
        <v>62</v>
      </c>
      <c r="T397" s="10" t="str">
        <f>IFERROR(__xludf.DUMMYFUNCTION("GOOGLETRANSLATE(B397,""my"", ""en"")"),"မဲဆ  No. (2)")</f>
        <v>မဲဆ  No. (2)</v>
      </c>
      <c r="U397" s="10" t="str">
        <f>IFERROR(__xludf.DUMMYFUNCTION("GOOGLETRANSLATE(C397,""my"", ""en"")"),"59099")</f>
        <v>59099</v>
      </c>
      <c r="V397" s="10" t="str">
        <f>IFERROR(__xludf.DUMMYFUNCTION("GOOGLETRANSLATE(D397,""my"", ""en"")"),"37669")</f>
        <v>37669</v>
      </c>
      <c r="W397" s="10" t="str">
        <f>IFERROR(__xludf.DUMMYFUNCTION("GOOGLETRANSLATE(E397,""my"", ""en"")"),"5217")</f>
        <v>5217</v>
      </c>
      <c r="X397" s="10" t="str">
        <f>IFERROR(__xludf.DUMMYFUNCTION("GOOGLETRANSLATE(F397,""my"", ""en"")"),"42886")</f>
        <v>42886</v>
      </c>
      <c r="Y397" s="10" t="str">
        <f>IFERROR(__xludf.DUMMYFUNCTION("GOOGLETRANSLATE(G397,""my"", ""en"")"),"72.57")</f>
        <v>72.57</v>
      </c>
      <c r="Z397" s="10" t="str">
        <f>IFERROR(__xludf.DUMMYFUNCTION("GOOGLETRANSLATE(H397,""my"", ""en"")"),"2493")</f>
        <v>2493</v>
      </c>
      <c r="AA397" s="10" t="str">
        <f>IFERROR(__xludf.DUMMYFUNCTION("GOOGLETRANSLATE(I397,""my"", ""en"")"),"7")</f>
        <v>7</v>
      </c>
      <c r="AB397" s="10" t="str">
        <f>IFERROR(__xludf.DUMMYFUNCTION("GOOGLETRANSLATE(J397,""my"", ""en"")"),"2500")</f>
        <v>2500</v>
      </c>
      <c r="AE397" s="10" t="str">
        <f>IFERROR(__xludf.DUMMYFUNCTION("GOOGLETRANSLATE(M397,""my"", ""en"")"),"35325")</f>
        <v>35325</v>
      </c>
      <c r="AF397" s="10" t="str">
        <f>IFERROR(__xludf.DUMMYFUNCTION("GOOGLETRANSLATE(N397,""my"", ""en"")"),"5061")</f>
        <v>5061</v>
      </c>
      <c r="AG397" s="10" t="str">
        <f>IFERROR(__xludf.DUMMYFUNCTION("GOOGLETRANSLATE(O397,""my"", ""en"")"),"40386")</f>
        <v>40386</v>
      </c>
    </row>
    <row r="398" ht="25.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3" t="s">
        <v>2871</v>
      </c>
      <c r="L398" s="23" t="s">
        <v>2872</v>
      </c>
      <c r="M398" s="24" t="s">
        <v>2873</v>
      </c>
      <c r="N398" s="24" t="s">
        <v>2874</v>
      </c>
      <c r="O398" s="24" t="s">
        <v>2875</v>
      </c>
      <c r="P398" s="25" t="s">
        <v>2876</v>
      </c>
      <c r="AC398" s="10" t="str">
        <f>IFERROR(__xludf.DUMMYFUNCTION("GOOGLETRANSLATE(K398,""my"", ""en"")"),"Khin  Game Win")</f>
        <v>Khin  Game Win</v>
      </c>
      <c r="AD398" s="10" t="str">
        <f>IFERROR(__xludf.DUMMYFUNCTION("GOOGLETRANSLATE(L398,""my"", ""en"")")," Game Democracy group   Pop Party")</f>
        <v> Game Democracy group   Pop Party</v>
      </c>
      <c r="AE398" s="10" t="str">
        <f>IFERROR(__xludf.DUMMYFUNCTION("GOOGLETRANSLATE(M398,""my"", ""en"")"),"25319")</f>
        <v>25319</v>
      </c>
      <c r="AF398" s="10" t="str">
        <f>IFERROR(__xludf.DUMMYFUNCTION("GOOGLETRANSLATE(N398,""my"", ""en"")"),"2806")</f>
        <v>2806</v>
      </c>
      <c r="AG398" s="10" t="str">
        <f>IFERROR(__xludf.DUMMYFUNCTION("GOOGLETRANSLATE(O398,""my"", ""en"")"),"28125")</f>
        <v>28125</v>
      </c>
      <c r="AH398" s="10" t="str">
        <f>IFERROR(__xludf.DUMMYFUNCTION("GOOGLETRANSLATE(P398,""my"", ""en"")"),"69.64%")</f>
        <v>69.64%</v>
      </c>
    </row>
    <row r="399" ht="24.7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3" t="s">
        <v>2877</v>
      </c>
      <c r="L399" s="23" t="s">
        <v>2878</v>
      </c>
      <c r="M399" s="24" t="s">
        <v>2879</v>
      </c>
      <c r="N399" s="24" t="s">
        <v>2880</v>
      </c>
      <c r="O399" s="24" t="s">
        <v>2881</v>
      </c>
      <c r="P399" s="25" t="s">
        <v>2882</v>
      </c>
      <c r="AC399" s="10" t="str">
        <f>IFERROR(__xludf.DUMMYFUNCTION("GOOGLETRANSLATE(K399,""my"", ""en"")"),"Tun ေအး")</f>
        <v>Tun ေအး</v>
      </c>
      <c r="AD399" s="10" t="str">
        <f>IFERROR(__xludf.DUMMYFUNCTION("GOOGLETRANSLATE(L399,""my"", ""en"")"),"Local ေထာင် soap-stone strong ေရး  under development  Phil  ေရး Party")</f>
        <v>Local ေထာင် soap-stone strong ေရး  under development  Phil  ေရး Party</v>
      </c>
      <c r="AE399" s="10" t="str">
        <f>IFERROR(__xludf.DUMMYFUNCTION("GOOGLETRANSLATE(M399,""my"", ""en"")"),"9030")</f>
        <v>9030</v>
      </c>
      <c r="AF399" s="10" t="str">
        <f>IFERROR(__xludf.DUMMYFUNCTION("GOOGLETRANSLATE(N399,""my"", ""en"")"),"2091")</f>
        <v>2091</v>
      </c>
      <c r="AG399" s="10" t="str">
        <f>IFERROR(__xludf.DUMMYFUNCTION("GOOGLETRANSLATE(O399,""my"", ""en"")"),"11121")</f>
        <v>11121</v>
      </c>
      <c r="AH399" s="10" t="str">
        <f>IFERROR(__xludf.DUMMYFUNCTION("GOOGLETRANSLATE(P399,""my"", ""en"")"),"27.54%")</f>
        <v>27.54%</v>
      </c>
    </row>
    <row r="400" ht="24.7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3" t="s">
        <v>2883</v>
      </c>
      <c r="L400" s="23" t="s">
        <v>2884</v>
      </c>
      <c r="M400" s="24" t="s">
        <v>2885</v>
      </c>
      <c r="N400" s="24" t="s">
        <v>2886</v>
      </c>
      <c r="O400" s="24" t="s">
        <v>2887</v>
      </c>
      <c r="P400" s="25" t="s">
        <v>2888</v>
      </c>
      <c r="AC400" s="10" t="str">
        <f>IFERROR(__xludf.DUMMYFUNCTION("GOOGLETRANSLATE(K400,""my"", ""en"")"),"ေဆွ million")</f>
        <v>ေဆွ million</v>
      </c>
      <c r="AD400" s="10" t="str">
        <f>IFERROR(__xludf.DUMMYFUNCTION("GOOGLETRANSLATE(L400,""my"", ""en"")"),"Local ေထာင် စုေ white  Game ေဆာင် Party")</f>
        <v>Local ေထာင် စုေ white  Game ေဆာင် Party</v>
      </c>
      <c r="AE400" s="10" t="str">
        <f>IFERROR(__xludf.DUMMYFUNCTION("GOOGLETRANSLATE(M400,""my"", ""en"")"),"976")</f>
        <v>976</v>
      </c>
      <c r="AF400" s="10" t="str">
        <f>IFERROR(__xludf.DUMMYFUNCTION("GOOGLETRANSLATE(N400,""my"", ""en"")"),"164")</f>
        <v>164</v>
      </c>
      <c r="AG400" s="10" t="str">
        <f>IFERROR(__xludf.DUMMYFUNCTION("GOOGLETRANSLATE(O400,""my"", ""en"")"),"1140")</f>
        <v>1140</v>
      </c>
      <c r="AH400" s="10" t="str">
        <f>IFERROR(__xludf.DUMMYFUNCTION("GOOGLETRANSLATE(P400,""my"", ""en"")"),"2.82%")</f>
        <v>2.82%</v>
      </c>
    </row>
    <row r="401" ht="24.0" customHeight="1">
      <c r="A401" s="17" t="s">
        <v>2889</v>
      </c>
      <c r="B401" s="17" t="s">
        <v>2890</v>
      </c>
      <c r="C401" s="18" t="s">
        <v>2891</v>
      </c>
      <c r="D401" s="17" t="s">
        <v>2892</v>
      </c>
      <c r="E401" s="18" t="s">
        <v>2893</v>
      </c>
      <c r="F401" s="18" t="s">
        <v>2894</v>
      </c>
      <c r="G401" s="18" t="s">
        <v>2895</v>
      </c>
      <c r="H401" s="18" t="s">
        <v>2896</v>
      </c>
      <c r="I401" s="18" t="s">
        <v>2897</v>
      </c>
      <c r="J401" s="18" t="s">
        <v>2898</v>
      </c>
      <c r="K401" s="27"/>
      <c r="L401" s="27"/>
      <c r="M401" s="18" t="s">
        <v>2899</v>
      </c>
      <c r="N401" s="18" t="s">
        <v>2900</v>
      </c>
      <c r="O401" s="18" t="s">
        <v>2901</v>
      </c>
      <c r="P401" s="27"/>
      <c r="S401" s="10" t="str">
        <f>IFERROR(__xludf.DUMMYFUNCTION("GOOGLETRANSLATE(A401,""my"", ""en"")"),"63")</f>
        <v>63</v>
      </c>
      <c r="T401" s="10" t="str">
        <f>IFERROR(__xludf.DUMMYFUNCTION("GOOGLETRANSLATE(B401,""my"", ""en"")"),"မဲဆ  No. (3)")</f>
        <v>မဲဆ  No. (3)</v>
      </c>
      <c r="U401" s="10" t="str">
        <f>IFERROR(__xludf.DUMMYFUNCTION("GOOGLETRANSLATE(C401,""my"", ""en"")"),"134723")</f>
        <v>134723</v>
      </c>
      <c r="V401" s="10" t="str">
        <f>IFERROR(__xludf.DUMMYFUNCTION("GOOGLETRANSLATE(D401,""my"", ""en"")"),"60556")</f>
        <v>60556</v>
      </c>
      <c r="W401" s="10" t="str">
        <f>IFERROR(__xludf.DUMMYFUNCTION("GOOGLETRANSLATE(E401,""my"", ""en"")"),"24273")</f>
        <v>24273</v>
      </c>
      <c r="X401" s="10" t="str">
        <f>IFERROR(__xludf.DUMMYFUNCTION("GOOGLETRANSLATE(F401,""my"", ""en"")"),"84829")</f>
        <v>84829</v>
      </c>
      <c r="Y401" s="10" t="str">
        <f>IFERROR(__xludf.DUMMYFUNCTION("GOOGLETRANSLATE(G401,""my"", ""en"")"),"62.97")</f>
        <v>62.97</v>
      </c>
      <c r="Z401" s="10" t="str">
        <f>IFERROR(__xludf.DUMMYFUNCTION("GOOGLETRANSLATE(H401,""my"", ""en"")"),"251")</f>
        <v>251</v>
      </c>
      <c r="AA401" s="10" t="str">
        <f>IFERROR(__xludf.DUMMYFUNCTION("GOOGLETRANSLATE(I401,""my"", ""en"")"),"5")</f>
        <v>5</v>
      </c>
      <c r="AB401" s="10" t="str">
        <f>IFERROR(__xludf.DUMMYFUNCTION("GOOGLETRANSLATE(J401,""my"", ""en"")"),"256")</f>
        <v>256</v>
      </c>
      <c r="AE401" s="10" t="str">
        <f>IFERROR(__xludf.DUMMYFUNCTION("GOOGLETRANSLATE(M401,""my"", ""en"")"),"60332")</f>
        <v>60332</v>
      </c>
      <c r="AF401" s="10" t="str">
        <f>IFERROR(__xludf.DUMMYFUNCTION("GOOGLETRANSLATE(N401,""my"", ""en"")"),"24241")</f>
        <v>24241</v>
      </c>
      <c r="AG401" s="10" t="str">
        <f>IFERROR(__xludf.DUMMYFUNCTION("GOOGLETRANSLATE(O401,""my"", ""en"")"),"84573")</f>
        <v>84573</v>
      </c>
    </row>
    <row r="402" ht="22.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3" t="s">
        <v>2902</v>
      </c>
      <c r="L402" s="23" t="s">
        <v>2903</v>
      </c>
      <c r="M402" s="24" t="s">
        <v>2904</v>
      </c>
      <c r="N402" s="24" t="s">
        <v>2905</v>
      </c>
      <c r="O402" s="24" t="s">
        <v>2906</v>
      </c>
      <c r="P402" s="25" t="s">
        <v>2907</v>
      </c>
      <c r="AC402" s="10" t="str">
        <f>IFERROR(__xludf.DUMMYFUNCTION("GOOGLETRANSLATE(K402,""my"", ""en"")"),"ေဒ   Melchizedek  Lwin")</f>
        <v>ေဒ   Melchizedek  Lwin</v>
      </c>
      <c r="AD402" s="10" t="str">
        <f>IFERROR(__xludf.DUMMYFUNCTION("GOOGLETRANSLATE(L402,""my"", ""en"")")," Game Democracy group   Pop Party")</f>
        <v> Game Democracy group   Pop Party</v>
      </c>
      <c r="AE402" s="10" t="str">
        <f>IFERROR(__xludf.DUMMYFUNCTION("GOOGLETRANSLATE(M402,""my"", ""en"")"),"49486")</f>
        <v>49486</v>
      </c>
      <c r="AF402" s="10" t="str">
        <f>IFERROR(__xludf.DUMMYFUNCTION("GOOGLETRANSLATE(N402,""my"", ""en"")"),"17147")</f>
        <v>17147</v>
      </c>
      <c r="AG402" s="10" t="str">
        <f>IFERROR(__xludf.DUMMYFUNCTION("GOOGLETRANSLATE(O402,""my"", ""en"")"),"66633")</f>
        <v>66633</v>
      </c>
      <c r="AH402" s="10" t="str">
        <f>IFERROR(__xludf.DUMMYFUNCTION("GOOGLETRANSLATE(P402,""my"", ""en"")"),"78.79%")</f>
        <v>78.79%</v>
      </c>
    </row>
    <row r="403" ht="21.7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3" t="s">
        <v>2908</v>
      </c>
      <c r="L403" s="23" t="s">
        <v>2909</v>
      </c>
      <c r="M403" s="24" t="s">
        <v>2910</v>
      </c>
      <c r="N403" s="24" t="s">
        <v>2911</v>
      </c>
      <c r="O403" s="24" t="s">
        <v>2912</v>
      </c>
      <c r="P403" s="25" t="s">
        <v>2913</v>
      </c>
      <c r="AC403" s="10" t="str">
        <f>IFERROR(__xludf.DUMMYFUNCTION("GOOGLETRANSLATE(K403,""my"", ""en"")"),"Yu  Cashier")</f>
        <v>Yu  Cashier</v>
      </c>
      <c r="AD403" s="10" t="str">
        <f>IFERROR(__xludf.DUMMYFUNCTION("GOOGLETRANSLATE(L403,""my"", ""en"")"),"Local ေထာင် soap-stone strong ေရး  under development  Phil  ေရး Party")</f>
        <v>Local ေထာင် soap-stone strong ေရး  under development  Phil  ေရး Party</v>
      </c>
      <c r="AE403" s="10" t="str">
        <f>IFERROR(__xludf.DUMMYFUNCTION("GOOGLETRANSLATE(M403,""my"", ""en"")"),"8280")</f>
        <v>8280</v>
      </c>
      <c r="AF403" s="10" t="str">
        <f>IFERROR(__xludf.DUMMYFUNCTION("GOOGLETRANSLATE(N403,""my"", ""en"")"),"5797")</f>
        <v>5797</v>
      </c>
      <c r="AG403" s="10" t="str">
        <f>IFERROR(__xludf.DUMMYFUNCTION("GOOGLETRANSLATE(O403,""my"", ""en"")"),"14077")</f>
        <v>14077</v>
      </c>
      <c r="AH403" s="10" t="str">
        <f>IFERROR(__xludf.DUMMYFUNCTION("GOOGLETRANSLATE(P403,""my"", ""en"")"),"16.64%")</f>
        <v>16.64%</v>
      </c>
    </row>
    <row r="404" ht="21.7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3" t="s">
        <v>2914</v>
      </c>
      <c r="L404" s="23" t="s">
        <v>2915</v>
      </c>
      <c r="M404" s="24" t="s">
        <v>2916</v>
      </c>
      <c r="N404" s="24" t="s">
        <v>2917</v>
      </c>
      <c r="O404" s="24" t="s">
        <v>2918</v>
      </c>
      <c r="P404" s="25" t="s">
        <v>2919</v>
      </c>
      <c r="AC404" s="10" t="str">
        <f>IFERROR(__xludf.DUMMYFUNCTION("GOOGLETRANSLATE(K404,""my"", ""en"")"),"ေနာ ေချာေ ချာေ")</f>
        <v>ေနာ ေချာေ ချာေ</v>
      </c>
      <c r="AD404" s="10" t="str">
        <f>IFERROR(__xludf.DUMMYFUNCTION("GOOGLETRANSLATE(L404,""my"", ""en"")"),"Karen ပည်သူ Party")</f>
        <v>Karen ပည်သူ Party</v>
      </c>
      <c r="AE404" s="10" t="str">
        <f>IFERROR(__xludf.DUMMYFUNCTION("GOOGLETRANSLATE(M404,""my"", ""en"")"),"1305")</f>
        <v>1305</v>
      </c>
      <c r="AF404" s="10" t="str">
        <f>IFERROR(__xludf.DUMMYFUNCTION("GOOGLETRANSLATE(N404,""my"", ""en"")"),"564")</f>
        <v>564</v>
      </c>
      <c r="AG404" s="10" t="str">
        <f>IFERROR(__xludf.DUMMYFUNCTION("GOOGLETRANSLATE(O404,""my"", ""en"")"),"1869")</f>
        <v>1869</v>
      </c>
      <c r="AH404" s="10" t="str">
        <f>IFERROR(__xludf.DUMMYFUNCTION("GOOGLETRANSLATE(P404,""my"", ""en"")"),"2.21%")</f>
        <v>2.21%</v>
      </c>
    </row>
    <row r="405" ht="21.7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3" t="s">
        <v>2920</v>
      </c>
      <c r="L405" s="23" t="s">
        <v>2921</v>
      </c>
      <c r="M405" s="24" t="s">
        <v>2922</v>
      </c>
      <c r="N405" s="24" t="s">
        <v>2923</v>
      </c>
      <c r="O405" s="24" t="s">
        <v>2924</v>
      </c>
      <c r="P405" s="25" t="s">
        <v>2925</v>
      </c>
      <c r="AC405" s="10" t="str">
        <f>IFERROR(__xludf.DUMMYFUNCTION("GOOGLETRANSLATE(K405,""my"", ""en"")"),"U Thein")</f>
        <v>U Thein</v>
      </c>
      <c r="AD405" s="10" t="str">
        <f>IFERROR(__xludf.DUMMYFUNCTION("GOOGLETRANSLATE(L405,""my"", ""en"")"),"Local ေထာင် စုေ white  Game ေဆာင် Party")</f>
        <v>Local ေထာင် စုေ white  Game ေဆာင် Party</v>
      </c>
      <c r="AE405" s="10" t="str">
        <f>IFERROR(__xludf.DUMMYFUNCTION("GOOGLETRANSLATE(M405,""my"", ""en"")"),"653")</f>
        <v>653</v>
      </c>
      <c r="AF405" s="10" t="str">
        <f>IFERROR(__xludf.DUMMYFUNCTION("GOOGLETRANSLATE(N405,""my"", ""en"")"),"464")</f>
        <v>464</v>
      </c>
      <c r="AG405" s="10" t="str">
        <f>IFERROR(__xludf.DUMMYFUNCTION("GOOGLETRANSLATE(O405,""my"", ""en"")"),"1117")</f>
        <v>1117</v>
      </c>
      <c r="AH405" s="10" t="str">
        <f>IFERROR(__xludf.DUMMYFUNCTION("GOOGLETRANSLATE(P405,""my"", ""en"")"),"1.32%")</f>
        <v>1.32%</v>
      </c>
    </row>
    <row r="406" ht="22.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3" t="s">
        <v>2926</v>
      </c>
      <c r="L406" s="23" t="s">
        <v>2927</v>
      </c>
      <c r="M406" s="24" t="s">
        <v>2928</v>
      </c>
      <c r="N406" s="24" t="s">
        <v>2929</v>
      </c>
      <c r="O406" s="24" t="s">
        <v>2930</v>
      </c>
      <c r="P406" s="25" t="s">
        <v>2931</v>
      </c>
      <c r="AC406" s="10" t="str">
        <f>IFERROR(__xludf.DUMMYFUNCTION("GOOGLETRANSLATE(K406,""my"", ""en"")"),"ေအာင်  Game")</f>
        <v>ေအာင်  Game</v>
      </c>
      <c r="AD406" s="10" t="str">
        <f>IFERROR(__xludf.DUMMYFUNCTION("GOOGLETRANSLATE(L406,""my"", ""en"")"),"ပည်သူ ေရှ  ေဆာင် Party")</f>
        <v>ပည်သူ ေရှ  ေဆာင် Party</v>
      </c>
      <c r="AE406" s="10" t="str">
        <f>IFERROR(__xludf.DUMMYFUNCTION("GOOGLETRANSLATE(M406,""my"", ""en"")"),"608")</f>
        <v>608</v>
      </c>
      <c r="AF406" s="10" t="str">
        <f>IFERROR(__xludf.DUMMYFUNCTION("GOOGLETRANSLATE(N406,""my"", ""en"")"),"269")</f>
        <v>269</v>
      </c>
      <c r="AG406" s="10" t="str">
        <f>IFERROR(__xludf.DUMMYFUNCTION("GOOGLETRANSLATE(O406,""my"", ""en"")"),"877")</f>
        <v>877</v>
      </c>
      <c r="AH406" s="10" t="str">
        <f>IFERROR(__xludf.DUMMYFUNCTION("GOOGLETRANSLATE(P406,""my"", ""en"")"),"1.04%")</f>
        <v>1.04%</v>
      </c>
    </row>
    <row r="407" ht="21.75" customHeight="1">
      <c r="A407" s="17" t="s">
        <v>2932</v>
      </c>
      <c r="B407" s="17" t="s">
        <v>2933</v>
      </c>
      <c r="C407" s="18" t="s">
        <v>2934</v>
      </c>
      <c r="D407" s="17" t="s">
        <v>2935</v>
      </c>
      <c r="E407" s="18" t="s">
        <v>2936</v>
      </c>
      <c r="F407" s="18" t="s">
        <v>2937</v>
      </c>
      <c r="G407" s="18" t="s">
        <v>2938</v>
      </c>
      <c r="H407" s="18" t="s">
        <v>2939</v>
      </c>
      <c r="I407" s="18" t="s">
        <v>2940</v>
      </c>
      <c r="J407" s="18" t="s">
        <v>2941</v>
      </c>
      <c r="K407" s="27"/>
      <c r="L407" s="27"/>
      <c r="M407" s="18" t="s">
        <v>2942</v>
      </c>
      <c r="N407" s="18" t="s">
        <v>2943</v>
      </c>
      <c r="O407" s="18" t="s">
        <v>2944</v>
      </c>
      <c r="P407" s="27"/>
      <c r="S407" s="10" t="str">
        <f>IFERROR(__xludf.DUMMYFUNCTION("GOOGLETRANSLATE(A407,""my"", ""en"")"),"64")</f>
        <v>64</v>
      </c>
      <c r="T407" s="10" t="str">
        <f>IFERROR(__xludf.DUMMYFUNCTION("GOOGLETRANSLATE(B407,""my"", ""en"")"),"မဲဆ  No. (4)")</f>
        <v>မဲဆ  No. (4)</v>
      </c>
      <c r="U407" s="10" t="str">
        <f>IFERROR(__xludf.DUMMYFUNCTION("GOOGLETRANSLATE(C407,""my"", ""en"")"),"114174")</f>
        <v>114174</v>
      </c>
      <c r="V407" s="10" t="str">
        <f>IFERROR(__xludf.DUMMYFUNCTION("GOOGLETRANSLATE(D407,""my"", ""en"")"),"54035")</f>
        <v>54035</v>
      </c>
      <c r="W407" s="10" t="str">
        <f>IFERROR(__xludf.DUMMYFUNCTION("GOOGLETRANSLATE(E407,""my"", ""en"")"),"17032")</f>
        <v>17032</v>
      </c>
      <c r="X407" s="10" t="str">
        <f>IFERROR(__xludf.DUMMYFUNCTION("GOOGLETRANSLATE(F407,""my"", ""en"")"),"71067")</f>
        <v>71067</v>
      </c>
      <c r="Y407" s="10" t="str">
        <f>IFERROR(__xludf.DUMMYFUNCTION("GOOGLETRANSLATE(G407,""my"", ""en"")"),"62.24")</f>
        <v>62.24</v>
      </c>
      <c r="Z407" s="10" t="str">
        <f>IFERROR(__xludf.DUMMYFUNCTION("GOOGLETRANSLATE(H407,""my"", ""en"")"),"4598")</f>
        <v>4598</v>
      </c>
      <c r="AA407" s="10" t="str">
        <f>IFERROR(__xludf.DUMMYFUNCTION("GOOGLETRANSLATE(I407,""my"", ""en"")"),"10")</f>
        <v>10</v>
      </c>
      <c r="AB407" s="10" t="str">
        <f>IFERROR(__xludf.DUMMYFUNCTION("GOOGLETRANSLATE(J407,""my"", ""en"")"),"4608")</f>
        <v>4608</v>
      </c>
      <c r="AE407" s="10" t="str">
        <f>IFERROR(__xludf.DUMMYFUNCTION("GOOGLETRANSLATE(M407,""my"", ""en"")"),"50129")</f>
        <v>50129</v>
      </c>
      <c r="AF407" s="10" t="str">
        <f>IFERROR(__xludf.DUMMYFUNCTION("GOOGLETRANSLATE(N407,""my"", ""en"")"),"16330")</f>
        <v>16330</v>
      </c>
      <c r="AG407" s="10" t="str">
        <f>IFERROR(__xludf.DUMMYFUNCTION("GOOGLETRANSLATE(O407,""my"", ""en"")"),"66459")</f>
        <v>66459</v>
      </c>
    </row>
    <row r="408" ht="24.7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3" t="s">
        <v>2945</v>
      </c>
      <c r="L408" s="23" t="s">
        <v>2946</v>
      </c>
      <c r="M408" s="24" t="s">
        <v>2947</v>
      </c>
      <c r="N408" s="24" t="s">
        <v>2948</v>
      </c>
      <c r="O408" s="24" t="s">
        <v>2949</v>
      </c>
      <c r="P408" s="25" t="s">
        <v>2950</v>
      </c>
      <c r="AC408" s="10" t="str">
        <f>IFERROR(__xludf.DUMMYFUNCTION("GOOGLETRANSLATE(K408,""my"", ""en"")"),"ေကျာ ေဇ over Quota")</f>
        <v>ေကျာ ေဇ over Quota</v>
      </c>
      <c r="AD408" s="10" t="str">
        <f>IFERROR(__xludf.DUMMYFUNCTION("GOOGLETRANSLATE(L408,""my"", ""en"")")," Game Democracy group   Pop Party")</f>
        <v> Game Democracy group   Pop Party</v>
      </c>
      <c r="AE408" s="10" t="str">
        <f>IFERROR(__xludf.DUMMYFUNCTION("GOOGLETRANSLATE(M408,""my"", ""en"")"),"39047")</f>
        <v>39047</v>
      </c>
      <c r="AF408" s="10" t="str">
        <f>IFERROR(__xludf.DUMMYFUNCTION("GOOGLETRANSLATE(N408,""my"", ""en"")"),"11125")</f>
        <v>11125</v>
      </c>
      <c r="AG408" s="10" t="str">
        <f>IFERROR(__xludf.DUMMYFUNCTION("GOOGLETRANSLATE(O408,""my"", ""en"")"),"50172")</f>
        <v>50172</v>
      </c>
      <c r="AH408" s="10" t="str">
        <f>IFERROR(__xludf.DUMMYFUNCTION("GOOGLETRANSLATE(P408,""my"", ""en"")"),"75.49%")</f>
        <v>75.49%</v>
      </c>
    </row>
    <row r="409" ht="24.0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6" t="s">
        <v>2951</v>
      </c>
      <c r="L409" s="36" t="s">
        <v>2952</v>
      </c>
      <c r="M409" s="37" t="s">
        <v>2953</v>
      </c>
      <c r="N409" s="37" t="s">
        <v>2954</v>
      </c>
      <c r="O409" s="37" t="s">
        <v>2955</v>
      </c>
      <c r="P409" s="38" t="s">
        <v>2956</v>
      </c>
      <c r="AC409" s="10" t="str">
        <f>IFERROR(__xludf.DUMMYFUNCTION("GOOGLETRANSLATE(K409,""my"", ""en"")"),"ေမာင် diamond")</f>
        <v>ေမာင် diamond</v>
      </c>
      <c r="AD409" s="10" t="str">
        <f>IFERROR(__xludf.DUMMYFUNCTION("GOOGLETRANSLATE(L409,""my"", ""en"")"),"Local ေထာင် soap-stone strong ေရး  under development  Phil  ေရး Party")</f>
        <v>Local ေထာင် soap-stone strong ေရး  under development  Phil  ေရး Party</v>
      </c>
      <c r="AE409" s="10" t="str">
        <f>IFERROR(__xludf.DUMMYFUNCTION("GOOGLETRANSLATE(M409,""my"", ""en"")"),"8549")</f>
        <v>8549</v>
      </c>
      <c r="AF409" s="10" t="str">
        <f>IFERROR(__xludf.DUMMYFUNCTION("GOOGLETRANSLATE(N409,""my"", ""en"")"),"4178")</f>
        <v>4178</v>
      </c>
      <c r="AG409" s="10" t="str">
        <f>IFERROR(__xludf.DUMMYFUNCTION("GOOGLETRANSLATE(O409,""my"", ""en"")"),"12727")</f>
        <v>12727</v>
      </c>
      <c r="AH409" s="10" t="str">
        <f>IFERROR(__xludf.DUMMYFUNCTION("GOOGLETRANSLATE(P409,""my"", ""en"")"),"19.15%")</f>
        <v>19.15%</v>
      </c>
    </row>
    <row r="410" ht="24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6" t="s">
        <v>2957</v>
      </c>
      <c r="L410" s="36" t="s">
        <v>2958</v>
      </c>
      <c r="M410" s="37" t="s">
        <v>2959</v>
      </c>
      <c r="N410" s="37" t="s">
        <v>2960</v>
      </c>
      <c r="O410" s="37" t="s">
        <v>2961</v>
      </c>
      <c r="P410" s="38" t="s">
        <v>2962</v>
      </c>
      <c r="AC410" s="10" t="str">
        <f>IFERROR(__xludf.DUMMYFUNCTION("GOOGLETRANSLATE(K410,""my"", ""en"")"),"ေဒ  million  Union")</f>
        <v>ေဒ  million  Union</v>
      </c>
      <c r="AD410" s="10" t="str">
        <f>IFERROR(__xludf.DUMMYFUNCTION("GOOGLETRANSLATE(L410,""my"", ""en"")")," Game Democracy Force")</f>
        <v> Game Democracy Force</v>
      </c>
      <c r="AE410" s="10" t="str">
        <f>IFERROR(__xludf.DUMMYFUNCTION("GOOGLETRANSLATE(M410,""my"", ""en"")"),"1406")</f>
        <v>1406</v>
      </c>
      <c r="AF410" s="10" t="str">
        <f>IFERROR(__xludf.DUMMYFUNCTION("GOOGLETRANSLATE(N410,""my"", ""en"")"),"530")</f>
        <v>530</v>
      </c>
      <c r="AG410" s="10" t="str">
        <f>IFERROR(__xludf.DUMMYFUNCTION("GOOGLETRANSLATE(O410,""my"", ""en"")"),"1936")</f>
        <v>1936</v>
      </c>
      <c r="AH410" s="10" t="str">
        <f>IFERROR(__xludf.DUMMYFUNCTION("GOOGLETRANSLATE(P410,""my"", ""en"")"),"2.91%")</f>
        <v>2.91%</v>
      </c>
    </row>
    <row r="411" ht="24.0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6" t="s">
        <v>2963</v>
      </c>
      <c r="L411" s="36" t="s">
        <v>2964</v>
      </c>
      <c r="M411" s="37" t="s">
        <v>2965</v>
      </c>
      <c r="N411" s="37" t="s">
        <v>2966</v>
      </c>
      <c r="O411" s="37" t="s">
        <v>2967</v>
      </c>
      <c r="P411" s="38" t="s">
        <v>2968</v>
      </c>
      <c r="AC411" s="10" t="str">
        <f>IFERROR(__xludf.DUMMYFUNCTION("GOOGLETRANSLATE(K411,""my"", ""en"")"),"U Thein")</f>
        <v>U Thein</v>
      </c>
      <c r="AD411" s="10" t="str">
        <f>IFERROR(__xludf.DUMMYFUNCTION("GOOGLETRANSLATE(L411,""my"", ""en"")"),"Local ေထာင် စုေ white  Game ေဆာင် Party")</f>
        <v>Local ေထာင် စုေ white  Game ေဆာင် Party</v>
      </c>
      <c r="AE411" s="10" t="str">
        <f>IFERROR(__xludf.DUMMYFUNCTION("GOOGLETRANSLATE(M411,""my"", ""en"")"),"1127")</f>
        <v>1127</v>
      </c>
      <c r="AF411" s="10" t="str">
        <f>IFERROR(__xludf.DUMMYFUNCTION("GOOGLETRANSLATE(N411,""my"", ""en"")"),"497")</f>
        <v>497</v>
      </c>
      <c r="AG411" s="10" t="str">
        <f>IFERROR(__xludf.DUMMYFUNCTION("GOOGLETRANSLATE(O411,""my"", ""en"")"),"1624")</f>
        <v>1624</v>
      </c>
      <c r="AH411" s="10" t="str">
        <f>IFERROR(__xludf.DUMMYFUNCTION("GOOGLETRANSLATE(P411,""my"", ""en"")"),"2.45%")</f>
        <v>2.45%</v>
      </c>
    </row>
    <row r="412" ht="22.5" customHeight="1">
      <c r="A412" s="17" t="s">
        <v>2969</v>
      </c>
      <c r="B412" s="17" t="s">
        <v>2970</v>
      </c>
      <c r="C412" s="18" t="s">
        <v>2971</v>
      </c>
      <c r="D412" s="17" t="s">
        <v>2972</v>
      </c>
      <c r="E412" s="18" t="s">
        <v>2973</v>
      </c>
      <c r="F412" s="18" t="s">
        <v>2974</v>
      </c>
      <c r="G412" s="18" t="s">
        <v>2975</v>
      </c>
      <c r="H412" s="18" t="s">
        <v>2976</v>
      </c>
      <c r="I412" s="18" t="s">
        <v>2977</v>
      </c>
      <c r="J412" s="18" t="s">
        <v>2978</v>
      </c>
      <c r="K412" s="27"/>
      <c r="L412" s="27"/>
      <c r="M412" s="18" t="s">
        <v>2979</v>
      </c>
      <c r="N412" s="18" t="s">
        <v>2980</v>
      </c>
      <c r="O412" s="18" t="s">
        <v>2981</v>
      </c>
      <c r="P412" s="27"/>
      <c r="S412" s="10" t="str">
        <f>IFERROR(__xludf.DUMMYFUNCTION("GOOGLETRANSLATE(A412,""my"", ""en"")"),"65")</f>
        <v>65</v>
      </c>
      <c r="T412" s="10" t="str">
        <f>IFERROR(__xludf.DUMMYFUNCTION("GOOGLETRANSLATE(B412,""my"", ""en"")"),"မဲဆ  (5 points)")</f>
        <v>မဲဆ  (5 points)</v>
      </c>
      <c r="U412" s="10" t="str">
        <f>IFERROR(__xludf.DUMMYFUNCTION("GOOGLETRANSLATE(C412,""my"", ""en"")"),"127574")</f>
        <v>127574</v>
      </c>
      <c r="V412" s="10" t="str">
        <f>IFERROR(__xludf.DUMMYFUNCTION("GOOGLETRANSLATE(D412,""my"", ""en"")"),"57641")</f>
        <v>57641</v>
      </c>
      <c r="W412" s="10" t="str">
        <f>IFERROR(__xludf.DUMMYFUNCTION("GOOGLETRANSLATE(E412,""my"", ""en"")"),"18548")</f>
        <v>18548</v>
      </c>
      <c r="X412" s="10" t="str">
        <f>IFERROR(__xludf.DUMMYFUNCTION("GOOGLETRANSLATE(F412,""my"", ""en"")"),"76189")</f>
        <v>76189</v>
      </c>
      <c r="Y412" s="10" t="str">
        <f>IFERROR(__xludf.DUMMYFUNCTION("GOOGLETRANSLATE(G412,""my"", ""en"")"),"59.72")</f>
        <v>59.72</v>
      </c>
      <c r="Z412" s="10" t="str">
        <f>IFERROR(__xludf.DUMMYFUNCTION("GOOGLETRANSLATE(H412,""my"", ""en"")"),"1005")</f>
        <v>1005</v>
      </c>
      <c r="AA412" s="10" t="str">
        <f>IFERROR(__xludf.DUMMYFUNCTION("GOOGLETRANSLATE(I412,""my"", ""en"")"),"24")</f>
        <v>24</v>
      </c>
      <c r="AB412" s="10" t="str">
        <f>IFERROR(__xludf.DUMMYFUNCTION("GOOGLETRANSLATE(J412,""my"", ""en"")"),"1029")</f>
        <v>1029</v>
      </c>
      <c r="AE412" s="10" t="str">
        <f>IFERROR(__xludf.DUMMYFUNCTION("GOOGLETRANSLATE(M412,""my"", ""en"")"),"56612")</f>
        <v>56612</v>
      </c>
      <c r="AF412" s="10" t="str">
        <f>IFERROR(__xludf.DUMMYFUNCTION("GOOGLETRANSLATE(N412,""my"", ""en"")"),"18548")</f>
        <v>18548</v>
      </c>
      <c r="AG412" s="10" t="str">
        <f>IFERROR(__xludf.DUMMYFUNCTION("GOOGLETRANSLATE(O412,""my"", ""en"")"),"75160")</f>
        <v>75160</v>
      </c>
    </row>
    <row r="413" ht="22.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3" t="s">
        <v>2982</v>
      </c>
      <c r="L413" s="23" t="s">
        <v>2983</v>
      </c>
      <c r="M413" s="24" t="s">
        <v>2984</v>
      </c>
      <c r="N413" s="24" t="s">
        <v>2985</v>
      </c>
      <c r="O413" s="24" t="s">
        <v>2986</v>
      </c>
      <c r="P413" s="25" t="s">
        <v>2987</v>
      </c>
      <c r="AC413" s="10" t="str">
        <f>IFERROR(__xludf.DUMMYFUNCTION("GOOGLETRANSLATE(K413,""my"", ""en"")"),"ေဒ   tunnel etc.")</f>
        <v>ေဒ   tunnel etc.</v>
      </c>
      <c r="AD413" s="10" t="str">
        <f>IFERROR(__xludf.DUMMYFUNCTION("GOOGLETRANSLATE(L413,""my"", ""en"")")," Game Democracy group   Pop Party")</f>
        <v> Game Democracy group   Pop Party</v>
      </c>
      <c r="AE413" s="10" t="str">
        <f>IFERROR(__xludf.DUMMYFUNCTION("GOOGLETRANSLATE(M413,""my"", ""en"")"),"49015")</f>
        <v>49015</v>
      </c>
      <c r="AF413" s="10" t="str">
        <f>IFERROR(__xludf.DUMMYFUNCTION("GOOGLETRANSLATE(N413,""my"", ""en"")"),"15077")</f>
        <v>15077</v>
      </c>
      <c r="AG413" s="10" t="str">
        <f>IFERROR(__xludf.DUMMYFUNCTION("GOOGLETRANSLATE(O413,""my"", ""en"")"),"64092")</f>
        <v>64092</v>
      </c>
      <c r="AH413" s="10" t="str">
        <f>IFERROR(__xludf.DUMMYFUNCTION("GOOGLETRANSLATE(P413,""my"", ""en"")"),"85.27%")</f>
        <v>85.27%</v>
      </c>
    </row>
    <row r="414" ht="21.7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3" t="s">
        <v>2988</v>
      </c>
      <c r="L414" s="23" t="s">
        <v>2989</v>
      </c>
      <c r="M414" s="24" t="s">
        <v>2990</v>
      </c>
      <c r="N414" s="24" t="s">
        <v>2991</v>
      </c>
      <c r="O414" s="24" t="s">
        <v>2992</v>
      </c>
      <c r="P414" s="25" t="s">
        <v>2993</v>
      </c>
      <c r="AC414" s="10" t="str">
        <f>IFERROR(__xludf.DUMMYFUNCTION("GOOGLETRANSLATE(K414,""my"", ""en"")"),"Location  Game")</f>
        <v>Location  Game</v>
      </c>
      <c r="AD414" s="10" t="str">
        <f>IFERROR(__xludf.DUMMYFUNCTION("GOOGLETRANSLATE(L414,""my"", ""en"")"),"Local ေထာင် soap-stone strong ေရး  under development  Phil  ေရး Party")</f>
        <v>Local ေထာင် soap-stone strong ေရး  under development  Phil  ေရး Party</v>
      </c>
      <c r="AE414" s="10" t="str">
        <f>IFERROR(__xludf.DUMMYFUNCTION("GOOGLETRANSLATE(M414,""my"", ""en"")"),"6932")</f>
        <v>6932</v>
      </c>
      <c r="AF414" s="10" t="str">
        <f>IFERROR(__xludf.DUMMYFUNCTION("GOOGLETRANSLATE(N414,""my"", ""en"")"),"3047")</f>
        <v>3047</v>
      </c>
      <c r="AG414" s="10" t="str">
        <f>IFERROR(__xludf.DUMMYFUNCTION("GOOGLETRANSLATE(O414,""my"", ""en"")"),"9979")</f>
        <v>9979</v>
      </c>
      <c r="AH414" s="10" t="str">
        <f>IFERROR(__xludf.DUMMYFUNCTION("GOOGLETRANSLATE(P414,""my"", ""en"")"),"13.28%")</f>
        <v>13.28%</v>
      </c>
    </row>
    <row r="415" ht="21.7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3" t="s">
        <v>2994</v>
      </c>
      <c r="L415" s="23" t="s">
        <v>2995</v>
      </c>
      <c r="M415" s="24" t="s">
        <v>2996</v>
      </c>
      <c r="N415" s="24" t="s">
        <v>2997</v>
      </c>
      <c r="O415" s="24" t="s">
        <v>2998</v>
      </c>
      <c r="P415" s="25" t="s">
        <v>2999</v>
      </c>
      <c r="AC415" s="10" t="str">
        <f>IFERROR(__xludf.DUMMYFUNCTION("GOOGLETRANSLATE(K415,""my"", ""en"")"),"U Thein")</f>
        <v>U Thein</v>
      </c>
      <c r="AD415" s="10" t="str">
        <f>IFERROR(__xludf.DUMMYFUNCTION("GOOGLETRANSLATE(L415,""my"", ""en"")"),"Local ေထာင် စုေ white  Game ေဆာင် Party")</f>
        <v>Local ေထာင် စုေ white  Game ေဆာင် Party</v>
      </c>
      <c r="AE415" s="10" t="str">
        <f>IFERROR(__xludf.DUMMYFUNCTION("GOOGLETRANSLATE(M415,""my"", ""en"")"),"665")</f>
        <v>665</v>
      </c>
      <c r="AF415" s="10" t="str">
        <f>IFERROR(__xludf.DUMMYFUNCTION("GOOGLETRANSLATE(N415,""my"", ""en"")"),"424")</f>
        <v>424</v>
      </c>
      <c r="AG415" s="10" t="str">
        <f>IFERROR(__xludf.DUMMYFUNCTION("GOOGLETRANSLATE(O415,""my"", ""en"")"),"1089")</f>
        <v>1089</v>
      </c>
      <c r="AH415" s="10" t="str">
        <f>IFERROR(__xludf.DUMMYFUNCTION("GOOGLETRANSLATE(P415,""my"", ""en"")"),"1.45%")</f>
        <v>1.45%</v>
      </c>
    </row>
    <row r="416" ht="22.5" customHeight="1">
      <c r="A416" s="17" t="s">
        <v>3000</v>
      </c>
      <c r="B416" s="17" t="s">
        <v>3001</v>
      </c>
      <c r="C416" s="18" t="s">
        <v>3002</v>
      </c>
      <c r="D416" s="17" t="s">
        <v>3003</v>
      </c>
      <c r="E416" s="18" t="s">
        <v>3004</v>
      </c>
      <c r="F416" s="18" t="s">
        <v>3005</v>
      </c>
      <c r="G416" s="18" t="s">
        <v>3006</v>
      </c>
      <c r="H416" s="18" t="s">
        <v>3007</v>
      </c>
      <c r="I416" s="18" t="s">
        <v>3008</v>
      </c>
      <c r="J416" s="18" t="s">
        <v>3009</v>
      </c>
      <c r="K416" s="27"/>
      <c r="L416" s="27"/>
      <c r="M416" s="18" t="s">
        <v>3010</v>
      </c>
      <c r="N416" s="18" t="s">
        <v>3011</v>
      </c>
      <c r="O416" s="18" t="s">
        <v>3012</v>
      </c>
      <c r="P416" s="27"/>
      <c r="S416" s="10" t="str">
        <f>IFERROR(__xludf.DUMMYFUNCTION("GOOGLETRANSLATE(A416,""my"", ""en"")"),"66")</f>
        <v>66</v>
      </c>
      <c r="T416" s="10" t="str">
        <f>IFERROR(__xludf.DUMMYFUNCTION("GOOGLETRANSLATE(B416,""my"", ""en"")"),"မဲဆ  No. (6)")</f>
        <v>မဲဆ  No. (6)</v>
      </c>
      <c r="U416" s="10" t="str">
        <f>IFERROR(__xludf.DUMMYFUNCTION("GOOGLETRANSLATE(C416,""my"", ""en"")"),"106436")</f>
        <v>106436</v>
      </c>
      <c r="V416" s="10" t="str">
        <f>IFERROR(__xludf.DUMMYFUNCTION("GOOGLETRANSLATE(D416,""my"", ""en"")"),"48883")</f>
        <v>48883</v>
      </c>
      <c r="W416" s="10" t="str">
        <f>IFERROR(__xludf.DUMMYFUNCTION("GOOGLETRANSLATE(E416,""my"", ""en"")"),"17263")</f>
        <v>17263</v>
      </c>
      <c r="X416" s="10" t="str">
        <f>IFERROR(__xludf.DUMMYFUNCTION("GOOGLETRANSLATE(F416,""my"", ""en"")"),"66146")</f>
        <v>66146</v>
      </c>
      <c r="Y416" s="10" t="str">
        <f>IFERROR(__xludf.DUMMYFUNCTION("GOOGLETRANSLATE(G416,""my"", ""en"")"),"62.15")</f>
        <v>62.15</v>
      </c>
      <c r="Z416" s="10" t="str">
        <f>IFERROR(__xludf.DUMMYFUNCTION("GOOGLETRANSLATE(H416,""my"", ""en"")"),"1675")</f>
        <v>1675</v>
      </c>
      <c r="AA416" s="10" t="str">
        <f>IFERROR(__xludf.DUMMYFUNCTION("GOOGLETRANSLATE(I416,""my"", ""en"")"),"4")</f>
        <v>4</v>
      </c>
      <c r="AB416" s="10" t="str">
        <f>IFERROR(__xludf.DUMMYFUNCTION("GOOGLETRANSLATE(J416,""my"", ""en"")"),"1679")</f>
        <v>1679</v>
      </c>
      <c r="AE416" s="10" t="str">
        <f>IFERROR(__xludf.DUMMYFUNCTION("GOOGLETRANSLATE(M416,""my"", ""en"")"),"47568")</f>
        <v>47568</v>
      </c>
      <c r="AF416" s="10" t="str">
        <f>IFERROR(__xludf.DUMMYFUNCTION("GOOGLETRANSLATE(N416,""my"", ""en"")"),"16899")</f>
        <v>16899</v>
      </c>
      <c r="AG416" s="10" t="str">
        <f>IFERROR(__xludf.DUMMYFUNCTION("GOOGLETRANSLATE(O416,""my"", ""en"")"),"64467")</f>
        <v>64467</v>
      </c>
    </row>
    <row r="417" ht="24.0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3" t="s">
        <v>3013</v>
      </c>
      <c r="L417" s="23" t="s">
        <v>3014</v>
      </c>
      <c r="M417" s="24" t="s">
        <v>3015</v>
      </c>
      <c r="N417" s="24" t="s">
        <v>3016</v>
      </c>
      <c r="O417" s="24" t="s">
        <v>3017</v>
      </c>
      <c r="P417" s="25" t="s">
        <v>3018</v>
      </c>
      <c r="AC417" s="10" t="str">
        <f>IFERROR(__xludf.DUMMYFUNCTION("GOOGLETRANSLATE(K417,""my"", ""en"")"),"ေဌး Lwin")</f>
        <v>ေဌး Lwin</v>
      </c>
      <c r="AD417" s="10" t="str">
        <f>IFERROR(__xludf.DUMMYFUNCTION("GOOGLETRANSLATE(L417,""my"", ""en"")")," Game Democracy group   Pop Party")</f>
        <v> Game Democracy group   Pop Party</v>
      </c>
      <c r="AE417" s="10" t="str">
        <f>IFERROR(__xludf.DUMMYFUNCTION("GOOGLETRANSLATE(M417,""my"", ""en"")"),"37894")</f>
        <v>37894</v>
      </c>
      <c r="AF417" s="10" t="str">
        <f>IFERROR(__xludf.DUMMYFUNCTION("GOOGLETRANSLATE(N417,""my"", ""en"")"),"12392")</f>
        <v>12392</v>
      </c>
      <c r="AG417" s="10" t="str">
        <f>IFERROR(__xludf.DUMMYFUNCTION("GOOGLETRANSLATE(O417,""my"", ""en"")"),"50286")</f>
        <v>50286</v>
      </c>
      <c r="AH417" s="10" t="str">
        <f>IFERROR(__xludf.DUMMYFUNCTION("GOOGLETRANSLATE(P417,""my"", ""en"")"),"78.00%")</f>
        <v>78.00%</v>
      </c>
    </row>
    <row r="418" ht="22.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3" t="s">
        <v>3019</v>
      </c>
      <c r="L418" s="23" t="s">
        <v>3020</v>
      </c>
      <c r="M418" s="24" t="s">
        <v>3021</v>
      </c>
      <c r="N418" s="24" t="s">
        <v>3022</v>
      </c>
      <c r="O418" s="24" t="s">
        <v>3023</v>
      </c>
      <c r="P418" s="25" t="s">
        <v>3024</v>
      </c>
      <c r="AC418" s="10" t="str">
        <f>IFERROR(__xludf.DUMMYFUNCTION("GOOGLETRANSLATE(K418,""my"", ""en"")"),"Soe complex")</f>
        <v>Soe complex</v>
      </c>
      <c r="AD418" s="10" t="str">
        <f>IFERROR(__xludf.DUMMYFUNCTION("GOOGLETRANSLATE(L418,""my"", ""en"")"),"Local ေထာင် soap-stone strong ေရး  under development  Phil  ေရး Party")</f>
        <v>Local ေထာင် soap-stone strong ေရး  under development  Phil  ေရး Party</v>
      </c>
      <c r="AE418" s="10" t="str">
        <f>IFERROR(__xludf.DUMMYFUNCTION("GOOGLETRANSLATE(M418,""my"", ""en"")"),"8182")</f>
        <v>8182</v>
      </c>
      <c r="AF418" s="10" t="str">
        <f>IFERROR(__xludf.DUMMYFUNCTION("GOOGLETRANSLATE(N418,""my"", ""en"")"),"3705")</f>
        <v>3705</v>
      </c>
      <c r="AG418" s="10" t="str">
        <f>IFERROR(__xludf.DUMMYFUNCTION("GOOGLETRANSLATE(O418,""my"", ""en"")"),"11887")</f>
        <v>11887</v>
      </c>
      <c r="AH418" s="10" t="str">
        <f>IFERROR(__xludf.DUMMYFUNCTION("GOOGLETRANSLATE(P418,""my"", ""en"")"),"18.44%")</f>
        <v>18.44%</v>
      </c>
    </row>
    <row r="419" ht="24.0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3" t="s">
        <v>3025</v>
      </c>
      <c r="L419" s="23" t="s">
        <v>3026</v>
      </c>
      <c r="M419" s="24" t="s">
        <v>3027</v>
      </c>
      <c r="N419" s="24" t="s">
        <v>3028</v>
      </c>
      <c r="O419" s="24" t="s">
        <v>3029</v>
      </c>
      <c r="P419" s="25" t="s">
        <v>3030</v>
      </c>
      <c r="AC419" s="10" t="str">
        <f>IFERROR(__xludf.DUMMYFUNCTION("GOOGLETRANSLATE(K419,""my"", ""en"")"),"I ေကျာ")</f>
        <v>I ေကျာ</v>
      </c>
      <c r="AD419" s="10" t="str">
        <f>IFERROR(__xludf.DUMMYFUNCTION("GOOGLETRANSLATE(L419,""my"", ""en"")"),"Local ေထာင် စုေ white  Game ေဆာင် Party")</f>
        <v>Local ေထာင် စုေ white  Game ေဆာင် Party</v>
      </c>
      <c r="AE419" s="10" t="str">
        <f>IFERROR(__xludf.DUMMYFUNCTION("GOOGLETRANSLATE(M419,""my"", ""en"")"),"1148")</f>
        <v>1148</v>
      </c>
      <c r="AF419" s="10" t="str">
        <f>IFERROR(__xludf.DUMMYFUNCTION("GOOGLETRANSLATE(N419,""my"", ""en"")"),"596")</f>
        <v>596</v>
      </c>
      <c r="AG419" s="10" t="str">
        <f>IFERROR(__xludf.DUMMYFUNCTION("GOOGLETRANSLATE(O419,""my"", ""en"")"),"1744")</f>
        <v>1744</v>
      </c>
      <c r="AH419" s="10" t="str">
        <f>IFERROR(__xludf.DUMMYFUNCTION("GOOGLETRANSLATE(P419,""my"", ""en"")"),"2.71%")</f>
        <v>2.71%</v>
      </c>
    </row>
    <row r="420" ht="24.0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3" t="s">
        <v>3031</v>
      </c>
      <c r="L420" s="23" t="s">
        <v>3032</v>
      </c>
      <c r="M420" s="24" t="s">
        <v>3033</v>
      </c>
      <c r="N420" s="24" t="s">
        <v>3034</v>
      </c>
      <c r="O420" s="24" t="s">
        <v>3035</v>
      </c>
      <c r="P420" s="25" t="s">
        <v>3036</v>
      </c>
      <c r="AC420" s="10" t="str">
        <f>IFERROR(__xludf.DUMMYFUNCTION("GOOGLETRANSLATE(K420,""my"", ""en"")"),"U Win Shein")</f>
        <v>U Win Shein</v>
      </c>
      <c r="AD420" s="10" t="str">
        <f>IFERROR(__xludf.DUMMYFUNCTION("GOOGLETRANSLATE(L420,""my"", ""en"")"),"Personal ")</f>
        <v>Personal </v>
      </c>
      <c r="AE420" s="10" t="str">
        <f>IFERROR(__xludf.DUMMYFUNCTION("GOOGLETRANSLATE(M420,""my"", ""en"")"),"344")</f>
        <v>344</v>
      </c>
      <c r="AF420" s="10" t="str">
        <f>IFERROR(__xludf.DUMMYFUNCTION("GOOGLETRANSLATE(N420,""my"", ""en"")"),"206")</f>
        <v>206</v>
      </c>
      <c r="AG420" s="10" t="str">
        <f>IFERROR(__xludf.DUMMYFUNCTION("GOOGLETRANSLATE(O420,""my"", ""en"")"),"550")</f>
        <v>550</v>
      </c>
      <c r="AH420" s="10" t="str">
        <f>IFERROR(__xludf.DUMMYFUNCTION("GOOGLETRANSLATE(P420,""my"", ""en"")"),"0.85%")</f>
        <v>0.85%</v>
      </c>
    </row>
    <row r="421" ht="22.5" customHeight="1">
      <c r="A421" s="17" t="s">
        <v>3037</v>
      </c>
      <c r="B421" s="17" t="s">
        <v>3038</v>
      </c>
      <c r="C421" s="18" t="s">
        <v>3039</v>
      </c>
      <c r="D421" s="17" t="s">
        <v>3040</v>
      </c>
      <c r="E421" s="18" t="s">
        <v>3041</v>
      </c>
      <c r="F421" s="18" t="s">
        <v>3042</v>
      </c>
      <c r="G421" s="18" t="s">
        <v>3043</v>
      </c>
      <c r="H421" s="18" t="s">
        <v>3044</v>
      </c>
      <c r="I421" s="18" t="s">
        <v>3045</v>
      </c>
      <c r="J421" s="18" t="s">
        <v>3046</v>
      </c>
      <c r="K421" s="27"/>
      <c r="L421" s="27"/>
      <c r="M421" s="18" t="s">
        <v>3047</v>
      </c>
      <c r="N421" s="18" t="s">
        <v>3048</v>
      </c>
      <c r="O421" s="18" t="s">
        <v>3049</v>
      </c>
      <c r="P421" s="27"/>
      <c r="S421" s="10" t="str">
        <f>IFERROR(__xludf.DUMMYFUNCTION("GOOGLETRANSLATE(A421,""my"", ""en"")"),"67")</f>
        <v>67</v>
      </c>
      <c r="T421" s="10" t="str">
        <f>IFERROR(__xludf.DUMMYFUNCTION("GOOGLETRANSLATE(B421,""my"", ""en"")"),"မဲဆ  No. (7)")</f>
        <v>မဲဆ  No. (7)</v>
      </c>
      <c r="U421" s="10" t="str">
        <f>IFERROR(__xludf.DUMMYFUNCTION("GOOGLETRANSLATE(C421,""my"", ""en"")"),"54920")</f>
        <v>54920</v>
      </c>
      <c r="V421" s="10" t="str">
        <f>IFERROR(__xludf.DUMMYFUNCTION("GOOGLETRANSLATE(D421,""my"", ""en"")"),"35261")</f>
        <v>35261</v>
      </c>
      <c r="W421" s="10" t="str">
        <f>IFERROR(__xludf.DUMMYFUNCTION("GOOGLETRANSLATE(E421,""my"", ""en"")"),"8949")</f>
        <v>8949</v>
      </c>
      <c r="X421" s="10" t="str">
        <f>IFERROR(__xludf.DUMMYFUNCTION("GOOGLETRANSLATE(F421,""my"", ""en"")"),"44210")</f>
        <v>44210</v>
      </c>
      <c r="Y421" s="10" t="str">
        <f>IFERROR(__xludf.DUMMYFUNCTION("GOOGLETRANSLATE(G421,""my"", ""en"")"),"80.50")</f>
        <v>80.50</v>
      </c>
      <c r="Z421" s="10" t="str">
        <f>IFERROR(__xludf.DUMMYFUNCTION("GOOGLETRANSLATE(H421,""my"", ""en"")"),"1159")</f>
        <v>1159</v>
      </c>
      <c r="AA421" s="10" t="str">
        <f>IFERROR(__xludf.DUMMYFUNCTION("GOOGLETRANSLATE(I421,""my"", ""en"")"),"3")</f>
        <v>3</v>
      </c>
      <c r="AB421" s="10" t="str">
        <f>IFERROR(__xludf.DUMMYFUNCTION("GOOGLETRANSLATE(J421,""my"", ""en"")"),"1162")</f>
        <v>1162</v>
      </c>
      <c r="AE421" s="10" t="str">
        <f>IFERROR(__xludf.DUMMYFUNCTION("GOOGLETRANSLATE(M421,""my"", ""en"")"),"34142")</f>
        <v>34142</v>
      </c>
      <c r="AF421" s="10" t="str">
        <f>IFERROR(__xludf.DUMMYFUNCTION("GOOGLETRANSLATE(N421,""my"", ""en"")"),"8906")</f>
        <v>8906</v>
      </c>
      <c r="AG421" s="10" t="str">
        <f>IFERROR(__xludf.DUMMYFUNCTION("GOOGLETRANSLATE(O421,""my"", ""en"")"),"43048")</f>
        <v>43048</v>
      </c>
    </row>
    <row r="422" ht="24.0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3" t="s">
        <v>3050</v>
      </c>
      <c r="L422" s="23" t="s">
        <v>3051</v>
      </c>
      <c r="M422" s="24" t="s">
        <v>3052</v>
      </c>
      <c r="N422" s="24" t="s">
        <v>3053</v>
      </c>
      <c r="O422" s="24" t="s">
        <v>3054</v>
      </c>
      <c r="P422" s="25" t="s">
        <v>3055</v>
      </c>
      <c r="AC422" s="10" t="str">
        <f>IFERROR(__xludf.DUMMYFUNCTION("GOOGLETRANSLATE(K422,""my"", ""en"")"),"ေဇာ Hein")</f>
        <v>ေဇာ Hein</v>
      </c>
      <c r="AD422" s="10" t="str">
        <f>IFERROR(__xludf.DUMMYFUNCTION("GOOGLETRANSLATE(L422,""my"", ""en"")")," Game Democracy group   Pop Party")</f>
        <v> Game Democracy group   Pop Party</v>
      </c>
      <c r="AE422" s="10" t="str">
        <f>IFERROR(__xludf.DUMMYFUNCTION("GOOGLETRANSLATE(M422,""my"", ""en"")"),"24452")</f>
        <v>24452</v>
      </c>
      <c r="AF422" s="10" t="str">
        <f>IFERROR(__xludf.DUMMYFUNCTION("GOOGLETRANSLATE(N422,""my"", ""en"")"),"5853")</f>
        <v>5853</v>
      </c>
      <c r="AG422" s="10" t="str">
        <f>IFERROR(__xludf.DUMMYFUNCTION("GOOGLETRANSLATE(O422,""my"", ""en"")"),"30305")</f>
        <v>30305</v>
      </c>
      <c r="AH422" s="10" t="str">
        <f>IFERROR(__xludf.DUMMYFUNCTION("GOOGLETRANSLATE(P422,""my"", ""en"")"),"70.40%")</f>
        <v>70.40%</v>
      </c>
    </row>
    <row r="423" ht="24.7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3" t="s">
        <v>3056</v>
      </c>
      <c r="L423" s="23" t="s">
        <v>3057</v>
      </c>
      <c r="M423" s="24" t="s">
        <v>3058</v>
      </c>
      <c r="N423" s="24" t="s">
        <v>3059</v>
      </c>
      <c r="O423" s="24" t="s">
        <v>3060</v>
      </c>
      <c r="P423" s="25" t="s">
        <v>3061</v>
      </c>
      <c r="AC423" s="10" t="str">
        <f>IFERROR(__xludf.DUMMYFUNCTION("GOOGLETRANSLATE(K423,""my"", ""en"")"),"Win  ")</f>
        <v>Win  </v>
      </c>
      <c r="AD423" s="10" t="str">
        <f>IFERROR(__xludf.DUMMYFUNCTION("GOOGLETRANSLATE(L423,""my"", ""en"")"),"Local ေထာင် soap-stone strong ေရး  under development  Phil  ေရး Party")</f>
        <v>Local ေထာင် soap-stone strong ေရး  under development  Phil  ေရး Party</v>
      </c>
      <c r="AE423" s="10" t="str">
        <f>IFERROR(__xludf.DUMMYFUNCTION("GOOGLETRANSLATE(M423,""my"", ""en"")"),"8740")</f>
        <v>8740</v>
      </c>
      <c r="AF423" s="10" t="str">
        <f>IFERROR(__xludf.DUMMYFUNCTION("GOOGLETRANSLATE(N423,""my"", ""en"")"),"2763")</f>
        <v>2763</v>
      </c>
      <c r="AG423" s="10" t="str">
        <f>IFERROR(__xludf.DUMMYFUNCTION("GOOGLETRANSLATE(O423,""my"", ""en"")"),"11503")</f>
        <v>11503</v>
      </c>
      <c r="AH423" s="10" t="str">
        <f>IFERROR(__xludf.DUMMYFUNCTION("GOOGLETRANSLATE(P423,""my"", ""en"")"),"26.72%")</f>
        <v>26.72%</v>
      </c>
    </row>
    <row r="424" ht="24.7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3" t="s">
        <v>3062</v>
      </c>
      <c r="L424" s="23" t="s">
        <v>3063</v>
      </c>
      <c r="M424" s="24" t="s">
        <v>3064</v>
      </c>
      <c r="N424" s="24" t="s">
        <v>3065</v>
      </c>
      <c r="O424" s="24" t="s">
        <v>3066</v>
      </c>
      <c r="P424" s="25" t="s">
        <v>3067</v>
      </c>
      <c r="AC424" s="10" t="str">
        <f>IFERROR(__xludf.DUMMYFUNCTION("GOOGLETRANSLATE(K424,""my"", ""en"")")," ကည် Win")</f>
        <v> ကည် Win</v>
      </c>
      <c r="AD424" s="10" t="str">
        <f>IFERROR(__xludf.DUMMYFUNCTION("GOOGLETRANSLATE(L424,""my"", ""en"")"),"Local ေထာင် စုေ white  Game ေဆာင် Party")</f>
        <v>Local ေထာင် စုေ white  Game ေဆာင် Party</v>
      </c>
      <c r="AE424" s="10" t="str">
        <f>IFERROR(__xludf.DUMMYFUNCTION("GOOGLETRANSLATE(M424,""my"", ""en"")"),"584")</f>
        <v>584</v>
      </c>
      <c r="AF424" s="10" t="str">
        <f>IFERROR(__xludf.DUMMYFUNCTION("GOOGLETRANSLATE(N424,""my"", ""en"")"),"175")</f>
        <v>175</v>
      </c>
      <c r="AG424" s="10" t="str">
        <f>IFERROR(__xludf.DUMMYFUNCTION("GOOGLETRANSLATE(O424,""my"", ""en"")"),"759")</f>
        <v>759</v>
      </c>
      <c r="AH424" s="10" t="str">
        <f>IFERROR(__xludf.DUMMYFUNCTION("GOOGLETRANSLATE(P424,""my"", ""en"")"),"1.76%")</f>
        <v>1.76%</v>
      </c>
    </row>
    <row r="425" ht="24.0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3" t="s">
        <v>3068</v>
      </c>
      <c r="L425" s="23" t="s">
        <v>3069</v>
      </c>
      <c r="M425" s="24" t="s">
        <v>3070</v>
      </c>
      <c r="N425" s="24" t="s">
        <v>3071</v>
      </c>
      <c r="O425" s="24" t="s">
        <v>3072</v>
      </c>
      <c r="P425" s="25" t="s">
        <v>3073</v>
      </c>
      <c r="AC425" s="10" t="str">
        <f>IFERROR(__xludf.DUMMYFUNCTION("GOOGLETRANSLATE(K425,""my"", ""en"")"),"ေဇာ Win")</f>
        <v>ေဇာ Win</v>
      </c>
      <c r="AD425" s="10" t="str">
        <f>IFERROR(__xludf.DUMMYFUNCTION("GOOGLETRANSLATE(L425,""my"", ""en"")"),"Ethnic unity  working party ေရး")</f>
        <v>Ethnic unity  working party ေရး</v>
      </c>
      <c r="AE425" s="10" t="str">
        <f>IFERROR(__xludf.DUMMYFUNCTION("GOOGLETRANSLATE(M425,""my"", ""en"")"),"366")</f>
        <v>366</v>
      </c>
      <c r="AF425" s="10" t="str">
        <f>IFERROR(__xludf.DUMMYFUNCTION("GOOGLETRANSLATE(N425,""my"", ""en"")"),"115")</f>
        <v>115</v>
      </c>
      <c r="AG425" s="10" t="str">
        <f>IFERROR(__xludf.DUMMYFUNCTION("GOOGLETRANSLATE(O425,""my"", ""en"")"),"481")</f>
        <v>481</v>
      </c>
      <c r="AH425" s="10" t="str">
        <f>IFERROR(__xludf.DUMMYFUNCTION("GOOGLETRANSLATE(P425,""my"", ""en"")"),"1.12%")</f>
        <v>1.12%</v>
      </c>
    </row>
    <row r="426" ht="25.5" customHeight="1">
      <c r="A426" s="17" t="s">
        <v>3074</v>
      </c>
      <c r="B426" s="17" t="s">
        <v>3075</v>
      </c>
      <c r="C426" s="18" t="s">
        <v>3076</v>
      </c>
      <c r="D426" s="17" t="s">
        <v>3077</v>
      </c>
      <c r="E426" s="18" t="s">
        <v>3078</v>
      </c>
      <c r="F426" s="18" t="s">
        <v>3079</v>
      </c>
      <c r="G426" s="18" t="s">
        <v>3080</v>
      </c>
      <c r="H426" s="18" t="s">
        <v>3081</v>
      </c>
      <c r="I426" s="18" t="s">
        <v>3082</v>
      </c>
      <c r="J426" s="18" t="s">
        <v>3083</v>
      </c>
      <c r="K426" s="27"/>
      <c r="L426" s="27"/>
      <c r="M426" s="18" t="s">
        <v>3084</v>
      </c>
      <c r="N426" s="18" t="s">
        <v>3085</v>
      </c>
      <c r="O426" s="18" t="s">
        <v>3086</v>
      </c>
      <c r="P426" s="27"/>
      <c r="S426" s="10" t="str">
        <f>IFERROR(__xludf.DUMMYFUNCTION("GOOGLETRANSLATE(A426,""my"", ""en"")"),"68")</f>
        <v>68</v>
      </c>
      <c r="T426" s="10" t="str">
        <f>IFERROR(__xludf.DUMMYFUNCTION("GOOGLETRANSLATE(B426,""my"", ""en"")"),"မဲဆ  No. (8)")</f>
        <v>မဲဆ  No. (8)</v>
      </c>
      <c r="U426" s="10" t="str">
        <f>IFERROR(__xludf.DUMMYFUNCTION("GOOGLETRANSLATE(C426,""my"", ""en"")"),"59241")</f>
        <v>59241</v>
      </c>
      <c r="V426" s="10" t="str">
        <f>IFERROR(__xludf.DUMMYFUNCTION("GOOGLETRANSLATE(D426,""my"", ""en"")"),"37583")</f>
        <v>37583</v>
      </c>
      <c r="W426" s="10" t="str">
        <f>IFERROR(__xludf.DUMMYFUNCTION("GOOGLETRANSLATE(E426,""my"", ""en"")"),"6272")</f>
        <v>6272</v>
      </c>
      <c r="X426" s="10" t="str">
        <f>IFERROR(__xludf.DUMMYFUNCTION("GOOGLETRANSLATE(F426,""my"", ""en"")"),"43855")</f>
        <v>43855</v>
      </c>
      <c r="Y426" s="10" t="str">
        <f>IFERROR(__xludf.DUMMYFUNCTION("GOOGLETRANSLATE(G426,""my"", ""en"")"),"74.03")</f>
        <v>74.03</v>
      </c>
      <c r="Z426" s="10" t="str">
        <f>IFERROR(__xludf.DUMMYFUNCTION("GOOGLETRANSLATE(H426,""my"", ""en"")"),"1532")</f>
        <v>1532</v>
      </c>
      <c r="AA426" s="10" t="str">
        <f>IFERROR(__xludf.DUMMYFUNCTION("GOOGLETRANSLATE(I426,""my"", ""en"")"),"2")</f>
        <v>2</v>
      </c>
      <c r="AB426" s="10" t="str">
        <f>IFERROR(__xludf.DUMMYFUNCTION("GOOGLETRANSLATE(J426,""my"", ""en"")"),"1534")</f>
        <v>1534</v>
      </c>
      <c r="AE426" s="10" t="str">
        <f>IFERROR(__xludf.DUMMYFUNCTION("GOOGLETRANSLATE(M426,""my"", ""en"")"),"36534")</f>
        <v>36534</v>
      </c>
      <c r="AF426" s="10" t="str">
        <f>IFERROR(__xludf.DUMMYFUNCTION("GOOGLETRANSLATE(N426,""my"", ""en"")"),"5787")</f>
        <v>5787</v>
      </c>
      <c r="AG426" s="10" t="str">
        <f>IFERROR(__xludf.DUMMYFUNCTION("GOOGLETRANSLATE(O426,""my"", ""en"")"),"42321")</f>
        <v>42321</v>
      </c>
    </row>
    <row r="427" ht="25.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3" t="s">
        <v>3087</v>
      </c>
      <c r="L427" s="23" t="s">
        <v>3088</v>
      </c>
      <c r="M427" s="24" t="s">
        <v>3089</v>
      </c>
      <c r="N427" s="24" t="s">
        <v>3090</v>
      </c>
      <c r="O427" s="24" t="s">
        <v>3091</v>
      </c>
      <c r="P427" s="25" t="s">
        <v>3092</v>
      </c>
      <c r="AC427" s="10" t="str">
        <f>IFERROR(__xludf.DUMMYFUNCTION("GOOGLETRANSLATE(K427,""my"", ""en"")"),"Data  Thida")</f>
        <v>Data  Thida</v>
      </c>
      <c r="AD427" s="10" t="str">
        <f>IFERROR(__xludf.DUMMYFUNCTION("GOOGLETRANSLATE(L427,""my"", ""en"")")," Game Democracy group   Pop Party")</f>
        <v> Game Democracy group   Pop Party</v>
      </c>
      <c r="AE427" s="10" t="str">
        <f>IFERROR(__xludf.DUMMYFUNCTION("GOOGLETRANSLATE(M427,""my"", ""en"")"),"27618")</f>
        <v>27618</v>
      </c>
      <c r="AF427" s="10" t="str">
        <f>IFERROR(__xludf.DUMMYFUNCTION("GOOGLETRANSLATE(N427,""my"", ""en"")"),"4138")</f>
        <v>4138</v>
      </c>
      <c r="AG427" s="10" t="str">
        <f>IFERROR(__xludf.DUMMYFUNCTION("GOOGLETRANSLATE(O427,""my"", ""en"")"),"31756")</f>
        <v>31756</v>
      </c>
      <c r="AH427" s="10" t="str">
        <f>IFERROR(__xludf.DUMMYFUNCTION("GOOGLETRANSLATE(P427,""my"", ""en"")"),"75.04%")</f>
        <v>75.04%</v>
      </c>
    </row>
    <row r="428" ht="39.0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3" t="s">
        <v>3093</v>
      </c>
      <c r="L428" s="32" t="s">
        <v>3094</v>
      </c>
      <c r="M428" s="33" t="s">
        <v>3095</v>
      </c>
      <c r="N428" s="33" t="s">
        <v>3096</v>
      </c>
      <c r="O428" s="33" t="s">
        <v>3097</v>
      </c>
      <c r="P428" s="31" t="s">
        <v>3098</v>
      </c>
      <c r="AC428" s="10" t="str">
        <f>IFERROR(__xludf.DUMMYFUNCTION("GOOGLETRANSLATE(K428,""my"", ""en"")"),"Tiger tiger ေမာင် (b) ေမာင်")</f>
        <v>Tiger tiger ေမာင် (b) ေမာင်</v>
      </c>
      <c r="AD428" s="10" t="str">
        <f>IFERROR(__xludf.DUMMYFUNCTION("GOOGLETRANSLATE(L428,""my"", ""en"")"),"Local ေထာင် soap-stone strong ေရး  under development  Phil  ေရး Party")</f>
        <v>Local ေထာင် soap-stone strong ေရး  under development  Phil  ေရး Party</v>
      </c>
      <c r="AE428" s="10" t="str">
        <f>IFERROR(__xludf.DUMMYFUNCTION("GOOGLETRANSLATE(M428,""my"", ""en"")"),"7616")</f>
        <v>7616</v>
      </c>
      <c r="AF428" s="10" t="str">
        <f>IFERROR(__xludf.DUMMYFUNCTION("GOOGLETRANSLATE(N428,""my"", ""en"")"),"1374")</f>
        <v>1374</v>
      </c>
      <c r="AG428" s="10" t="str">
        <f>IFERROR(__xludf.DUMMYFUNCTION("GOOGLETRANSLATE(O428,""my"", ""en"")"),"8990")</f>
        <v>8990</v>
      </c>
      <c r="AH428" s="10" t="str">
        <f>IFERROR(__xludf.DUMMYFUNCTION("GOOGLETRANSLATE(P428,""my"", ""en"")"),"21.24%")</f>
        <v>21.24%</v>
      </c>
    </row>
    <row r="429" ht="25.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6" t="s">
        <v>3099</v>
      </c>
      <c r="L429" s="36" t="s">
        <v>3100</v>
      </c>
      <c r="M429" s="37" t="s">
        <v>3101</v>
      </c>
      <c r="N429" s="37" t="s">
        <v>3102</v>
      </c>
      <c r="O429" s="37" t="s">
        <v>3103</v>
      </c>
      <c r="P429" s="38" t="s">
        <v>3104</v>
      </c>
      <c r="AC429" s="10" t="str">
        <f>IFERROR(__xludf.DUMMYFUNCTION("GOOGLETRANSLATE(K429,""my"", ""en"")"),"ေဇာ Tun")</f>
        <v>ေဇာ Tun</v>
      </c>
      <c r="AD429" s="10" t="str">
        <f>IFERROR(__xludf.DUMMYFUNCTION("GOOGLETRANSLATE(L429,""my"", ""en"")"),"Local ေထာင် စုေ white  Game ေဆာင် Party")</f>
        <v>Local ေထာင် စုေ white  Game ေဆာင် Party</v>
      </c>
      <c r="AE429" s="10" t="str">
        <f>IFERROR(__xludf.DUMMYFUNCTION("GOOGLETRANSLATE(M429,""my"", ""en"")"),"453")</f>
        <v>453</v>
      </c>
      <c r="AF429" s="10" t="str">
        <f>IFERROR(__xludf.DUMMYFUNCTION("GOOGLETRANSLATE(N429,""my"", ""en"")"),"127")</f>
        <v>127</v>
      </c>
      <c r="AG429" s="10" t="str">
        <f>IFERROR(__xludf.DUMMYFUNCTION("GOOGLETRANSLATE(O429,""my"", ""en"")"),"580")</f>
        <v>580</v>
      </c>
      <c r="AH429" s="10" t="str">
        <f>IFERROR(__xludf.DUMMYFUNCTION("GOOGLETRANSLATE(P429,""my"", ""en"")"),"1.37%")</f>
        <v>1.37%</v>
      </c>
    </row>
    <row r="430" ht="25.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6" t="s">
        <v>3105</v>
      </c>
      <c r="L430" s="36" t="s">
        <v>3106</v>
      </c>
      <c r="M430" s="37" t="s">
        <v>3107</v>
      </c>
      <c r="N430" s="37" t="s">
        <v>3108</v>
      </c>
      <c r="O430" s="37" t="s">
        <v>3109</v>
      </c>
      <c r="P430" s="38" t="s">
        <v>3110</v>
      </c>
      <c r="AC430" s="10" t="str">
        <f>IFERROR(__xludf.DUMMYFUNCTION("GOOGLETRANSLATE(K430,""my"", ""en"")"),"ေစာ Bo ဘိုေ farther")</f>
        <v>ေစာ Bo ဘိုေ farther</v>
      </c>
      <c r="AD430" s="10" t="str">
        <f>IFERROR(__xludf.DUMMYFUNCTION("GOOGLETRANSLATE(L430,""my"", ""en"")"),"Karen ပည်သူ Party")</f>
        <v>Karen ပည်သူ Party</v>
      </c>
      <c r="AE430" s="10" t="str">
        <f>IFERROR(__xludf.DUMMYFUNCTION("GOOGLETRANSLATE(M430,""my"", ""en"")"),"447")</f>
        <v>447</v>
      </c>
      <c r="AF430" s="10" t="str">
        <f>IFERROR(__xludf.DUMMYFUNCTION("GOOGLETRANSLATE(N430,""my"", ""en"")"),"66")</f>
        <v>66</v>
      </c>
      <c r="AG430" s="10" t="str">
        <f>IFERROR(__xludf.DUMMYFUNCTION("GOOGLETRANSLATE(O430,""my"", ""en"")"),"513")</f>
        <v>513</v>
      </c>
      <c r="AH430" s="10" t="str">
        <f>IFERROR(__xludf.DUMMYFUNCTION("GOOGLETRANSLATE(P430,""my"", ""en"")"),"1.21%")</f>
        <v>1.21%</v>
      </c>
    </row>
    <row r="431" ht="25.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6" t="s">
        <v>3111</v>
      </c>
      <c r="L431" s="36" t="s">
        <v>3112</v>
      </c>
      <c r="M431" s="37" t="s">
        <v>3113</v>
      </c>
      <c r="N431" s="37" t="s">
        <v>3114</v>
      </c>
      <c r="O431" s="37" t="s">
        <v>3115</v>
      </c>
      <c r="P431" s="38" t="s">
        <v>3116</v>
      </c>
      <c r="AC431" s="10" t="str">
        <f>IFERROR(__xludf.DUMMYFUNCTION("GOOGLETRANSLATE(K431,""my"", ""en"")"),"ေကျာ")</f>
        <v>ေကျာ</v>
      </c>
      <c r="AD431" s="10" t="str">
        <f>IFERROR(__xludf.DUMMYFUNCTION("GOOGLETRANSLATE(L431,""my"", ""en"")"),"Democratic Party (Myanmar)")</f>
        <v>Democratic Party (Myanmar)</v>
      </c>
      <c r="AE431" s="10" t="str">
        <f>IFERROR(__xludf.DUMMYFUNCTION("GOOGLETRANSLATE(M431,""my"", ""en"")"),"400")</f>
        <v>400</v>
      </c>
      <c r="AF431" s="10" t="str">
        <f>IFERROR(__xludf.DUMMYFUNCTION("GOOGLETRANSLATE(N431,""my"", ""en"")"),"82")</f>
        <v>82</v>
      </c>
      <c r="AG431" s="10" t="str">
        <f>IFERROR(__xludf.DUMMYFUNCTION("GOOGLETRANSLATE(O431,""my"", ""en"")"),"482")</f>
        <v>482</v>
      </c>
      <c r="AH431" s="10" t="str">
        <f>IFERROR(__xludf.DUMMYFUNCTION("GOOGLETRANSLATE(P431,""my"", ""en"")"),"1.14%")</f>
        <v>1.14%</v>
      </c>
    </row>
    <row r="432" ht="24.75" customHeight="1">
      <c r="A432" s="17" t="s">
        <v>3117</v>
      </c>
      <c r="B432" s="17" t="s">
        <v>3118</v>
      </c>
      <c r="C432" s="18" t="s">
        <v>3119</v>
      </c>
      <c r="D432" s="17" t="s">
        <v>3120</v>
      </c>
      <c r="E432" s="18" t="s">
        <v>3121</v>
      </c>
      <c r="F432" s="18" t="s">
        <v>3122</v>
      </c>
      <c r="G432" s="18" t="s">
        <v>3123</v>
      </c>
      <c r="H432" s="18" t="s">
        <v>3124</v>
      </c>
      <c r="I432" s="18" t="s">
        <v>3125</v>
      </c>
      <c r="J432" s="18" t="s">
        <v>3126</v>
      </c>
      <c r="K432" s="27"/>
      <c r="L432" s="27"/>
      <c r="M432" s="18" t="s">
        <v>3127</v>
      </c>
      <c r="N432" s="18" t="s">
        <v>3128</v>
      </c>
      <c r="O432" s="18" t="s">
        <v>3129</v>
      </c>
      <c r="P432" s="27"/>
      <c r="S432" s="10" t="str">
        <f>IFERROR(__xludf.DUMMYFUNCTION("GOOGLETRANSLATE(A432,""my"", ""en"")"),"69")</f>
        <v>69</v>
      </c>
      <c r="T432" s="10" t="str">
        <f>IFERROR(__xludf.DUMMYFUNCTION("GOOGLETRANSLATE(B432,""my"", ""en"")"),"မဲဆ  No. (9)")</f>
        <v>မဲဆ  No. (9)</v>
      </c>
      <c r="U432" s="10" t="str">
        <f>IFERROR(__xludf.DUMMYFUNCTION("GOOGLETRANSLATE(C432,""my"", ""en"")"),"82313")</f>
        <v>82313</v>
      </c>
      <c r="V432" s="10" t="str">
        <f>IFERROR(__xludf.DUMMYFUNCTION("GOOGLETRANSLATE(D432,""my"", ""en"")"),"49979")</f>
        <v>49979</v>
      </c>
      <c r="W432" s="10" t="str">
        <f>IFERROR(__xludf.DUMMYFUNCTION("GOOGLETRANSLATE(E432,""my"", ""en"")"),"10638")</f>
        <v>10638</v>
      </c>
      <c r="X432" s="10" t="str">
        <f>IFERROR(__xludf.DUMMYFUNCTION("GOOGLETRANSLATE(F432,""my"", ""en"")"),"60617")</f>
        <v>60617</v>
      </c>
      <c r="Y432" s="10" t="str">
        <f>IFERROR(__xludf.DUMMYFUNCTION("GOOGLETRANSLATE(G432,""my"", ""en"")"),"73.64")</f>
        <v>73.64</v>
      </c>
      <c r="Z432" s="10" t="str">
        <f>IFERROR(__xludf.DUMMYFUNCTION("GOOGLETRANSLATE(H432,""my"", ""en"")"),"2560")</f>
        <v>2560</v>
      </c>
      <c r="AA432" s="10" t="str">
        <f>IFERROR(__xludf.DUMMYFUNCTION("GOOGLETRANSLATE(I432,""my"", ""en"")"),"79")</f>
        <v>79</v>
      </c>
      <c r="AB432" s="10" t="str">
        <f>IFERROR(__xludf.DUMMYFUNCTION("GOOGLETRANSLATE(J432,""my"", ""en"")"),"2639")</f>
        <v>2639</v>
      </c>
      <c r="AE432" s="10" t="str">
        <f>IFERROR(__xludf.DUMMYFUNCTION("GOOGLETRANSLATE(M432,""my"", ""en"")"),"47798")</f>
        <v>47798</v>
      </c>
      <c r="AF432" s="10" t="str">
        <f>IFERROR(__xludf.DUMMYFUNCTION("GOOGLETRANSLATE(N432,""my"", ""en"")"),"10180")</f>
        <v>10180</v>
      </c>
      <c r="AG432" s="10" t="str">
        <f>IFERROR(__xludf.DUMMYFUNCTION("GOOGLETRANSLATE(O432,""my"", ""en"")"),"57978")</f>
        <v>57978</v>
      </c>
    </row>
    <row r="433" ht="36.7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3" t="s">
        <v>3130</v>
      </c>
      <c r="L433" s="23" t="s">
        <v>3131</v>
      </c>
      <c r="M433" s="24" t="s">
        <v>3132</v>
      </c>
      <c r="N433" s="24" t="s">
        <v>3133</v>
      </c>
      <c r="O433" s="24" t="s">
        <v>3134</v>
      </c>
      <c r="P433" s="31" t="s">
        <v>3135</v>
      </c>
      <c r="AC433" s="10" t="str">
        <f>IFERROR(__xludf.DUMMYFUNCTION("GOOGLETRANSLATE(K433,""my"", ""en"")"),"The wholesaler's Friend (b) value လွပညျ့")</f>
        <v>The wholesaler's Friend (b) value လွပညျ့</v>
      </c>
      <c r="AD433" s="10" t="str">
        <f>IFERROR(__xludf.DUMMYFUNCTION("GOOGLETRANSLATE(L433,""my"", ""en"")")," Game Democracy group   Pop Party")</f>
        <v> Game Democracy group   Pop Party</v>
      </c>
      <c r="AE433" s="10" t="str">
        <f>IFERROR(__xludf.DUMMYFUNCTION("GOOGLETRANSLATE(M433,""my"", ""en"")"),"37011")</f>
        <v>37011</v>
      </c>
      <c r="AF433" s="10" t="str">
        <f>IFERROR(__xludf.DUMMYFUNCTION("GOOGLETRANSLATE(N433,""my"", ""en"")"),"7148")</f>
        <v>7148</v>
      </c>
      <c r="AG433" s="10" t="str">
        <f>IFERROR(__xludf.DUMMYFUNCTION("GOOGLETRANSLATE(O433,""my"", ""en"")"),"44159")</f>
        <v>44159</v>
      </c>
      <c r="AH433" s="10" t="str">
        <f>IFERROR(__xludf.DUMMYFUNCTION("GOOGLETRANSLATE(P433,""my"", ""en"")"),"76.16%")</f>
        <v>76.16%</v>
      </c>
    </row>
    <row r="434" ht="24.0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3" t="s">
        <v>3136</v>
      </c>
      <c r="L434" s="23" t="s">
        <v>3137</v>
      </c>
      <c r="M434" s="24" t="s">
        <v>3138</v>
      </c>
      <c r="N434" s="24" t="s">
        <v>3139</v>
      </c>
      <c r="O434" s="24" t="s">
        <v>3140</v>
      </c>
      <c r="P434" s="25" t="s">
        <v>3141</v>
      </c>
      <c r="AC434" s="10" t="str">
        <f>IFERROR(__xludf.DUMMYFUNCTION("GOOGLETRANSLATE(K434,""my"", ""en"")"),"Show million")</f>
        <v>Show million</v>
      </c>
      <c r="AD434" s="10" t="str">
        <f>IFERROR(__xludf.DUMMYFUNCTION("GOOGLETRANSLATE(L434,""my"", ""en"")"),"Local ေထာင် soap-stone strong ေရး  under development  Phil  ေရး Party")</f>
        <v>Local ေထာင် soap-stone strong ေရး  under development  Phil  ေရး Party</v>
      </c>
      <c r="AE434" s="10" t="str">
        <f>IFERROR(__xludf.DUMMYFUNCTION("GOOGLETRANSLATE(M434,""my"", ""en"")"),"5681")</f>
        <v>5681</v>
      </c>
      <c r="AF434" s="10" t="str">
        <f>IFERROR(__xludf.DUMMYFUNCTION("GOOGLETRANSLATE(N434,""my"", ""en"")"),"1740")</f>
        <v>1740</v>
      </c>
      <c r="AG434" s="10" t="str">
        <f>IFERROR(__xludf.DUMMYFUNCTION("GOOGLETRANSLATE(O434,""my"", ""en"")"),"7421")</f>
        <v>7421</v>
      </c>
      <c r="AH434" s="10" t="str">
        <f>IFERROR(__xludf.DUMMYFUNCTION("GOOGLETRANSLATE(P434,""my"", ""en"")"),"12.80%")</f>
        <v>12.80%</v>
      </c>
    </row>
    <row r="435" ht="22.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3" t="s">
        <v>3142</v>
      </c>
      <c r="L435" s="23" t="s">
        <v>3143</v>
      </c>
      <c r="M435" s="24" t="s">
        <v>3144</v>
      </c>
      <c r="N435" s="24" t="s">
        <v>3145</v>
      </c>
      <c r="O435" s="24" t="s">
        <v>3146</v>
      </c>
      <c r="P435" s="25" t="s">
        <v>3147</v>
      </c>
      <c r="AC435" s="10" t="str">
        <f>IFERROR(__xludf.DUMMYFUNCTION("GOOGLETRANSLATE(K435,""my"", ""en"")"),"Folded folded ေဒါက်   teams")</f>
        <v>Folded folded ေဒါက်   teams</v>
      </c>
      <c r="AD435" s="10" t="str">
        <f>IFERROR(__xludf.DUMMYFUNCTION("GOOGLETRANSLATE(L435,""my"", ""en"")"),"Personal ")</f>
        <v>Personal </v>
      </c>
      <c r="AE435" s="10" t="str">
        <f>IFERROR(__xludf.DUMMYFUNCTION("GOOGLETRANSLATE(M435,""my"", ""en"")"),"2862")</f>
        <v>2862</v>
      </c>
      <c r="AF435" s="10" t="str">
        <f>IFERROR(__xludf.DUMMYFUNCTION("GOOGLETRANSLATE(N435,""my"", ""en"")"),"554")</f>
        <v>554</v>
      </c>
      <c r="AG435" s="10" t="str">
        <f>IFERROR(__xludf.DUMMYFUNCTION("GOOGLETRANSLATE(O435,""my"", ""en"")"),"3416")</f>
        <v>3416</v>
      </c>
      <c r="AH435" s="10" t="str">
        <f>IFERROR(__xludf.DUMMYFUNCTION("GOOGLETRANSLATE(P435,""my"", ""en"")"),"5.89%")</f>
        <v>5.89%</v>
      </c>
    </row>
    <row r="436" ht="21.7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3" t="s">
        <v>3148</v>
      </c>
      <c r="L436" s="23" t="s">
        <v>3149</v>
      </c>
      <c r="M436" s="24" t="s">
        <v>3150</v>
      </c>
      <c r="N436" s="24" t="s">
        <v>3151</v>
      </c>
      <c r="O436" s="24" t="s">
        <v>3152</v>
      </c>
      <c r="P436" s="25" t="s">
        <v>3153</v>
      </c>
      <c r="AC436" s="10" t="str">
        <f>IFERROR(__xludf.DUMMYFUNCTION("GOOGLETRANSLATE(K436,""my"", ""en"")"),"From Tun  ")</f>
        <v>From Tun  </v>
      </c>
      <c r="AD436" s="10" t="str">
        <f>IFERROR(__xludf.DUMMYFUNCTION("GOOGLETRANSLATE(L436,""my"", ""en"")"),"Local ေထာင် စုေ white  Game ေဆာင် Party")</f>
        <v>Local ေထာင် စုေ white  Game ေဆာင် Party</v>
      </c>
      <c r="AE436" s="10" t="str">
        <f>IFERROR(__xludf.DUMMYFUNCTION("GOOGLETRANSLATE(M436,""my"", ""en"")"),"1143")</f>
        <v>1143</v>
      </c>
      <c r="AF436" s="10" t="str">
        <f>IFERROR(__xludf.DUMMYFUNCTION("GOOGLETRANSLATE(N436,""my"", ""en"")"),"358")</f>
        <v>358</v>
      </c>
      <c r="AG436" s="10" t="str">
        <f>IFERROR(__xludf.DUMMYFUNCTION("GOOGLETRANSLATE(O436,""my"", ""en"")"),"1501")</f>
        <v>1501</v>
      </c>
      <c r="AH436" s="10" t="str">
        <f>IFERROR(__xludf.DUMMYFUNCTION("GOOGLETRANSLATE(P436,""my"", ""en"")"),"2.59%")</f>
        <v>2.59%</v>
      </c>
    </row>
    <row r="437" ht="22.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3" t="s">
        <v>3154</v>
      </c>
      <c r="L437" s="23" t="s">
        <v>3155</v>
      </c>
      <c r="M437" s="24" t="s">
        <v>3156</v>
      </c>
      <c r="N437" s="24" t="s">
        <v>3157</v>
      </c>
      <c r="O437" s="24" t="s">
        <v>3158</v>
      </c>
      <c r="P437" s="25" t="s">
        <v>3159</v>
      </c>
      <c r="AC437" s="10" t="str">
        <f>IFERROR(__xludf.DUMMYFUNCTION("GOOGLETRANSLATE(K437,""my"", ""en"")"),"Soe")</f>
        <v>Soe</v>
      </c>
      <c r="AD437" s="10" t="str">
        <f>IFERROR(__xludf.DUMMYFUNCTION("GOOGLETRANSLATE(L437,""my"", ""en"")"),"Ethnic unity  working party ေရး")</f>
        <v>Ethnic unity  working party ေရး</v>
      </c>
      <c r="AE437" s="10" t="str">
        <f>IFERROR(__xludf.DUMMYFUNCTION("GOOGLETRANSLATE(M437,""my"", ""en"")"),"795")</f>
        <v>795</v>
      </c>
      <c r="AF437" s="10" t="str">
        <f>IFERROR(__xludf.DUMMYFUNCTION("GOOGLETRANSLATE(N437,""my"", ""en"")"),"271")</f>
        <v>271</v>
      </c>
      <c r="AG437" s="10" t="str">
        <f>IFERROR(__xludf.DUMMYFUNCTION("GOOGLETRANSLATE(O437,""my"", ""en"")"),"1066")</f>
        <v>1066</v>
      </c>
      <c r="AH437" s="10" t="str">
        <f>IFERROR(__xludf.DUMMYFUNCTION("GOOGLETRANSLATE(P437,""my"", ""en"")"),"1.84%")</f>
        <v>1.84%</v>
      </c>
    </row>
    <row r="438" ht="21.7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3" t="s">
        <v>3160</v>
      </c>
      <c r="L438" s="23" t="s">
        <v>3161</v>
      </c>
      <c r="M438" s="24" t="s">
        <v>3162</v>
      </c>
      <c r="N438" s="24" t="s">
        <v>3163</v>
      </c>
      <c r="O438" s="24" t="s">
        <v>3164</v>
      </c>
      <c r="P438" s="25" t="s">
        <v>3165</v>
      </c>
      <c r="AC438" s="10" t="str">
        <f>IFERROR(__xludf.DUMMYFUNCTION("GOOGLETRANSLATE(K438,""my"", ""en"")"),"ေအာင်")</f>
        <v>ေအာင်</v>
      </c>
      <c r="AD438" s="10" t="str">
        <f>IFERROR(__xludf.DUMMYFUNCTION("GOOGLETRANSLATE(L438,""my"", ""en"")"),"ပည်သူ ေရှ  ေဆာင် Party")</f>
        <v>ပည်သူ ေရှ  ေဆာင် Party</v>
      </c>
      <c r="AE438" s="10" t="str">
        <f>IFERROR(__xludf.DUMMYFUNCTION("GOOGLETRANSLATE(M438,""my"", ""en"")"),"306")</f>
        <v>306</v>
      </c>
      <c r="AF438" s="10" t="str">
        <f>IFERROR(__xludf.DUMMYFUNCTION("GOOGLETRANSLATE(N438,""my"", ""en"")"),"109")</f>
        <v>109</v>
      </c>
      <c r="AG438" s="10" t="str">
        <f>IFERROR(__xludf.DUMMYFUNCTION("GOOGLETRANSLATE(O438,""my"", ""en"")"),"415")</f>
        <v>415</v>
      </c>
      <c r="AH438" s="10" t="str">
        <f>IFERROR(__xludf.DUMMYFUNCTION("GOOGLETRANSLATE(P438,""my"", ""en"")"),"0.72%")</f>
        <v>0.72%</v>
      </c>
    </row>
    <row r="439" ht="22.5" customHeight="1">
      <c r="A439" s="17" t="s">
        <v>3166</v>
      </c>
      <c r="B439" s="17" t="s">
        <v>3167</v>
      </c>
      <c r="C439" s="18" t="s">
        <v>3168</v>
      </c>
      <c r="D439" s="17" t="s">
        <v>3169</v>
      </c>
      <c r="E439" s="18" t="s">
        <v>3170</v>
      </c>
      <c r="F439" s="18" t="s">
        <v>3171</v>
      </c>
      <c r="G439" s="18" t="s">
        <v>3172</v>
      </c>
      <c r="H439" s="18" t="s">
        <v>3173</v>
      </c>
      <c r="I439" s="18" t="s">
        <v>3174</v>
      </c>
      <c r="J439" s="18" t="s">
        <v>3175</v>
      </c>
      <c r="K439" s="27"/>
      <c r="L439" s="27"/>
      <c r="M439" s="18" t="s">
        <v>3176</v>
      </c>
      <c r="N439" s="18" t="s">
        <v>3177</v>
      </c>
      <c r="O439" s="18" t="s">
        <v>3178</v>
      </c>
      <c r="P439" s="27"/>
      <c r="S439" s="10" t="str">
        <f>IFERROR(__xludf.DUMMYFUNCTION("GOOGLETRANSLATE(A439,""my"", ""en"")"),"70")</f>
        <v>70</v>
      </c>
      <c r="T439" s="10" t="str">
        <f>IFERROR(__xludf.DUMMYFUNCTION("GOOGLETRANSLATE(B439,""my"", ""en"")"),"မဲဆ  No. (10)")</f>
        <v>မဲဆ  No. (10)</v>
      </c>
      <c r="U439" s="10" t="str">
        <f>IFERROR(__xludf.DUMMYFUNCTION("GOOGLETRANSLATE(C439,""my"", ""en"")"),"114023")</f>
        <v>114023</v>
      </c>
      <c r="V439" s="10" t="str">
        <f>IFERROR(__xludf.DUMMYFUNCTION("GOOGLETRANSLATE(D439,""my"", ""en"")"),"59812")</f>
        <v>59812</v>
      </c>
      <c r="W439" s="10" t="str">
        <f>IFERROR(__xludf.DUMMYFUNCTION("GOOGLETRANSLATE(E439,""my"", ""en"")"),"17431")</f>
        <v>17431</v>
      </c>
      <c r="X439" s="10" t="str">
        <f>IFERROR(__xludf.DUMMYFUNCTION("GOOGLETRANSLATE(F439,""my"", ""en"")"),"77243")</f>
        <v>77243</v>
      </c>
      <c r="Y439" s="10" t="str">
        <f>IFERROR(__xludf.DUMMYFUNCTION("GOOGLETRANSLATE(G439,""my"", ""en"")"),"67.74")</f>
        <v>67.74</v>
      </c>
      <c r="Z439" s="10" t="str">
        <f>IFERROR(__xludf.DUMMYFUNCTION("GOOGLETRANSLATE(H439,""my"", ""en"")"),"3016")</f>
        <v>3016</v>
      </c>
      <c r="AA439" s="10" t="str">
        <f>IFERROR(__xludf.DUMMYFUNCTION("GOOGLETRANSLATE(I439,""my"", ""en"")"),"482")</f>
        <v>482</v>
      </c>
      <c r="AB439" s="10" t="str">
        <f>IFERROR(__xludf.DUMMYFUNCTION("GOOGLETRANSLATE(J439,""my"", ""en"")"),"3498")</f>
        <v>3498</v>
      </c>
      <c r="AE439" s="10" t="str">
        <f>IFERROR(__xludf.DUMMYFUNCTION("GOOGLETRANSLATE(M439,""my"", ""en"")"),"56788")</f>
        <v>56788</v>
      </c>
      <c r="AF439" s="10" t="str">
        <f>IFERROR(__xludf.DUMMYFUNCTION("GOOGLETRANSLATE(N439,""my"", ""en"")"),"16957")</f>
        <v>16957</v>
      </c>
      <c r="AG439" s="10" t="str">
        <f>IFERROR(__xludf.DUMMYFUNCTION("GOOGLETRANSLATE(O439,""my"", ""en"")"),"73745")</f>
        <v>73745</v>
      </c>
    </row>
    <row r="440" ht="21.7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3" t="s">
        <v>3179</v>
      </c>
      <c r="L440" s="23" t="s">
        <v>3180</v>
      </c>
      <c r="M440" s="24" t="s">
        <v>3181</v>
      </c>
      <c r="N440" s="24" t="s">
        <v>3182</v>
      </c>
      <c r="O440" s="24" t="s">
        <v>3183</v>
      </c>
      <c r="P440" s="25" t="s">
        <v>3184</v>
      </c>
      <c r="AC440" s="10" t="str">
        <f>IFERROR(__xludf.DUMMYFUNCTION("GOOGLETRANSLATE(K440,""my"", ""en"")"),"March  Phil  Win")</f>
        <v>March  Phil  Win</v>
      </c>
      <c r="AD440" s="10" t="str">
        <f>IFERROR(__xludf.DUMMYFUNCTION("GOOGLETRANSLATE(L440,""my"", ""en"")")," Game Democracy group   Pop Party")</f>
        <v> Game Democracy group   Pop Party</v>
      </c>
      <c r="AE440" s="10" t="str">
        <f>IFERROR(__xludf.DUMMYFUNCTION("GOOGLETRANSLATE(M440,""my"", ""en"")"),"44818")</f>
        <v>44818</v>
      </c>
      <c r="AF440" s="10" t="str">
        <f>IFERROR(__xludf.DUMMYFUNCTION("GOOGLETRANSLATE(N440,""my"", ""en"")"),"12031")</f>
        <v>12031</v>
      </c>
      <c r="AG440" s="10" t="str">
        <f>IFERROR(__xludf.DUMMYFUNCTION("GOOGLETRANSLATE(O440,""my"", ""en"")"),"56849")</f>
        <v>56849</v>
      </c>
      <c r="AH440" s="10" t="str">
        <f>IFERROR(__xludf.DUMMYFUNCTION("GOOGLETRANSLATE(P440,""my"", ""en"")"),"77.09%")</f>
        <v>77.09%</v>
      </c>
    </row>
    <row r="441" ht="22.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3" t="s">
        <v>3185</v>
      </c>
      <c r="L441" s="23" t="s">
        <v>3186</v>
      </c>
      <c r="M441" s="24" t="s">
        <v>3187</v>
      </c>
      <c r="N441" s="24" t="s">
        <v>3188</v>
      </c>
      <c r="O441" s="24" t="s">
        <v>3189</v>
      </c>
      <c r="P441" s="25" t="s">
        <v>3190</v>
      </c>
      <c r="AC441" s="10" t="str">
        <f>IFERROR(__xludf.DUMMYFUNCTION("GOOGLETRANSLATE(K441,""my"", ""en"")"),"Zarni ေအာင်")</f>
        <v>Zarni ေအာင်</v>
      </c>
      <c r="AD441" s="10" t="str">
        <f>IFERROR(__xludf.DUMMYFUNCTION("GOOGLETRANSLATE(L441,""my"", ""en"")"),"Local ေထာင် soap-stone strong ေရး  under development  Phil  ေရး Party")</f>
        <v>Local ေထာင် soap-stone strong ေရး  under development  Phil  ေရး Party</v>
      </c>
      <c r="AE441" s="10" t="str">
        <f>IFERROR(__xludf.DUMMYFUNCTION("GOOGLETRANSLATE(M441,""my"", ""en"")"),"9950")</f>
        <v>9950</v>
      </c>
      <c r="AF441" s="10" t="str">
        <f>IFERROR(__xludf.DUMMYFUNCTION("GOOGLETRANSLATE(N441,""my"", ""en"")"),"4311")</f>
        <v>4311</v>
      </c>
      <c r="AG441" s="10" t="str">
        <f>IFERROR(__xludf.DUMMYFUNCTION("GOOGLETRANSLATE(O441,""my"", ""en"")"),"14261")</f>
        <v>14261</v>
      </c>
      <c r="AH441" s="10" t="str">
        <f>IFERROR(__xludf.DUMMYFUNCTION("GOOGLETRANSLATE(P441,""my"", ""en"")"),"19.34%")</f>
        <v>19.34%</v>
      </c>
    </row>
    <row r="442" ht="21.7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3" t="s">
        <v>3191</v>
      </c>
      <c r="L442" s="23" t="s">
        <v>3192</v>
      </c>
      <c r="M442" s="24" t="s">
        <v>3193</v>
      </c>
      <c r="N442" s="24" t="s">
        <v>3194</v>
      </c>
      <c r="O442" s="24" t="s">
        <v>3195</v>
      </c>
      <c r="P442" s="25" t="s">
        <v>3196</v>
      </c>
      <c r="AC442" s="10" t="str">
        <f>IFERROR(__xludf.DUMMYFUNCTION("GOOGLETRANSLATE(K442,""my"", ""en"")"),"The boat is precisely")</f>
        <v>The boat is precisely</v>
      </c>
      <c r="AD442" s="10" t="str">
        <f>IFERROR(__xludf.DUMMYFUNCTION("GOOGLETRANSLATE(L442,""my"", ""en"")"),"Local ေထာင် စုေ white  Game ေဆာင် Party")</f>
        <v>Local ေထာင် စုေ white  Game ေဆာင် Party</v>
      </c>
      <c r="AE442" s="10" t="str">
        <f>IFERROR(__xludf.DUMMYFUNCTION("GOOGLETRANSLATE(M442,""my"", ""en"")"),"2020")</f>
        <v>2020</v>
      </c>
      <c r="AF442" s="10" t="str">
        <f>IFERROR(__xludf.DUMMYFUNCTION("GOOGLETRANSLATE(N442,""my"", ""en"")"),"615")</f>
        <v>615</v>
      </c>
      <c r="AG442" s="10" t="str">
        <f>IFERROR(__xludf.DUMMYFUNCTION("GOOGLETRANSLATE(O442,""my"", ""en"")"),"2635")</f>
        <v>2635</v>
      </c>
      <c r="AH442" s="10" t="str">
        <f>IFERROR(__xludf.DUMMYFUNCTION("GOOGLETRANSLATE(P442,""my"", ""en"")"),"3.57%")</f>
        <v>3.57%</v>
      </c>
    </row>
    <row r="443" ht="21.75" customHeight="1">
      <c r="A443" s="17" t="s">
        <v>3197</v>
      </c>
      <c r="B443" s="17" t="s">
        <v>3198</v>
      </c>
      <c r="C443" s="18" t="s">
        <v>3199</v>
      </c>
      <c r="D443" s="17" t="s">
        <v>3200</v>
      </c>
      <c r="E443" s="18" t="s">
        <v>3201</v>
      </c>
      <c r="F443" s="18" t="s">
        <v>3202</v>
      </c>
      <c r="G443" s="18" t="s">
        <v>3203</v>
      </c>
      <c r="H443" s="18" t="s">
        <v>3204</v>
      </c>
      <c r="I443" s="18" t="s">
        <v>3205</v>
      </c>
      <c r="J443" s="18" t="s">
        <v>3206</v>
      </c>
      <c r="K443" s="27"/>
      <c r="L443" s="27"/>
      <c r="M443" s="18" t="s">
        <v>3207</v>
      </c>
      <c r="N443" s="18" t="s">
        <v>3208</v>
      </c>
      <c r="O443" s="18" t="s">
        <v>3209</v>
      </c>
      <c r="P443" s="27"/>
      <c r="S443" s="10" t="str">
        <f>IFERROR(__xludf.DUMMYFUNCTION("GOOGLETRANSLATE(A443,""my"", ""en"")"),"71")</f>
        <v>71</v>
      </c>
      <c r="T443" s="10" t="str">
        <f>IFERROR(__xludf.DUMMYFUNCTION("GOOGLETRANSLATE(B443,""my"", ""en"")"),"မဲဆ  No. (11)")</f>
        <v>မဲဆ  No. (11)</v>
      </c>
      <c r="U443" s="10" t="str">
        <f>IFERROR(__xludf.DUMMYFUNCTION("GOOGLETRANSLATE(C443,""my"", ""en"")"),"114163")</f>
        <v>114163</v>
      </c>
      <c r="V443" s="10" t="str">
        <f>IFERROR(__xludf.DUMMYFUNCTION("GOOGLETRANSLATE(D443,""my"", ""en"")"),"65786")</f>
        <v>65786</v>
      </c>
      <c r="W443" s="10" t="str">
        <f>IFERROR(__xludf.DUMMYFUNCTION("GOOGLETRANSLATE(E443,""my"", ""en"")"),"16732")</f>
        <v>16732</v>
      </c>
      <c r="X443" s="10" t="str">
        <f>IFERROR(__xludf.DUMMYFUNCTION("GOOGLETRANSLATE(F443,""my"", ""en"")"),"82518")</f>
        <v>82518</v>
      </c>
      <c r="Y443" s="10" t="str">
        <f>IFERROR(__xludf.DUMMYFUNCTION("GOOGLETRANSLATE(G443,""my"", ""en"")"),"72.28")</f>
        <v>72.28</v>
      </c>
      <c r="Z443" s="10" t="str">
        <f>IFERROR(__xludf.DUMMYFUNCTION("GOOGLETRANSLATE(H443,""my"", ""en"")"),"1559")</f>
        <v>1559</v>
      </c>
      <c r="AA443" s="10" t="str">
        <f>IFERROR(__xludf.DUMMYFUNCTION("GOOGLETRANSLATE(I443,""my"", ""en"")"),"21")</f>
        <v>21</v>
      </c>
      <c r="AB443" s="10" t="str">
        <f>IFERROR(__xludf.DUMMYFUNCTION("GOOGLETRANSLATE(J443,""my"", ""en"")"),"1580")</f>
        <v>1580</v>
      </c>
      <c r="AE443" s="10" t="str">
        <f>IFERROR(__xludf.DUMMYFUNCTION("GOOGLETRANSLATE(M443,""my"", ""en"")"),"64528")</f>
        <v>64528</v>
      </c>
      <c r="AF443" s="10" t="str">
        <f>IFERROR(__xludf.DUMMYFUNCTION("GOOGLETRANSLATE(N443,""my"", ""en"")"),"16410")</f>
        <v>16410</v>
      </c>
      <c r="AG443" s="10" t="str">
        <f>IFERROR(__xludf.DUMMYFUNCTION("GOOGLETRANSLATE(O443,""my"", ""en"")"),"80938")</f>
        <v>80938</v>
      </c>
    </row>
    <row r="444" ht="22.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3" t="s">
        <v>3210</v>
      </c>
      <c r="L444" s="23" t="s">
        <v>3211</v>
      </c>
      <c r="M444" s="24" t="s">
        <v>3212</v>
      </c>
      <c r="N444" s="24" t="s">
        <v>3213</v>
      </c>
      <c r="O444" s="24" t="s">
        <v>3214</v>
      </c>
      <c r="P444" s="25" t="s">
        <v>3215</v>
      </c>
      <c r="AC444" s="10" t="str">
        <f>IFERROR(__xludf.DUMMYFUNCTION("GOOGLETRANSLATE(K444,""my"", ""en"")"),"Tin ေဝ")</f>
        <v>Tin ေဝ</v>
      </c>
      <c r="AD444" s="10" t="str">
        <f>IFERROR(__xludf.DUMMYFUNCTION("GOOGLETRANSLATE(L444,""my"", ""en"")")," Game Democracy group   Pop Party")</f>
        <v> Game Democracy group   Pop Party</v>
      </c>
      <c r="AE444" s="10" t="str">
        <f>IFERROR(__xludf.DUMMYFUNCTION("GOOGLETRANSLATE(M444,""my"", ""en"")"),"53441")</f>
        <v>53441</v>
      </c>
      <c r="AF444" s="10" t="str">
        <f>IFERROR(__xludf.DUMMYFUNCTION("GOOGLETRANSLATE(N444,""my"", ""en"")"),"11751")</f>
        <v>11751</v>
      </c>
      <c r="AG444" s="10" t="str">
        <f>IFERROR(__xludf.DUMMYFUNCTION("GOOGLETRANSLATE(O444,""my"", ""en"")"),"65192")</f>
        <v>65192</v>
      </c>
      <c r="AH444" s="10" t="str">
        <f>IFERROR(__xludf.DUMMYFUNCTION("GOOGLETRANSLATE(P444,""my"", ""en"")"),"80.55%")</f>
        <v>80.55%</v>
      </c>
    </row>
    <row r="445" ht="21.7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3" t="s">
        <v>3216</v>
      </c>
      <c r="L445" s="23" t="s">
        <v>3217</v>
      </c>
      <c r="M445" s="24" t="s">
        <v>3218</v>
      </c>
      <c r="N445" s="24" t="s">
        <v>3219</v>
      </c>
      <c r="O445" s="24" t="s">
        <v>3220</v>
      </c>
      <c r="P445" s="25" t="s">
        <v>3221</v>
      </c>
      <c r="AC445" s="10" t="str">
        <f>IFERROR(__xludf.DUMMYFUNCTION("GOOGLETRANSLATE(K445,""my"", ""en"")"),"ေမာင် Tote")</f>
        <v>ေမာင် Tote</v>
      </c>
      <c r="AD445" s="10" t="str">
        <f>IFERROR(__xludf.DUMMYFUNCTION("GOOGLETRANSLATE(L445,""my"", ""en"")"),"Local ေထာင် soap-stone strong ေရး  under development  Phil  ေရး Party")</f>
        <v>Local ေထာင် soap-stone strong ေရး  under development  Phil  ေရး Party</v>
      </c>
      <c r="AE445" s="10" t="str">
        <f>IFERROR(__xludf.DUMMYFUNCTION("GOOGLETRANSLATE(M445,""my"", ""en"")"),"7892")</f>
        <v>7892</v>
      </c>
      <c r="AF445" s="10" t="str">
        <f>IFERROR(__xludf.DUMMYFUNCTION("GOOGLETRANSLATE(N445,""my"", ""en"")"),"3382")</f>
        <v>3382</v>
      </c>
      <c r="AG445" s="10" t="str">
        <f>IFERROR(__xludf.DUMMYFUNCTION("GOOGLETRANSLATE(O445,""my"", ""en"")"),"11274")</f>
        <v>11274</v>
      </c>
      <c r="AH445" s="10" t="str">
        <f>IFERROR(__xludf.DUMMYFUNCTION("GOOGLETRANSLATE(P445,""my"", ""en"")"),"13.93%")</f>
        <v>13.93%</v>
      </c>
    </row>
    <row r="446" ht="21.7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3" t="s">
        <v>3222</v>
      </c>
      <c r="L446" s="23" t="s">
        <v>3223</v>
      </c>
      <c r="M446" s="24" t="s">
        <v>3224</v>
      </c>
      <c r="N446" s="24" t="s">
        <v>3225</v>
      </c>
      <c r="O446" s="24" t="s">
        <v>3226</v>
      </c>
      <c r="P446" s="25" t="s">
        <v>3227</v>
      </c>
      <c r="AC446" s="10" t="str">
        <f>IFERROR(__xludf.DUMMYFUNCTION("GOOGLETRANSLATE(K446,""my"", ""en"")"),"Win Khaing (b) strong")</f>
        <v>Win Khaing (b) strong</v>
      </c>
      <c r="AD446" s="10" t="str">
        <f>IFERROR(__xludf.DUMMYFUNCTION("GOOGLETRANSLATE(L446,""my"", ""en"")"),"Local ေထာင် စုေ white  Game ေဆာင် Party")</f>
        <v>Local ေထာင် စုေ white  Game ေဆာင် Party</v>
      </c>
      <c r="AE446" s="10" t="str">
        <f>IFERROR(__xludf.DUMMYFUNCTION("GOOGLETRANSLATE(M446,""my"", ""en"")"),"1468")</f>
        <v>1468</v>
      </c>
      <c r="AF446" s="10" t="str">
        <f>IFERROR(__xludf.DUMMYFUNCTION("GOOGLETRANSLATE(N446,""my"", ""en"")"),"734")</f>
        <v>734</v>
      </c>
      <c r="AG446" s="10" t="str">
        <f>IFERROR(__xludf.DUMMYFUNCTION("GOOGLETRANSLATE(O446,""my"", ""en"")"),"2202")</f>
        <v>2202</v>
      </c>
      <c r="AH446" s="10" t="str">
        <f>IFERROR(__xludf.DUMMYFUNCTION("GOOGLETRANSLATE(P446,""my"", ""en"")"),"2.72%")</f>
        <v>2.72%</v>
      </c>
    </row>
    <row r="447" ht="22.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3" t="s">
        <v>3228</v>
      </c>
      <c r="L447" s="23" t="s">
        <v>3229</v>
      </c>
      <c r="M447" s="24" t="s">
        <v>3230</v>
      </c>
      <c r="N447" s="24" t="s">
        <v>3231</v>
      </c>
      <c r="O447" s="24" t="s">
        <v>3232</v>
      </c>
      <c r="P447" s="25" t="s">
        <v>3233</v>
      </c>
      <c r="AC447" s="10" t="str">
        <f>IFERROR(__xludf.DUMMYFUNCTION("GOOGLETRANSLATE(K447,""my"", ""en"")"),"Show ေအာင်")</f>
        <v>Show ေအာင်</v>
      </c>
      <c r="AD447" s="10" t="str">
        <f>IFERROR(__xludf.DUMMYFUNCTION("GOOGLETRANSLATE(L447,""my"", ""en"")"),"ပည်သူ ေရှ  ေဆာင် Party")</f>
        <v>ပည်သူ ေရှ  ေဆာင် Party</v>
      </c>
      <c r="AE447" s="10" t="str">
        <f>IFERROR(__xludf.DUMMYFUNCTION("GOOGLETRANSLATE(M447,""my"", ""en"")"),"847")</f>
        <v>847</v>
      </c>
      <c r="AF447" s="10" t="str">
        <f>IFERROR(__xludf.DUMMYFUNCTION("GOOGLETRANSLATE(N447,""my"", ""en"")"),"223")</f>
        <v>223</v>
      </c>
      <c r="AG447" s="10" t="str">
        <f>IFERROR(__xludf.DUMMYFUNCTION("GOOGLETRANSLATE(O447,""my"", ""en"")"),"1070")</f>
        <v>1070</v>
      </c>
      <c r="AH447" s="10" t="str">
        <f>IFERROR(__xludf.DUMMYFUNCTION("GOOGLETRANSLATE(P447,""my"", ""en"")"),"1.32%")</f>
        <v>1.32%</v>
      </c>
    </row>
    <row r="448" ht="21.7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3" t="s">
        <v>3234</v>
      </c>
      <c r="L448" s="23" t="s">
        <v>3235</v>
      </c>
      <c r="M448" s="24" t="s">
        <v>3236</v>
      </c>
      <c r="N448" s="24" t="s">
        <v>3237</v>
      </c>
      <c r="O448" s="24" t="s">
        <v>3238</v>
      </c>
      <c r="P448" s="25" t="s">
        <v>3239</v>
      </c>
      <c r="AC448" s="10" t="str">
        <f>IFERROR(__xludf.DUMMYFUNCTION("GOOGLETRANSLATE(K448,""my"", ""en"")"),"Data ")</f>
        <v>Data </v>
      </c>
      <c r="AD448" s="10" t="str">
        <f>IFERROR(__xludf.DUMMYFUNCTION("GOOGLETRANSLATE(L448,""my"", ""en"")"),"Ethnic unity  working party ေရး")</f>
        <v>Ethnic unity  working party ေရး</v>
      </c>
      <c r="AE448" s="10" t="str">
        <f>IFERROR(__xludf.DUMMYFUNCTION("GOOGLETRANSLATE(M448,""my"", ""en"")"),"558")</f>
        <v>558</v>
      </c>
      <c r="AF448" s="10" t="str">
        <f>IFERROR(__xludf.DUMMYFUNCTION("GOOGLETRANSLATE(N448,""my"", ""en"")"),"219")</f>
        <v>219</v>
      </c>
      <c r="AG448" s="10" t="str">
        <f>IFERROR(__xludf.DUMMYFUNCTION("GOOGLETRANSLATE(O448,""my"", ""en"")"),"777")</f>
        <v>777</v>
      </c>
      <c r="AH448" s="10" t="str">
        <f>IFERROR(__xludf.DUMMYFUNCTION("GOOGLETRANSLATE(P448,""my"", ""en"")"),"0.96%")</f>
        <v>0.96%</v>
      </c>
    </row>
    <row r="449" ht="21.7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3" t="s">
        <v>3240</v>
      </c>
      <c r="L449" s="23" t="s">
        <v>3241</v>
      </c>
      <c r="M449" s="24" t="s">
        <v>3242</v>
      </c>
      <c r="N449" s="24" t="s">
        <v>3243</v>
      </c>
      <c r="O449" s="24" t="s">
        <v>3244</v>
      </c>
      <c r="P449" s="25" t="s">
        <v>3245</v>
      </c>
      <c r="AC449" s="10" t="str">
        <f>IFERROR(__xludf.DUMMYFUNCTION("GOOGLETRANSLATE(K449,""my"", ""en"")"),"ေစာေ farther Win")</f>
        <v>ေစာေ farther Win</v>
      </c>
      <c r="AD449" s="10" t="str">
        <f>IFERROR(__xludf.DUMMYFUNCTION("GOOGLETRANSLATE(L449,""my"", ""en"")"),"Karen ပည်သူ Party")</f>
        <v>Karen ပည်သူ Party</v>
      </c>
      <c r="AE449" s="10" t="str">
        <f>IFERROR(__xludf.DUMMYFUNCTION("GOOGLETRANSLATE(M449,""my"", ""en"")"),"322")</f>
        <v>322</v>
      </c>
      <c r="AF449" s="10" t="str">
        <f>IFERROR(__xludf.DUMMYFUNCTION("GOOGLETRANSLATE(N449,""my"", ""en"")"),"101")</f>
        <v>101</v>
      </c>
      <c r="AG449" s="10" t="str">
        <f>IFERROR(__xludf.DUMMYFUNCTION("GOOGLETRANSLATE(O449,""my"", ""en"")"),"423")</f>
        <v>423</v>
      </c>
      <c r="AH449" s="10" t="str">
        <f>IFERROR(__xludf.DUMMYFUNCTION("GOOGLETRANSLATE(P449,""my"", ""en"")"),"0.52%")</f>
        <v>0.52%</v>
      </c>
    </row>
    <row r="450" ht="24.75" customHeight="1">
      <c r="A450" s="17" t="s">
        <v>3246</v>
      </c>
      <c r="B450" s="17" t="s">
        <v>3247</v>
      </c>
      <c r="C450" s="18" t="s">
        <v>3248</v>
      </c>
      <c r="D450" s="17" t="s">
        <v>3249</v>
      </c>
      <c r="E450" s="18" t="s">
        <v>3250</v>
      </c>
      <c r="F450" s="18" t="s">
        <v>3251</v>
      </c>
      <c r="G450" s="18" t="s">
        <v>3252</v>
      </c>
      <c r="H450" s="18" t="s">
        <v>3253</v>
      </c>
      <c r="I450" s="18" t="s">
        <v>3254</v>
      </c>
      <c r="J450" s="18" t="s">
        <v>3255</v>
      </c>
      <c r="K450" s="27"/>
      <c r="L450" s="27"/>
      <c r="M450" s="18" t="s">
        <v>3256</v>
      </c>
      <c r="N450" s="18" t="s">
        <v>3257</v>
      </c>
      <c r="O450" s="18" t="s">
        <v>3258</v>
      </c>
      <c r="P450" s="27"/>
      <c r="S450" s="10" t="str">
        <f>IFERROR(__xludf.DUMMYFUNCTION("GOOGLETRANSLATE(A450,""my"", ""en"")"),"72")</f>
        <v>72</v>
      </c>
      <c r="T450" s="10" t="str">
        <f>IFERROR(__xludf.DUMMYFUNCTION("GOOGLETRANSLATE(B450,""my"", ""en"")"),"မဲဆ  No. (12)")</f>
        <v>မဲဆ  No. (12)</v>
      </c>
      <c r="U450" s="10" t="str">
        <f>IFERROR(__xludf.DUMMYFUNCTION("GOOGLETRANSLATE(C450,""my"", ""en"")"),"112635")</f>
        <v>112635</v>
      </c>
      <c r="V450" s="10" t="str">
        <f>IFERROR(__xludf.DUMMYFUNCTION("GOOGLETRANSLATE(D450,""my"", ""en"")"),"64323")</f>
        <v>64323</v>
      </c>
      <c r="W450" s="10" t="str">
        <f>IFERROR(__xludf.DUMMYFUNCTION("GOOGLETRANSLATE(E450,""my"", ""en"")"),"11725")</f>
        <v>11725</v>
      </c>
      <c r="X450" s="10" t="str">
        <f>IFERROR(__xludf.DUMMYFUNCTION("GOOGLETRANSLATE(F450,""my"", ""en"")"),"76048")</f>
        <v>76048</v>
      </c>
      <c r="Y450" s="10" t="str">
        <f>IFERROR(__xludf.DUMMYFUNCTION("GOOGLETRANSLATE(G450,""my"", ""en"")"),"67.52")</f>
        <v>67.52</v>
      </c>
      <c r="Z450" s="10" t="str">
        <f>IFERROR(__xludf.DUMMYFUNCTION("GOOGLETRANSLATE(H450,""my"", ""en"")"),"2536")</f>
        <v>2536</v>
      </c>
      <c r="AA450" s="10" t="str">
        <f>IFERROR(__xludf.DUMMYFUNCTION("GOOGLETRANSLATE(I450,""my"", ""en"")"),"146")</f>
        <v>146</v>
      </c>
      <c r="AB450" s="10" t="str">
        <f>IFERROR(__xludf.DUMMYFUNCTION("GOOGLETRANSLATE(J450,""my"", ""en"")"),"2682")</f>
        <v>2682</v>
      </c>
      <c r="AE450" s="10" t="str">
        <f>IFERROR(__xludf.DUMMYFUNCTION("GOOGLETRANSLATE(M450,""my"", ""en"")"),"62065")</f>
        <v>62065</v>
      </c>
      <c r="AF450" s="10" t="str">
        <f>IFERROR(__xludf.DUMMYFUNCTION("GOOGLETRANSLATE(N450,""my"", ""en"")"),"11301")</f>
        <v>11301</v>
      </c>
      <c r="AG450" s="10" t="str">
        <f>IFERROR(__xludf.DUMMYFUNCTION("GOOGLETRANSLATE(O450,""my"", ""en"")"),"73366")</f>
        <v>73366</v>
      </c>
    </row>
    <row r="451" ht="24.0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3" t="s">
        <v>3259</v>
      </c>
      <c r="L451" s="23" t="s">
        <v>3260</v>
      </c>
      <c r="M451" s="24" t="s">
        <v>3261</v>
      </c>
      <c r="N451" s="24" t="s">
        <v>3262</v>
      </c>
      <c r="O451" s="24" t="s">
        <v>3263</v>
      </c>
      <c r="P451" s="25" t="s">
        <v>3264</v>
      </c>
      <c r="AC451" s="10" t="str">
        <f>IFERROR(__xludf.DUMMYFUNCTION("GOOGLETRANSLATE(K451,""my"", ""en"")"),"ေဇာ")</f>
        <v>ေဇာ</v>
      </c>
      <c r="AD451" s="10" t="str">
        <f>IFERROR(__xludf.DUMMYFUNCTION("GOOGLETRANSLATE(L451,""my"", ""en"")")," Game Democracy group   Pop Party")</f>
        <v> Game Democracy group   Pop Party</v>
      </c>
      <c r="AE451" s="10" t="str">
        <f>IFERROR(__xludf.DUMMYFUNCTION("GOOGLETRANSLATE(M451,""my"", ""en"")"),"48973")</f>
        <v>48973</v>
      </c>
      <c r="AF451" s="10" t="str">
        <f>IFERROR(__xludf.DUMMYFUNCTION("GOOGLETRANSLATE(N451,""my"", ""en"")"),"8035")</f>
        <v>8035</v>
      </c>
      <c r="AG451" s="10" t="str">
        <f>IFERROR(__xludf.DUMMYFUNCTION("GOOGLETRANSLATE(O451,""my"", ""en"")"),"57008")</f>
        <v>57008</v>
      </c>
      <c r="AH451" s="10" t="str">
        <f>IFERROR(__xludf.DUMMYFUNCTION("GOOGLETRANSLATE(P451,""my"", ""en"")"),"77.70%")</f>
        <v>77.70%</v>
      </c>
    </row>
    <row r="452" ht="24.0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3" t="s">
        <v>3265</v>
      </c>
      <c r="L452" s="23" t="s">
        <v>3266</v>
      </c>
      <c r="M452" s="24" t="s">
        <v>3267</v>
      </c>
      <c r="N452" s="24" t="s">
        <v>3268</v>
      </c>
      <c r="O452" s="24" t="s">
        <v>3269</v>
      </c>
      <c r="P452" s="25" t="s">
        <v>3270</v>
      </c>
      <c r="AC452" s="10" t="str">
        <f>IFERROR(__xludf.DUMMYFUNCTION("GOOGLETRANSLATE(K452,""my"", ""en"")"),"Do not play")</f>
        <v>Do not play</v>
      </c>
      <c r="AD452" s="10" t="str">
        <f>IFERROR(__xludf.DUMMYFUNCTION("GOOGLETRANSLATE(L452,""my"", ""en"")"),"Local ေထာင် soap-stone strong ေရး  under development  Phil  ေရး Party")</f>
        <v>Local ေထာင် soap-stone strong ေရး  under development  Phil  ေရး Party</v>
      </c>
      <c r="AE452" s="10" t="str">
        <f>IFERROR(__xludf.DUMMYFUNCTION("GOOGLETRANSLATE(M452,""my"", ""en"")"),"7343")</f>
        <v>7343</v>
      </c>
      <c r="AF452" s="10" t="str">
        <f>IFERROR(__xludf.DUMMYFUNCTION("GOOGLETRANSLATE(N452,""my"", ""en"")"),"1776")</f>
        <v>1776</v>
      </c>
      <c r="AG452" s="10" t="str">
        <f>IFERROR(__xludf.DUMMYFUNCTION("GOOGLETRANSLATE(O452,""my"", ""en"")"),"9119")</f>
        <v>9119</v>
      </c>
      <c r="AH452" s="10" t="str">
        <f>IFERROR(__xludf.DUMMYFUNCTION("GOOGLETRANSLATE(P452,""my"", ""en"")"),"12.43%")</f>
        <v>12.43%</v>
      </c>
    </row>
    <row r="453" ht="24.7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3" t="s">
        <v>3271</v>
      </c>
      <c r="L453" s="23" t="s">
        <v>3272</v>
      </c>
      <c r="M453" s="24" t="s">
        <v>3273</v>
      </c>
      <c r="N453" s="24" t="s">
        <v>3274</v>
      </c>
      <c r="O453" s="24" t="s">
        <v>3275</v>
      </c>
      <c r="P453" s="25" t="s">
        <v>3276</v>
      </c>
      <c r="AC453" s="10" t="str">
        <f>IFERROR(__xludf.DUMMYFUNCTION("GOOGLETRANSLATE(K453,""my"", ""en"")"),"လှြ")</f>
        <v>လှြ</v>
      </c>
      <c r="AD453" s="10" t="str">
        <f>IFERROR(__xludf.DUMMYFUNCTION("GOOGLETRANSLATE(L453,""my"", ""en"")"),"Local ေထာင် စုေ white  Game ေဆာင် Party")</f>
        <v>Local ေထာင် စုေ white  Game ေဆာင် Party</v>
      </c>
      <c r="AE453" s="10" t="str">
        <f>IFERROR(__xludf.DUMMYFUNCTION("GOOGLETRANSLATE(M453,""my"", ""en"")"),"3047")</f>
        <v>3047</v>
      </c>
      <c r="AF453" s="10" t="str">
        <f>IFERROR(__xludf.DUMMYFUNCTION("GOOGLETRANSLATE(N453,""my"", ""en"")"),"797")</f>
        <v>797</v>
      </c>
      <c r="AG453" s="10" t="str">
        <f>IFERROR(__xludf.DUMMYFUNCTION("GOOGLETRANSLATE(O453,""my"", ""en"")"),"3844")</f>
        <v>3844</v>
      </c>
      <c r="AH453" s="10" t="str">
        <f>IFERROR(__xludf.DUMMYFUNCTION("GOOGLETRANSLATE(P453,""my"", ""en"")"),"5.24%")</f>
        <v>5.24%</v>
      </c>
    </row>
    <row r="454" ht="24.0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3" t="s">
        <v>3277</v>
      </c>
      <c r="L454" s="23" t="s">
        <v>3278</v>
      </c>
      <c r="M454" s="24" t="s">
        <v>3279</v>
      </c>
      <c r="N454" s="24" t="s">
        <v>3280</v>
      </c>
      <c r="O454" s="24" t="s">
        <v>3281</v>
      </c>
      <c r="P454" s="25" t="s">
        <v>3282</v>
      </c>
      <c r="AC454" s="10" t="str">
        <f>IFERROR(__xludf.DUMMYFUNCTION("GOOGLETRANSLATE(K454,""my"", ""en"")")," ကည် Min Han")</f>
        <v> ကည် Min Han</v>
      </c>
      <c r="AD454" s="10" t="str">
        <f>IFERROR(__xludf.DUMMYFUNCTION("GOOGLETRANSLATE(L454,""my"", ""en"")"),"Mon  working party ေရး")</f>
        <v>Mon  working party ေရး</v>
      </c>
      <c r="AE454" s="10" t="str">
        <f>IFERROR(__xludf.DUMMYFUNCTION("GOOGLETRANSLATE(M454,""my"", ""en"")"),"1099")</f>
        <v>1099</v>
      </c>
      <c r="AF454" s="10" t="str">
        <f>IFERROR(__xludf.DUMMYFUNCTION("GOOGLETRANSLATE(N454,""my"", ""en"")"),"313")</f>
        <v>313</v>
      </c>
      <c r="AG454" s="10" t="str">
        <f>IFERROR(__xludf.DUMMYFUNCTION("GOOGLETRANSLATE(O454,""my"", ""en"")"),"1412")</f>
        <v>1412</v>
      </c>
      <c r="AH454" s="10" t="str">
        <f>IFERROR(__xludf.DUMMYFUNCTION("GOOGLETRANSLATE(P454,""my"", ""en"")"),"1.92%")</f>
        <v>1.92%</v>
      </c>
    </row>
    <row r="455" ht="24.0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3" t="s">
        <v>3283</v>
      </c>
      <c r="L455" s="23" t="s">
        <v>3284</v>
      </c>
      <c r="M455" s="24" t="s">
        <v>3285</v>
      </c>
      <c r="N455" s="24" t="s">
        <v>3286</v>
      </c>
      <c r="O455" s="24" t="s">
        <v>3287</v>
      </c>
      <c r="P455" s="25" t="s">
        <v>3288</v>
      </c>
      <c r="AC455" s="10" t="str">
        <f>IFERROR(__xludf.DUMMYFUNCTION("GOOGLETRANSLATE(K455,""my"", ""en"")"),"U")</f>
        <v>U</v>
      </c>
      <c r="AD455" s="10" t="str">
        <f>IFERROR(__xludf.DUMMYFUNCTION("GOOGLETRANSLATE(L455,""my"", ""en"")"),"Ethnic unity  working party ေရး")</f>
        <v>Ethnic unity  working party ေရး</v>
      </c>
      <c r="AE455" s="10" t="str">
        <f>IFERROR(__xludf.DUMMYFUNCTION("GOOGLETRANSLATE(M455,""my"", ""en"")"),"542")</f>
        <v>542</v>
      </c>
      <c r="AF455" s="10" t="str">
        <f>IFERROR(__xludf.DUMMYFUNCTION("GOOGLETRANSLATE(N455,""my"", ""en"")"),"174")</f>
        <v>174</v>
      </c>
      <c r="AG455" s="10" t="str">
        <f>IFERROR(__xludf.DUMMYFUNCTION("GOOGLETRANSLATE(O455,""my"", ""en"")"),"716")</f>
        <v>716</v>
      </c>
      <c r="AH455" s="10" t="str">
        <f>IFERROR(__xludf.DUMMYFUNCTION("GOOGLETRANSLATE(P455,""my"", ""en"")"),"0.98%")</f>
        <v>0.98%</v>
      </c>
    </row>
    <row r="456" ht="24.0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3" t="s">
        <v>3289</v>
      </c>
      <c r="L456" s="23" t="s">
        <v>3290</v>
      </c>
      <c r="M456" s="24" t="s">
        <v>3291</v>
      </c>
      <c r="N456" s="24" t="s">
        <v>3292</v>
      </c>
      <c r="O456" s="24" t="s">
        <v>3293</v>
      </c>
      <c r="P456" s="25" t="s">
        <v>3294</v>
      </c>
      <c r="AC456" s="10" t="str">
        <f>IFERROR(__xludf.DUMMYFUNCTION("GOOGLETRANSLATE(K456,""my"", ""en"")"),"I ေကျာ")</f>
        <v>I ေကျာ</v>
      </c>
      <c r="AD456" s="10" t="str">
        <f>IFERROR(__xludf.DUMMYFUNCTION("GOOGLETRANSLATE(L456,""my"", ""en"")"),"ပည်သူ ေရှ  ေဆာင် Party")</f>
        <v>ပည်သူ ေရှ  ေဆာင် Party</v>
      </c>
      <c r="AE456" s="10" t="str">
        <f>IFERROR(__xludf.DUMMYFUNCTION("GOOGLETRANSLATE(M456,""my"", ""en"")"),"583")</f>
        <v>583</v>
      </c>
      <c r="AF456" s="10" t="str">
        <f>IFERROR(__xludf.DUMMYFUNCTION("GOOGLETRANSLATE(N456,""my"", ""en"")"),"98")</f>
        <v>98</v>
      </c>
      <c r="AG456" s="10" t="str">
        <f>IFERROR(__xludf.DUMMYFUNCTION("GOOGLETRANSLATE(O456,""my"", ""en"")"),"681")</f>
        <v>681</v>
      </c>
      <c r="AH456" s="10" t="str">
        <f>IFERROR(__xludf.DUMMYFUNCTION("GOOGLETRANSLATE(P456,""my"", ""en"")"),"0.93%")</f>
        <v>0.93%</v>
      </c>
    </row>
    <row r="457" ht="24.0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3" t="s">
        <v>3295</v>
      </c>
      <c r="L457" s="23" t="s">
        <v>3296</v>
      </c>
      <c r="M457" s="24" t="s">
        <v>3297</v>
      </c>
      <c r="N457" s="24" t="s">
        <v>3298</v>
      </c>
      <c r="O457" s="24" t="s">
        <v>3299</v>
      </c>
      <c r="P457" s="25" t="s">
        <v>3300</v>
      </c>
      <c r="AC457" s="10" t="str">
        <f>IFERROR(__xludf.DUMMYFUNCTION("GOOGLETRANSLATE(K457,""my"", ""en"")"),"Khin million ေမာင်")</f>
        <v>Khin million ေမာင်</v>
      </c>
      <c r="AD457" s="10" t="str">
        <f>IFERROR(__xludf.DUMMYFUNCTION("GOOGLETRANSLATE(L457,""my"", ""en"")"),"ပည်သူ Party")</f>
        <v>ပည်သူ Party</v>
      </c>
      <c r="AE457" s="10" t="str">
        <f>IFERROR(__xludf.DUMMYFUNCTION("GOOGLETRANSLATE(M457,""my"", ""en"")"),"478")</f>
        <v>478</v>
      </c>
      <c r="AF457" s="10" t="str">
        <f>IFERROR(__xludf.DUMMYFUNCTION("GOOGLETRANSLATE(N457,""my"", ""en"")"),"108")</f>
        <v>108</v>
      </c>
      <c r="AG457" s="10" t="str">
        <f>IFERROR(__xludf.DUMMYFUNCTION("GOOGLETRANSLATE(O457,""my"", ""en"")"),"586")</f>
        <v>586</v>
      </c>
      <c r="AH457" s="10" t="str">
        <f>IFERROR(__xludf.DUMMYFUNCTION("GOOGLETRANSLATE(P457,""my"", ""en"")"),"0.80%")</f>
        <v>0.80%</v>
      </c>
    </row>
    <row r="458" ht="21.0" customHeight="1">
      <c r="A458" s="14"/>
      <c r="B458" s="15" t="s">
        <v>3301</v>
      </c>
      <c r="C458" s="16" t="s">
        <v>3302</v>
      </c>
      <c r="D458" s="16" t="s">
        <v>3303</v>
      </c>
      <c r="E458" s="16" t="s">
        <v>3304</v>
      </c>
      <c r="F458" s="16" t="s">
        <v>3305</v>
      </c>
      <c r="G458" s="16" t="s">
        <v>3306</v>
      </c>
      <c r="H458" s="16" t="s">
        <v>3307</v>
      </c>
      <c r="I458" s="16" t="s">
        <v>3308</v>
      </c>
      <c r="J458" s="16" t="s">
        <v>3309</v>
      </c>
      <c r="K458" s="14"/>
      <c r="L458" s="14"/>
      <c r="M458" s="16" t="s">
        <v>3310</v>
      </c>
      <c r="N458" s="16" t="s">
        <v>3311</v>
      </c>
      <c r="O458" s="16" t="s">
        <v>3312</v>
      </c>
      <c r="P458" s="14"/>
      <c r="T458" s="10" t="str">
        <f>IFERROR(__xludf.DUMMYFUNCTION("GOOGLETRANSLATE(B458,""my"", ""en"")")," key parts Bago")</f>
        <v> key parts Bago</v>
      </c>
      <c r="U458" s="10" t="str">
        <f>IFERROR(__xludf.DUMMYFUNCTION("GOOGLETRANSLATE(C458,""my"", ""en"")"),"3951637")</f>
        <v>3951637</v>
      </c>
      <c r="V458" s="10" t="str">
        <f>IFERROR(__xludf.DUMMYFUNCTION("GOOGLETRANSLATE(D458,""my"", ""en"")"),"2180560")</f>
        <v>2180560</v>
      </c>
      <c r="W458" s="10" t="str">
        <f>IFERROR(__xludf.DUMMYFUNCTION("GOOGLETRANSLATE(E458,""my"", ""en"")"),"658386")</f>
        <v>658386</v>
      </c>
      <c r="X458" s="10" t="str">
        <f>IFERROR(__xludf.DUMMYFUNCTION("GOOGLETRANSLATE(F458,""my"", ""en"")"),"2838946")</f>
        <v>2838946</v>
      </c>
      <c r="Y458" s="10" t="str">
        <f>IFERROR(__xludf.DUMMYFUNCTION("GOOGLETRANSLATE(G458,""my"", ""en"")"),"71.84")</f>
        <v>71.84</v>
      </c>
      <c r="Z458" s="10" t="str">
        <f>IFERROR(__xludf.DUMMYFUNCTION("GOOGLETRANSLATE(H458,""my"", ""en"")"),"63986")</f>
        <v>63986</v>
      </c>
      <c r="AA458" s="10" t="str">
        <f>IFERROR(__xludf.DUMMYFUNCTION("GOOGLETRANSLATE(I458,""my"", ""en"")"),"2130")</f>
        <v>2130</v>
      </c>
      <c r="AB458" s="10" t="str">
        <f>IFERROR(__xludf.DUMMYFUNCTION("GOOGLETRANSLATE(J458,""my"", ""en"")"),"66116")</f>
        <v>66116</v>
      </c>
      <c r="AE458" s="10" t="str">
        <f>IFERROR(__xludf.DUMMYFUNCTION("GOOGLETRANSLATE(M458,""my"", ""en"")"),"2123597")</f>
        <v>2123597</v>
      </c>
      <c r="AF458" s="10" t="str">
        <f>IFERROR(__xludf.DUMMYFUNCTION("GOOGLETRANSLATE(N458,""my"", ""en"")"),"649233")</f>
        <v>649233</v>
      </c>
      <c r="AG458" s="10" t="str">
        <f>IFERROR(__xludf.DUMMYFUNCTION("GOOGLETRANSLATE(O458,""my"", ""en"")"),"2772830")</f>
        <v>2772830</v>
      </c>
    </row>
    <row r="459" ht="21.0" customHeight="1">
      <c r="A459" s="17" t="s">
        <v>3313</v>
      </c>
      <c r="B459" s="17" t="s">
        <v>3314</v>
      </c>
      <c r="C459" s="18" t="s">
        <v>3315</v>
      </c>
      <c r="D459" s="18" t="s">
        <v>3316</v>
      </c>
      <c r="E459" s="18" t="s">
        <v>3317</v>
      </c>
      <c r="F459" s="18" t="s">
        <v>3318</v>
      </c>
      <c r="G459" s="18" t="s">
        <v>3319</v>
      </c>
      <c r="H459" s="18" t="s">
        <v>3320</v>
      </c>
      <c r="I459" s="18" t="s">
        <v>3321</v>
      </c>
      <c r="J459" s="18" t="s">
        <v>3322</v>
      </c>
      <c r="K459" s="27"/>
      <c r="L459" s="27"/>
      <c r="M459" s="46" t="s">
        <v>3323</v>
      </c>
      <c r="N459" s="46" t="s">
        <v>3324</v>
      </c>
      <c r="O459" s="18" t="s">
        <v>3325</v>
      </c>
      <c r="P459" s="27"/>
      <c r="S459" s="10" t="str">
        <f>IFERROR(__xludf.DUMMYFUNCTION("GOOGLETRANSLATE(A459,""my"", ""en"")"),"73")</f>
        <v>73</v>
      </c>
      <c r="T459" s="10" t="str">
        <f>IFERROR(__xludf.DUMMYFUNCTION("GOOGLETRANSLATE(B459,""my"", ""en"")"),"မဲဆ  No. (1)")</f>
        <v>မဲဆ  No. (1)</v>
      </c>
      <c r="U459" s="10" t="str">
        <f>IFERROR(__xludf.DUMMYFUNCTION("GOOGLETRANSLATE(C459,""my"", ""en"")"),"298569")</f>
        <v>298569</v>
      </c>
      <c r="V459" s="10" t="str">
        <f>IFERROR(__xludf.DUMMYFUNCTION("GOOGLETRANSLATE(D459,""my"", ""en"")"),"163963")</f>
        <v>163963</v>
      </c>
      <c r="W459" s="10" t="str">
        <f>IFERROR(__xludf.DUMMYFUNCTION("GOOGLETRANSLATE(E459,""my"", ""en"")"),"36357")</f>
        <v>36357</v>
      </c>
      <c r="X459" s="10" t="str">
        <f>IFERROR(__xludf.DUMMYFUNCTION("GOOGLETRANSLATE(F459,""my"", ""en"")"),"200320")</f>
        <v>200320</v>
      </c>
      <c r="Y459" s="10" t="str">
        <f>IFERROR(__xludf.DUMMYFUNCTION("GOOGLETRANSLATE(G459,""my"", ""en"")"),"67.09")</f>
        <v>67.09</v>
      </c>
      <c r="Z459" s="10" t="str">
        <f>IFERROR(__xludf.DUMMYFUNCTION("GOOGLETRANSLATE(H459,""my"", ""en"")"),"6800")</f>
        <v>6800</v>
      </c>
      <c r="AA459" s="10" t="str">
        <f>IFERROR(__xludf.DUMMYFUNCTION("GOOGLETRANSLATE(I459,""my"", ""en"")"),"174")</f>
        <v>174</v>
      </c>
      <c r="AB459" s="10" t="str">
        <f>IFERROR(__xludf.DUMMYFUNCTION("GOOGLETRANSLATE(J459,""my"", ""en"")"),"6974")</f>
        <v>6974</v>
      </c>
      <c r="AE459" s="10" t="str">
        <f>IFERROR(__xludf.DUMMYFUNCTION("GOOGLETRANSLATE(M459,""my"", ""en"")"),"157155")</f>
        <v>157155</v>
      </c>
      <c r="AF459" s="10" t="str">
        <f>IFERROR(__xludf.DUMMYFUNCTION("GOOGLETRANSLATE(N459,""my"", ""en"")"),"36191")</f>
        <v>36191</v>
      </c>
      <c r="AG459" s="10" t="str">
        <f>IFERROR(__xludf.DUMMYFUNCTION("GOOGLETRANSLATE(O459,""my"", ""en"")"),"193346")</f>
        <v>193346</v>
      </c>
    </row>
    <row r="460" ht="19.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3" t="s">
        <v>3326</v>
      </c>
      <c r="L460" s="23" t="s">
        <v>3327</v>
      </c>
      <c r="M460" s="24" t="s">
        <v>3328</v>
      </c>
      <c r="N460" s="24" t="s">
        <v>3329</v>
      </c>
      <c r="O460" s="24" t="s">
        <v>3330</v>
      </c>
      <c r="P460" s="25" t="s">
        <v>3331</v>
      </c>
      <c r="AC460" s="10" t="str">
        <f>IFERROR(__xludf.DUMMYFUNCTION("GOOGLETRANSLATE(K460,""my"", ""en"")"),"Dr. Win")</f>
        <v>Dr. Win</v>
      </c>
      <c r="AD460" s="10" t="str">
        <f>IFERROR(__xludf.DUMMYFUNCTION("GOOGLETRANSLATE(L460,""my"", ""en"")")," Game Democracy group   Pop Party")</f>
        <v> Game Democracy group   Pop Party</v>
      </c>
      <c r="AE460" s="10" t="str">
        <f>IFERROR(__xludf.DUMMYFUNCTION("GOOGLETRANSLATE(M460,""my"", ""en"")"),"105481")</f>
        <v>105481</v>
      </c>
      <c r="AF460" s="10" t="str">
        <f>IFERROR(__xludf.DUMMYFUNCTION("GOOGLETRANSLATE(N460,""my"", ""en"")"),"21584")</f>
        <v>21584</v>
      </c>
      <c r="AG460" s="10" t="str">
        <f>IFERROR(__xludf.DUMMYFUNCTION("GOOGLETRANSLATE(O460,""my"", ""en"")"),"127065")</f>
        <v>127065</v>
      </c>
      <c r="AH460" s="10" t="str">
        <f>IFERROR(__xludf.DUMMYFUNCTION("GOOGLETRANSLATE(P460,""my"", ""en"")"),"65.72%")</f>
        <v>65.72%</v>
      </c>
    </row>
    <row r="461" ht="19.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6" t="s">
        <v>3332</v>
      </c>
      <c r="L461" s="36" t="s">
        <v>3333</v>
      </c>
      <c r="M461" s="37" t="s">
        <v>3334</v>
      </c>
      <c r="N461" s="37" t="s">
        <v>3335</v>
      </c>
      <c r="O461" s="37" t="s">
        <v>3336</v>
      </c>
      <c r="P461" s="38" t="s">
        <v>3337</v>
      </c>
      <c r="AC461" s="10" t="str">
        <f>IFERROR(__xludf.DUMMYFUNCTION("GOOGLETRANSLATE(K461,""my"", ""en"")"),"Soe")</f>
        <v>Soe</v>
      </c>
      <c r="AD461" s="10" t="str">
        <f>IFERROR(__xludf.DUMMYFUNCTION("GOOGLETRANSLATE(L461,""my"", ""en"")"),"Local ေထာင် soap-stone strong ေရး  under development  Phil  ေရး Party")</f>
        <v>Local ေထာင် soap-stone strong ေရး  under development  Phil  ေရး Party</v>
      </c>
      <c r="AE461" s="10" t="str">
        <f>IFERROR(__xludf.DUMMYFUNCTION("GOOGLETRANSLATE(M461,""my"", ""en"")"),"30806")</f>
        <v>30806</v>
      </c>
      <c r="AF461" s="10" t="str">
        <f>IFERROR(__xludf.DUMMYFUNCTION("GOOGLETRANSLATE(N461,""my"", ""en"")"),"9010")</f>
        <v>9010</v>
      </c>
      <c r="AG461" s="10" t="str">
        <f>IFERROR(__xludf.DUMMYFUNCTION("GOOGLETRANSLATE(O461,""my"", ""en"")"),"39816")</f>
        <v>39816</v>
      </c>
      <c r="AH461" s="10" t="str">
        <f>IFERROR(__xludf.DUMMYFUNCTION("GOOGLETRANSLATE(P461,""my"", ""en"")"),"20.59%")</f>
        <v>20.59%</v>
      </c>
    </row>
    <row r="462" ht="22.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6" t="s">
        <v>3338</v>
      </c>
      <c r="L462" s="36" t="s">
        <v>3339</v>
      </c>
      <c r="M462" s="37" t="s">
        <v>3340</v>
      </c>
      <c r="N462" s="37" t="s">
        <v>3341</v>
      </c>
      <c r="O462" s="37" t="s">
        <v>3342</v>
      </c>
      <c r="P462" s="38" t="s">
        <v>3343</v>
      </c>
      <c r="AC462" s="10" t="str">
        <f>IFERROR(__xludf.DUMMYFUNCTION("GOOGLETRANSLATE(K462,""my"", ""en"")"),"I ေအာင်")</f>
        <v>I ေအာင်</v>
      </c>
      <c r="AD462" s="10" t="str">
        <f>IFERROR(__xludf.DUMMYFUNCTION("GOOGLETRANSLATE(L462,""my"", ""en"")"),"Local ေထာင် စုေ white  Game ေဆာင် Party")</f>
        <v>Local ေထာင် စုေ white  Game ေဆာင် Party</v>
      </c>
      <c r="AE462" s="10" t="str">
        <f>IFERROR(__xludf.DUMMYFUNCTION("GOOGLETRANSLATE(M462,""my"", ""en"")"),"20868")</f>
        <v>20868</v>
      </c>
      <c r="AF462" s="10" t="str">
        <f>IFERROR(__xludf.DUMMYFUNCTION("GOOGLETRANSLATE(N462,""my"", ""en"")"),"5597")</f>
        <v>5597</v>
      </c>
      <c r="AG462" s="10" t="str">
        <f>IFERROR(__xludf.DUMMYFUNCTION("GOOGLETRANSLATE(O462,""my"", ""en"")"),"26465")</f>
        <v>26465</v>
      </c>
      <c r="AH462" s="10" t="str">
        <f>IFERROR(__xludf.DUMMYFUNCTION("GOOGLETRANSLATE(P462,""my"", ""en"")"),"13.69%")</f>
        <v>13.69%</v>
      </c>
    </row>
    <row r="463" ht="22.5" customHeight="1">
      <c r="A463" s="17" t="s">
        <v>3344</v>
      </c>
      <c r="B463" s="17" t="s">
        <v>3345</v>
      </c>
      <c r="C463" s="18" t="s">
        <v>3346</v>
      </c>
      <c r="D463" s="18" t="s">
        <v>3347</v>
      </c>
      <c r="E463" s="18" t="s">
        <v>3348</v>
      </c>
      <c r="F463" s="18" t="s">
        <v>3349</v>
      </c>
      <c r="G463" s="18" t="s">
        <v>3350</v>
      </c>
      <c r="H463" s="18" t="s">
        <v>3351</v>
      </c>
      <c r="I463" s="18" t="s">
        <v>3352</v>
      </c>
      <c r="J463" s="18" t="s">
        <v>3353</v>
      </c>
      <c r="K463" s="27"/>
      <c r="L463" s="27"/>
      <c r="M463" s="18" t="s">
        <v>3354</v>
      </c>
      <c r="N463" s="18" t="s">
        <v>3355</v>
      </c>
      <c r="O463" s="18" t="s">
        <v>3356</v>
      </c>
      <c r="P463" s="27"/>
      <c r="S463" s="10" t="str">
        <f>IFERROR(__xludf.DUMMYFUNCTION("GOOGLETRANSLATE(A463,""my"", ""en"")"),"74")</f>
        <v>74</v>
      </c>
      <c r="T463" s="10" t="str">
        <f>IFERROR(__xludf.DUMMYFUNCTION("GOOGLETRANSLATE(B463,""my"", ""en"")"),"မဲဆ  No. (2)")</f>
        <v>မဲဆ  No. (2)</v>
      </c>
      <c r="U463" s="10" t="str">
        <f>IFERROR(__xludf.DUMMYFUNCTION("GOOGLETRANSLATE(C463,""my"", ""en"")"),"366922")</f>
        <v>366922</v>
      </c>
      <c r="V463" s="10" t="str">
        <f>IFERROR(__xludf.DUMMYFUNCTION("GOOGLETRANSLATE(D463,""my"", ""en"")"),"198232")</f>
        <v>198232</v>
      </c>
      <c r="W463" s="10" t="str">
        <f>IFERROR(__xludf.DUMMYFUNCTION("GOOGLETRANSLATE(E463,""my"", ""en"")"),"66302")</f>
        <v>66302</v>
      </c>
      <c r="X463" s="10" t="str">
        <f>IFERROR(__xludf.DUMMYFUNCTION("GOOGLETRANSLATE(F463,""my"", ""en"")"),"264534")</f>
        <v>264534</v>
      </c>
      <c r="Y463" s="10" t="str">
        <f>IFERROR(__xludf.DUMMYFUNCTION("GOOGLETRANSLATE(G463,""my"", ""en"")"),"72.10")</f>
        <v>72.10</v>
      </c>
      <c r="Z463" s="10" t="str">
        <f>IFERROR(__xludf.DUMMYFUNCTION("GOOGLETRANSLATE(H463,""my"", ""en"")"),"7382")</f>
        <v>7382</v>
      </c>
      <c r="AA463" s="10" t="str">
        <f>IFERROR(__xludf.DUMMYFUNCTION("GOOGLETRANSLATE(I463,""my"", ""en"")"),"295")</f>
        <v>295</v>
      </c>
      <c r="AB463" s="10" t="str">
        <f>IFERROR(__xludf.DUMMYFUNCTION("GOOGLETRANSLATE(J463,""my"", ""en"")"),"7677")</f>
        <v>7677</v>
      </c>
      <c r="AE463" s="10" t="str">
        <f>IFERROR(__xludf.DUMMYFUNCTION("GOOGLETRANSLATE(M463,""my"", ""en"")"),"192074")</f>
        <v>192074</v>
      </c>
      <c r="AF463" s="10" t="str">
        <f>IFERROR(__xludf.DUMMYFUNCTION("GOOGLETRANSLATE(N463,""my"", ""en"")"),"64783")</f>
        <v>64783</v>
      </c>
      <c r="AG463" s="10" t="str">
        <f>IFERROR(__xludf.DUMMYFUNCTION("GOOGLETRANSLATE(O463,""my"", ""en"")"),"256857")</f>
        <v>256857</v>
      </c>
    </row>
    <row r="464" ht="24.7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3" t="s">
        <v>3357</v>
      </c>
      <c r="L464" s="23" t="s">
        <v>3358</v>
      </c>
      <c r="M464" s="24" t="s">
        <v>3359</v>
      </c>
      <c r="N464" s="24" t="s">
        <v>3360</v>
      </c>
      <c r="O464" s="24" t="s">
        <v>3361</v>
      </c>
      <c r="P464" s="25" t="s">
        <v>3362</v>
      </c>
      <c r="AC464" s="10" t="str">
        <f>IFERROR(__xludf.DUMMYFUNCTION("GOOGLETRANSLATE(K464,""my"", ""en"")"),"ေဒါက် Tin Tin Win")</f>
        <v>ေဒါက် Tin Tin Win</v>
      </c>
      <c r="AD464" s="10" t="str">
        <f>IFERROR(__xludf.DUMMYFUNCTION("GOOGLETRANSLATE(L464,""my"", ""en"")")," Game Democracy group   Pop Party")</f>
        <v> Game Democracy group   Pop Party</v>
      </c>
      <c r="AE464" s="10" t="str">
        <f>IFERROR(__xludf.DUMMYFUNCTION("GOOGLETRANSLATE(M464,""my"", ""en"")"),"138849")</f>
        <v>138849</v>
      </c>
      <c r="AF464" s="10" t="str">
        <f>IFERROR(__xludf.DUMMYFUNCTION("GOOGLETRANSLATE(N464,""my"", ""en"")"),"40595")</f>
        <v>40595</v>
      </c>
      <c r="AG464" s="10" t="str">
        <f>IFERROR(__xludf.DUMMYFUNCTION("GOOGLETRANSLATE(O464,""my"", ""en"")"),"179444")</f>
        <v>179444</v>
      </c>
      <c r="AH464" s="10" t="str">
        <f>IFERROR(__xludf.DUMMYFUNCTION("GOOGLETRANSLATE(P464,""my"", ""en"")"),"69.86%")</f>
        <v>69.86%</v>
      </c>
    </row>
    <row r="465" ht="25.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3" t="s">
        <v>3363</v>
      </c>
      <c r="L465" s="23" t="s">
        <v>3364</v>
      </c>
      <c r="M465" s="24" t="s">
        <v>3365</v>
      </c>
      <c r="N465" s="24" t="s">
        <v>3366</v>
      </c>
      <c r="O465" s="24" t="s">
        <v>3367</v>
      </c>
      <c r="P465" s="25" t="s">
        <v>3368</v>
      </c>
      <c r="AC465" s="10" t="str">
        <f>IFERROR(__xludf.DUMMYFUNCTION("GOOGLETRANSLATE(K465,""my"", ""en"")"),"Data  boring")</f>
        <v>Data  boring</v>
      </c>
      <c r="AD465" s="10" t="str">
        <f>IFERROR(__xludf.DUMMYFUNCTION("GOOGLETRANSLATE(L465,""my"", ""en"")"),"Local ေထာင် soap-stone strong ေရး  under development  Phil  ေရး Party")</f>
        <v>Local ေထာင် soap-stone strong ေရး  under development  Phil  ေရး Party</v>
      </c>
      <c r="AE465" s="10" t="str">
        <f>IFERROR(__xludf.DUMMYFUNCTION("GOOGLETRANSLATE(M465,""my"", ""en"")"),"50487")</f>
        <v>50487</v>
      </c>
      <c r="AF465" s="10" t="str">
        <f>IFERROR(__xludf.DUMMYFUNCTION("GOOGLETRANSLATE(N465,""my"", ""en"")"),"22740")</f>
        <v>22740</v>
      </c>
      <c r="AG465" s="10" t="str">
        <f>IFERROR(__xludf.DUMMYFUNCTION("GOOGLETRANSLATE(O465,""my"", ""en"")"),"73227")</f>
        <v>73227</v>
      </c>
      <c r="AH465" s="10" t="str">
        <f>IFERROR(__xludf.DUMMYFUNCTION("GOOGLETRANSLATE(P465,""my"", ""en"")"),"28.51%")</f>
        <v>28.51%</v>
      </c>
    </row>
    <row r="466" ht="24.7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3" t="s">
        <v>3369</v>
      </c>
      <c r="L466" s="23" t="s">
        <v>3370</v>
      </c>
      <c r="M466" s="24" t="s">
        <v>3371</v>
      </c>
      <c r="N466" s="24" t="s">
        <v>3372</v>
      </c>
      <c r="O466" s="24" t="s">
        <v>3373</v>
      </c>
      <c r="P466" s="25" t="s">
        <v>3374</v>
      </c>
      <c r="AC466" s="10" t="str">
        <f>IFERROR(__xludf.DUMMYFUNCTION("GOOGLETRANSLATE(K466,""my"", ""en"")"),"Love ေဒ   Portland  ုေ ထွး")</f>
        <v>Love ေဒ   Portland  ုေ ထွး</v>
      </c>
      <c r="AD466" s="10" t="str">
        <f>IFERROR(__xludf.DUMMYFUNCTION("GOOGLETRANSLATE(L466,""my"", ""en"")"),"Local ေထာင် စုေ white  Game ေဆာင် Party")</f>
        <v>Local ေထာင် စုေ white  Game ေဆာင် Party</v>
      </c>
      <c r="AE466" s="10" t="str">
        <f>IFERROR(__xludf.DUMMYFUNCTION("GOOGLETRANSLATE(M466,""my"", ""en"")"),"2738")</f>
        <v>2738</v>
      </c>
      <c r="AF466" s="10" t="str">
        <f>IFERROR(__xludf.DUMMYFUNCTION("GOOGLETRANSLATE(N466,""my"", ""en"")"),"1448")</f>
        <v>1448</v>
      </c>
      <c r="AG466" s="10" t="str">
        <f>IFERROR(__xludf.DUMMYFUNCTION("GOOGLETRANSLATE(O466,""my"", ""en"")"),"4186")</f>
        <v>4186</v>
      </c>
      <c r="AH466" s="10" t="str">
        <f>IFERROR(__xludf.DUMMYFUNCTION("GOOGLETRANSLATE(P466,""my"", ""en"")"),"1.63%")</f>
        <v>1.63%</v>
      </c>
    </row>
    <row r="467" ht="24.75" customHeight="1">
      <c r="A467" s="17" t="s">
        <v>3375</v>
      </c>
      <c r="B467" s="17" t="s">
        <v>3376</v>
      </c>
      <c r="C467" s="18" t="s">
        <v>3377</v>
      </c>
      <c r="D467" s="18" t="s">
        <v>3378</v>
      </c>
      <c r="E467" s="18" t="s">
        <v>3379</v>
      </c>
      <c r="F467" s="18" t="s">
        <v>3380</v>
      </c>
      <c r="G467" s="18" t="s">
        <v>3381</v>
      </c>
      <c r="H467" s="18" t="s">
        <v>3382</v>
      </c>
      <c r="I467" s="18" t="s">
        <v>3383</v>
      </c>
      <c r="J467" s="18" t="s">
        <v>3384</v>
      </c>
      <c r="K467" s="27"/>
      <c r="L467" s="27"/>
      <c r="M467" s="18" t="s">
        <v>3385</v>
      </c>
      <c r="N467" s="18" t="s">
        <v>3386</v>
      </c>
      <c r="O467" s="18" t="s">
        <v>3387</v>
      </c>
      <c r="P467" s="27"/>
      <c r="S467" s="10" t="str">
        <f>IFERROR(__xludf.DUMMYFUNCTION("GOOGLETRANSLATE(A467,""my"", ""en"")"),"75")</f>
        <v>75</v>
      </c>
      <c r="T467" s="10" t="str">
        <f>IFERROR(__xludf.DUMMYFUNCTION("GOOGLETRANSLATE(B467,""my"", ""en"")"),"မဲဆ  No. (3)")</f>
        <v>မဲဆ  No. (3)</v>
      </c>
      <c r="U467" s="10" t="str">
        <f>IFERROR(__xludf.DUMMYFUNCTION("GOOGLETRANSLATE(C467,""my"", ""en"")"),"228960")</f>
        <v>228960</v>
      </c>
      <c r="V467" s="10" t="str">
        <f>IFERROR(__xludf.DUMMYFUNCTION("GOOGLETRANSLATE(D467,""my"", ""en"")"),"129106")</f>
        <v>129106</v>
      </c>
      <c r="W467" s="10" t="str">
        <f>IFERROR(__xludf.DUMMYFUNCTION("GOOGLETRANSLATE(E467,""my"", ""en"")"),"27715")</f>
        <v>27715</v>
      </c>
      <c r="X467" s="10" t="str">
        <f>IFERROR(__xludf.DUMMYFUNCTION("GOOGLETRANSLATE(F467,""my"", ""en"")"),"156821")</f>
        <v>156821</v>
      </c>
      <c r="Y467" s="10" t="str">
        <f>IFERROR(__xludf.DUMMYFUNCTION("GOOGLETRANSLATE(G467,""my"", ""en"")"),"68.49")</f>
        <v>68.49</v>
      </c>
      <c r="Z467" s="10" t="str">
        <f>IFERROR(__xludf.DUMMYFUNCTION("GOOGLETRANSLATE(H467,""my"", ""en"")"),"3829")</f>
        <v>3829</v>
      </c>
      <c r="AA467" s="10" t="str">
        <f>IFERROR(__xludf.DUMMYFUNCTION("GOOGLETRANSLATE(I467,""my"", ""en"")"),"-")</f>
        <v>-</v>
      </c>
      <c r="AB467" s="10" t="str">
        <f>IFERROR(__xludf.DUMMYFUNCTION("GOOGLETRANSLATE(J467,""my"", ""en"")"),"3829")</f>
        <v>3829</v>
      </c>
      <c r="AE467" s="10" t="str">
        <f>IFERROR(__xludf.DUMMYFUNCTION("GOOGLETRANSLATE(M467,""my"", ""en"")"),"125817")</f>
        <v>125817</v>
      </c>
      <c r="AF467" s="10" t="str">
        <f>IFERROR(__xludf.DUMMYFUNCTION("GOOGLETRANSLATE(N467,""my"", ""en"")"),"27175")</f>
        <v>27175</v>
      </c>
      <c r="AG467" s="10" t="str">
        <f>IFERROR(__xludf.DUMMYFUNCTION("GOOGLETRANSLATE(O467,""my"", ""en"")"),"152992")</f>
        <v>152992</v>
      </c>
    </row>
    <row r="468" ht="24.0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3" t="s">
        <v>3388</v>
      </c>
      <c r="L468" s="23" t="s">
        <v>3389</v>
      </c>
      <c r="M468" s="24" t="s">
        <v>3390</v>
      </c>
      <c r="N468" s="24" t="s">
        <v>3391</v>
      </c>
      <c r="O468" s="24" t="s">
        <v>3392</v>
      </c>
      <c r="P468" s="25" t="s">
        <v>3393</v>
      </c>
      <c r="AC468" s="10" t="str">
        <f>IFERROR(__xludf.DUMMYFUNCTION("GOOGLETRANSLATE(K468,""my"", ""en"")"),"U")</f>
        <v>U</v>
      </c>
      <c r="AD468" s="10" t="str">
        <f>IFERROR(__xludf.DUMMYFUNCTION("GOOGLETRANSLATE(L468,""my"", ""en"")")," Game Democracy group   Pop Party")</f>
        <v> Game Democracy group   Pop Party</v>
      </c>
      <c r="AE468" s="10" t="str">
        <f>IFERROR(__xludf.DUMMYFUNCTION("GOOGLETRANSLATE(M468,""my"", ""en"")"),"89705")</f>
        <v>89705</v>
      </c>
      <c r="AF468" s="10" t="str">
        <f>IFERROR(__xludf.DUMMYFUNCTION("GOOGLETRANSLATE(N468,""my"", ""en"")"),"17849")</f>
        <v>17849</v>
      </c>
      <c r="AG468" s="10" t="str">
        <f>IFERROR(__xludf.DUMMYFUNCTION("GOOGLETRANSLATE(O468,""my"", ""en"")"),"107554")</f>
        <v>107554</v>
      </c>
      <c r="AH468" s="10" t="str">
        <f>IFERROR(__xludf.DUMMYFUNCTION("GOOGLETRANSLATE(P468,""my"", ""en"")"),"70.30%")</f>
        <v>70.30%</v>
      </c>
    </row>
    <row r="469" ht="24.7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3" t="s">
        <v>3394</v>
      </c>
      <c r="L469" s="23" t="s">
        <v>3395</v>
      </c>
      <c r="M469" s="24" t="s">
        <v>3396</v>
      </c>
      <c r="N469" s="24" t="s">
        <v>3397</v>
      </c>
      <c r="O469" s="24" t="s">
        <v>3398</v>
      </c>
      <c r="P469" s="25" t="s">
        <v>3399</v>
      </c>
      <c r="AC469" s="10" t="str">
        <f>IFERROR(__xludf.DUMMYFUNCTION("GOOGLETRANSLATE(K469,""my"", ""en"")"),"Soe  Cashier")</f>
        <v>Soe  Cashier</v>
      </c>
      <c r="AD469" s="10" t="str">
        <f>IFERROR(__xludf.DUMMYFUNCTION("GOOGLETRANSLATE(L469,""my"", ""en"")"),"Local ေထာင် soap-stone strong ေရး  under development  Phil  ေရး Party")</f>
        <v>Local ေထာင် soap-stone strong ေရး  under development  Phil  ေရး Party</v>
      </c>
      <c r="AE469" s="10" t="str">
        <f>IFERROR(__xludf.DUMMYFUNCTION("GOOGLETRANSLATE(M469,""my"", ""en"")"),"33247")</f>
        <v>33247</v>
      </c>
      <c r="AF469" s="10" t="str">
        <f>IFERROR(__xludf.DUMMYFUNCTION("GOOGLETRANSLATE(N469,""my"", ""en"")"),"8670")</f>
        <v>8670</v>
      </c>
      <c r="AG469" s="10" t="str">
        <f>IFERROR(__xludf.DUMMYFUNCTION("GOOGLETRANSLATE(O469,""my"", ""en"")"),"41917")</f>
        <v>41917</v>
      </c>
      <c r="AH469" s="10" t="str">
        <f>IFERROR(__xludf.DUMMYFUNCTION("GOOGLETRANSLATE(P469,""my"", ""en"")"),"27.40%")</f>
        <v>27.40%</v>
      </c>
    </row>
    <row r="470" ht="24.0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3" t="s">
        <v>3400</v>
      </c>
      <c r="L470" s="23" t="s">
        <v>3401</v>
      </c>
      <c r="M470" s="24" t="s">
        <v>3402</v>
      </c>
      <c r="N470" s="24" t="s">
        <v>3403</v>
      </c>
      <c r="O470" s="24" t="s">
        <v>3404</v>
      </c>
      <c r="P470" s="25" t="s">
        <v>3405</v>
      </c>
      <c r="AC470" s="10" t="str">
        <f>IFERROR(__xludf.DUMMYFUNCTION("GOOGLETRANSLATE(K470,""my"", ""en"")"),"ေဇာ  Cashier")</f>
        <v>ေဇာ  Cashier</v>
      </c>
      <c r="AD470" s="10" t="str">
        <f>IFERROR(__xludf.DUMMYFUNCTION("GOOGLETRANSLATE(L470,""my"", ""en"")"),"Local ေထာင် စုေ white  Game ေဆာင် Party")</f>
        <v>Local ေထာင် စုေ white  Game ေဆာင် Party</v>
      </c>
      <c r="AE470" s="10" t="str">
        <f>IFERROR(__xludf.DUMMYFUNCTION("GOOGLETRANSLATE(M470,""my"", ""en"")"),"2865")</f>
        <v>2865</v>
      </c>
      <c r="AF470" s="10" t="str">
        <f>IFERROR(__xludf.DUMMYFUNCTION("GOOGLETRANSLATE(N470,""my"", ""en"")"),"656")</f>
        <v>656</v>
      </c>
      <c r="AG470" s="10" t="str">
        <f>IFERROR(__xludf.DUMMYFUNCTION("GOOGLETRANSLATE(O470,""my"", ""en"")"),"3521")</f>
        <v>3521</v>
      </c>
      <c r="AH470" s="10" t="str">
        <f>IFERROR(__xludf.DUMMYFUNCTION("GOOGLETRANSLATE(P470,""my"", ""en"")"),"2.30%")</f>
        <v>2.30%</v>
      </c>
    </row>
    <row r="471" ht="22.5" customHeight="1">
      <c r="A471" s="17" t="s">
        <v>3406</v>
      </c>
      <c r="B471" s="17" t="s">
        <v>3407</v>
      </c>
      <c r="C471" s="18" t="s">
        <v>3408</v>
      </c>
      <c r="D471" s="18" t="s">
        <v>3409</v>
      </c>
      <c r="E471" s="18" t="s">
        <v>3410</v>
      </c>
      <c r="F471" s="18" t="s">
        <v>3411</v>
      </c>
      <c r="G471" s="18" t="s">
        <v>3412</v>
      </c>
      <c r="H471" s="18" t="s">
        <v>3413</v>
      </c>
      <c r="I471" s="18" t="s">
        <v>3414</v>
      </c>
      <c r="J471" s="18" t="s">
        <v>3415</v>
      </c>
      <c r="K471" s="27"/>
      <c r="L471" s="27"/>
      <c r="M471" s="18" t="s">
        <v>3416</v>
      </c>
      <c r="N471" s="18" t="s">
        <v>3417</v>
      </c>
      <c r="O471" s="18" t="s">
        <v>3418</v>
      </c>
      <c r="P471" s="27"/>
      <c r="S471" s="10" t="str">
        <f>IFERROR(__xludf.DUMMYFUNCTION("GOOGLETRANSLATE(A471,""my"", ""en"")"),"76")</f>
        <v>76</v>
      </c>
      <c r="T471" s="10" t="str">
        <f>IFERROR(__xludf.DUMMYFUNCTION("GOOGLETRANSLATE(B471,""my"", ""en"")"),"မဲဆ  No. (4)")</f>
        <v>မဲဆ  No. (4)</v>
      </c>
      <c r="U471" s="10" t="str">
        <f>IFERROR(__xludf.DUMMYFUNCTION("GOOGLETRANSLATE(C471,""my"", ""en"")"),"282231")</f>
        <v>282231</v>
      </c>
      <c r="V471" s="10" t="str">
        <f>IFERROR(__xludf.DUMMYFUNCTION("GOOGLETRANSLATE(D471,""my"", ""en"")"),"145139")</f>
        <v>145139</v>
      </c>
      <c r="W471" s="10" t="str">
        <f>IFERROR(__xludf.DUMMYFUNCTION("GOOGLETRANSLATE(E471,""my"", ""en"")"),"43573")</f>
        <v>43573</v>
      </c>
      <c r="X471" s="10" t="str">
        <f>IFERROR(__xludf.DUMMYFUNCTION("GOOGLETRANSLATE(F471,""my"", ""en"")"),"188712")</f>
        <v>188712</v>
      </c>
      <c r="Y471" s="10" t="str">
        <f>IFERROR(__xludf.DUMMYFUNCTION("GOOGLETRANSLATE(G471,""my"", ""en"")"),"66.86")</f>
        <v>66.86</v>
      </c>
      <c r="Z471" s="10" t="str">
        <f>IFERROR(__xludf.DUMMYFUNCTION("GOOGLETRANSLATE(H471,""my"", ""en"")"),"5350")</f>
        <v>5350</v>
      </c>
      <c r="AA471" s="10" t="str">
        <f>IFERROR(__xludf.DUMMYFUNCTION("GOOGLETRANSLATE(I471,""my"", ""en"")"),"62")</f>
        <v>62</v>
      </c>
      <c r="AB471" s="10" t="str">
        <f>IFERROR(__xludf.DUMMYFUNCTION("GOOGLETRANSLATE(J471,""my"", ""en"")"),"5412")</f>
        <v>5412</v>
      </c>
      <c r="AE471" s="10" t="str">
        <f>IFERROR(__xludf.DUMMYFUNCTION("GOOGLETRANSLATE(M471,""my"", ""en"")"),"140143")</f>
        <v>140143</v>
      </c>
      <c r="AF471" s="10" t="str">
        <f>IFERROR(__xludf.DUMMYFUNCTION("GOOGLETRANSLATE(N471,""my"", ""en"")"),"43157")</f>
        <v>43157</v>
      </c>
      <c r="AG471" s="10" t="str">
        <f>IFERROR(__xludf.DUMMYFUNCTION("GOOGLETRANSLATE(O471,""my"", ""en"")"),"183300")</f>
        <v>183300</v>
      </c>
    </row>
    <row r="472" ht="25.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3" t="s">
        <v>3419</v>
      </c>
      <c r="L472" s="23" t="s">
        <v>3420</v>
      </c>
      <c r="M472" s="24" t="s">
        <v>3421</v>
      </c>
      <c r="N472" s="24" t="s">
        <v>3422</v>
      </c>
      <c r="O472" s="24" t="s">
        <v>3423</v>
      </c>
      <c r="P472" s="25" t="s">
        <v>3424</v>
      </c>
      <c r="AC472" s="10" t="str">
        <f>IFERROR(__xludf.DUMMYFUNCTION("GOOGLETRANSLATE(K472,""my"", ""en"")"),"ေအာင် Tun")</f>
        <v>ေအာင် Tun</v>
      </c>
      <c r="AD472" s="10" t="str">
        <f>IFERROR(__xludf.DUMMYFUNCTION("GOOGLETRANSLATE(L472,""my"", ""en"")")," Game Democracy group   Pop Party")</f>
        <v> Game Democracy group   Pop Party</v>
      </c>
      <c r="AE472" s="10" t="str">
        <f>IFERROR(__xludf.DUMMYFUNCTION("GOOGLETRANSLATE(M472,""my"", ""en"")"),"111756")</f>
        <v>111756</v>
      </c>
      <c r="AF472" s="10" t="str">
        <f>IFERROR(__xludf.DUMMYFUNCTION("GOOGLETRANSLATE(N472,""my"", ""en"")"),"32800")</f>
        <v>32800</v>
      </c>
      <c r="AG472" s="10" t="str">
        <f>IFERROR(__xludf.DUMMYFUNCTION("GOOGLETRANSLATE(O472,""my"", ""en"")"),"144556")</f>
        <v>144556</v>
      </c>
      <c r="AH472" s="10" t="str">
        <f>IFERROR(__xludf.DUMMYFUNCTION("GOOGLETRANSLATE(P472,""my"", ""en"")"),"78.86%")</f>
        <v>78.86%</v>
      </c>
    </row>
    <row r="473" ht="25.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3" t="s">
        <v>3425</v>
      </c>
      <c r="L473" s="23" t="s">
        <v>3426</v>
      </c>
      <c r="M473" s="24" t="s">
        <v>3427</v>
      </c>
      <c r="N473" s="24" t="s">
        <v>3428</v>
      </c>
      <c r="O473" s="24" t="s">
        <v>3429</v>
      </c>
      <c r="P473" s="25" t="s">
        <v>3430</v>
      </c>
      <c r="AC473" s="10" t="str">
        <f>IFERROR(__xludf.DUMMYFUNCTION("GOOGLETRANSLATE(K473,""my"", ""en"")"),"U Thein")</f>
        <v>U Thein</v>
      </c>
      <c r="AD473" s="10" t="str">
        <f>IFERROR(__xludf.DUMMYFUNCTION("GOOGLETRANSLATE(L473,""my"", ""en"")"),"Local ေထာင် soap-stone strong ေရး  under development  Phil  ေရး Party")</f>
        <v>Local ေထာင် soap-stone strong ေရး  under development  Phil  ေရး Party</v>
      </c>
      <c r="AE473" s="10" t="str">
        <f>IFERROR(__xludf.DUMMYFUNCTION("GOOGLETRANSLATE(M473,""my"", ""en"")"),"22619")</f>
        <v>22619</v>
      </c>
      <c r="AF473" s="10" t="str">
        <f>IFERROR(__xludf.DUMMYFUNCTION("GOOGLETRANSLATE(N473,""my"", ""en"")"),"7761")</f>
        <v>7761</v>
      </c>
      <c r="AG473" s="10" t="str">
        <f>IFERROR(__xludf.DUMMYFUNCTION("GOOGLETRANSLATE(O473,""my"", ""en"")"),"30380")</f>
        <v>30380</v>
      </c>
      <c r="AH473" s="10" t="str">
        <f>IFERROR(__xludf.DUMMYFUNCTION("GOOGLETRANSLATE(P473,""my"", ""en"")"),"16.57%")</f>
        <v>16.57%</v>
      </c>
    </row>
    <row r="474" ht="24.7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3" t="s">
        <v>3431</v>
      </c>
      <c r="L474" s="23" t="s">
        <v>3432</v>
      </c>
      <c r="M474" s="24" t="s">
        <v>3433</v>
      </c>
      <c r="N474" s="24" t="s">
        <v>3434</v>
      </c>
      <c r="O474" s="24" t="s">
        <v>3435</v>
      </c>
      <c r="P474" s="25" t="s">
        <v>3436</v>
      </c>
      <c r="AC474" s="10" t="str">
        <f>IFERROR(__xludf.DUMMYFUNCTION("GOOGLETRANSLATE(K474,""my"", ""en"")"),"ေဇာ Tun")</f>
        <v>ေဇာ Tun</v>
      </c>
      <c r="AD474" s="10" t="str">
        <f>IFERROR(__xludf.DUMMYFUNCTION("GOOGLETRANSLATE(L474,""my"", ""en"")"),"Local ေထာင် စုေ white  Game ေဆာင် Party")</f>
        <v>Local ေထာင် စုေ white  Game ေဆာင် Party</v>
      </c>
      <c r="AE474" s="10" t="str">
        <f>IFERROR(__xludf.DUMMYFUNCTION("GOOGLETRANSLATE(M474,""my"", ""en"")"),"4580")</f>
        <v>4580</v>
      </c>
      <c r="AF474" s="10" t="str">
        <f>IFERROR(__xludf.DUMMYFUNCTION("GOOGLETRANSLATE(N474,""my"", ""en"")"),"1962")</f>
        <v>1962</v>
      </c>
      <c r="AG474" s="10" t="str">
        <f>IFERROR(__xludf.DUMMYFUNCTION("GOOGLETRANSLATE(O474,""my"", ""en"")"),"6542")</f>
        <v>6542</v>
      </c>
      <c r="AH474" s="10" t="str">
        <f>IFERROR(__xludf.DUMMYFUNCTION("GOOGLETRANSLATE(P474,""my"", ""en"")"),"3.57%")</f>
        <v>3.57%</v>
      </c>
    </row>
    <row r="475" ht="30.0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3" t="s">
        <v>3437</v>
      </c>
      <c r="L475" s="29" t="s">
        <v>3438</v>
      </c>
      <c r="M475" s="24" t="s">
        <v>3439</v>
      </c>
      <c r="N475" s="24" t="s">
        <v>3440</v>
      </c>
      <c r="O475" s="24" t="s">
        <v>3441</v>
      </c>
      <c r="P475" s="25" t="s">
        <v>3442</v>
      </c>
      <c r="AC475" s="10" t="str">
        <f>IFERROR(__xludf.DUMMYFUNCTION("GOOGLETRANSLATE(K475,""my"", ""en"")"),"Data  lace over ")</f>
        <v>Data  lace over </v>
      </c>
      <c r="AD475" s="10" t="str">
        <f>IFERROR(__xludf.DUMMYFUNCTION("GOOGLETRANSLATE(L475,""my"", ""en"")"),"All Burma  ုိင် Labor Farmers Alliance Party")</f>
        <v>All Burma  ုိင် Labor Farmers Alliance Party</v>
      </c>
      <c r="AE475" s="10" t="str">
        <f>IFERROR(__xludf.DUMMYFUNCTION("GOOGLETRANSLATE(M475,""my"", ""en"")"),"1188")</f>
        <v>1188</v>
      </c>
      <c r="AF475" s="10" t="str">
        <f>IFERROR(__xludf.DUMMYFUNCTION("GOOGLETRANSLATE(N475,""my"", ""en"")"),"634")</f>
        <v>634</v>
      </c>
      <c r="AG475" s="10" t="str">
        <f>IFERROR(__xludf.DUMMYFUNCTION("GOOGLETRANSLATE(O475,""my"", ""en"")"),"1822")</f>
        <v>1822</v>
      </c>
      <c r="AH475" s="10" t="str">
        <f>IFERROR(__xludf.DUMMYFUNCTION("GOOGLETRANSLATE(P475,""my"", ""en"")"),"1.00%")</f>
        <v>1.00%</v>
      </c>
    </row>
    <row r="476" ht="24.0" customHeight="1">
      <c r="A476" s="17" t="s">
        <v>3443</v>
      </c>
      <c r="B476" s="17" t="s">
        <v>3444</v>
      </c>
      <c r="C476" s="18" t="s">
        <v>3445</v>
      </c>
      <c r="D476" s="17" t="s">
        <v>3446</v>
      </c>
      <c r="E476" s="18" t="s">
        <v>3447</v>
      </c>
      <c r="F476" s="17" t="s">
        <v>3448</v>
      </c>
      <c r="G476" s="18" t="s">
        <v>3449</v>
      </c>
      <c r="H476" s="18" t="s">
        <v>3450</v>
      </c>
      <c r="I476" s="18" t="s">
        <v>3451</v>
      </c>
      <c r="J476" s="18" t="s">
        <v>3452</v>
      </c>
      <c r="K476" s="27"/>
      <c r="L476" s="27"/>
      <c r="M476" s="18" t="s">
        <v>3453</v>
      </c>
      <c r="N476" s="18" t="s">
        <v>3454</v>
      </c>
      <c r="O476" s="18" t="s">
        <v>3455</v>
      </c>
      <c r="P476" s="27"/>
      <c r="S476" s="10" t="str">
        <f>IFERROR(__xludf.DUMMYFUNCTION("GOOGLETRANSLATE(A476,""my"", ""en"")"),"77")</f>
        <v>77</v>
      </c>
      <c r="T476" s="10" t="str">
        <f>IFERROR(__xludf.DUMMYFUNCTION("GOOGLETRANSLATE(B476,""my"", ""en"")"),"မဲဆ  (5 points)")</f>
        <v>မဲဆ  (5 points)</v>
      </c>
      <c r="U476" s="10" t="str">
        <f>IFERROR(__xludf.DUMMYFUNCTION("GOOGLETRANSLATE(C476,""my"", ""en"")"),"366783")</f>
        <v>366783</v>
      </c>
      <c r="V476" s="10" t="str">
        <f>IFERROR(__xludf.DUMMYFUNCTION("GOOGLETRANSLATE(D476,""my"", ""en"")"),"185561")</f>
        <v>185561</v>
      </c>
      <c r="W476" s="10" t="str">
        <f>IFERROR(__xludf.DUMMYFUNCTION("GOOGLETRANSLATE(E476,""my"", ""en"")"),"48352")</f>
        <v>48352</v>
      </c>
      <c r="X476" s="10" t="str">
        <f>IFERROR(__xludf.DUMMYFUNCTION("GOOGLETRANSLATE(F476,""my"", ""en"")"),"233913")</f>
        <v>233913</v>
      </c>
      <c r="Y476" s="10" t="str">
        <f>IFERROR(__xludf.DUMMYFUNCTION("GOOGLETRANSLATE(G476,""my"", ""en"")"),"63.77")</f>
        <v>63.77</v>
      </c>
      <c r="Z476" s="10" t="str">
        <f>IFERROR(__xludf.DUMMYFUNCTION("GOOGLETRANSLATE(H476,""my"", ""en"")"),"6728")</f>
        <v>6728</v>
      </c>
      <c r="AA476" s="10" t="str">
        <f>IFERROR(__xludf.DUMMYFUNCTION("GOOGLETRANSLATE(I476,""my"", ""en"")"),"147")</f>
        <v>147</v>
      </c>
      <c r="AB476" s="10" t="str">
        <f>IFERROR(__xludf.DUMMYFUNCTION("GOOGLETRANSLATE(J476,""my"", ""en"")"),"6875")</f>
        <v>6875</v>
      </c>
      <c r="AE476" s="10" t="str">
        <f>IFERROR(__xludf.DUMMYFUNCTION("GOOGLETRANSLATE(M476,""my"", ""en"")"),"179735")</f>
        <v>179735</v>
      </c>
      <c r="AF476" s="10" t="str">
        <f>IFERROR(__xludf.DUMMYFUNCTION("GOOGLETRANSLATE(N476,""my"", ""en"")"),"47303")</f>
        <v>47303</v>
      </c>
      <c r="AG476" s="10" t="str">
        <f>IFERROR(__xludf.DUMMYFUNCTION("GOOGLETRANSLATE(O476,""my"", ""en"")"),"227038")</f>
        <v>227038</v>
      </c>
    </row>
    <row r="477" ht="24.7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3" t="s">
        <v>3456</v>
      </c>
      <c r="L477" s="23" t="s">
        <v>3457</v>
      </c>
      <c r="M477" s="24" t="s">
        <v>3458</v>
      </c>
      <c r="N477" s="24" t="s">
        <v>3459</v>
      </c>
      <c r="O477" s="24" t="s">
        <v>3460</v>
      </c>
      <c r="P477" s="25" t="s">
        <v>3461</v>
      </c>
      <c r="AC477" s="10" t="str">
        <f>IFERROR(__xludf.DUMMYFUNCTION("GOOGLETRANSLATE(K477,""my"", ""en"")"),"ေဒါက် court on March ေအး")</f>
        <v>ေဒါက် court on March ေအး</v>
      </c>
      <c r="AD477" s="10" t="str">
        <f>IFERROR(__xludf.DUMMYFUNCTION("GOOGLETRANSLATE(L477,""my"", ""en"")")," Game Democracy group   Pop Party")</f>
        <v> Game Democracy group   Pop Party</v>
      </c>
      <c r="AE477" s="10" t="str">
        <f>IFERROR(__xludf.DUMMYFUNCTION("GOOGLETRANSLATE(M477,""my"", ""en"")"),"137296")</f>
        <v>137296</v>
      </c>
      <c r="AF477" s="10" t="str">
        <f>IFERROR(__xludf.DUMMYFUNCTION("GOOGLETRANSLATE(N477,""my"", ""en"")"),"34959")</f>
        <v>34959</v>
      </c>
      <c r="AG477" s="10" t="str">
        <f>IFERROR(__xludf.DUMMYFUNCTION("GOOGLETRANSLATE(O477,""my"", ""en"")"),"172255")</f>
        <v>172255</v>
      </c>
      <c r="AH477" s="10" t="str">
        <f>IFERROR(__xludf.DUMMYFUNCTION("GOOGLETRANSLATE(P477,""my"", ""en"")"),"75.87%")</f>
        <v>75.87%</v>
      </c>
    </row>
    <row r="478" ht="25.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3" t="s">
        <v>3462</v>
      </c>
      <c r="L478" s="23" t="s">
        <v>3463</v>
      </c>
      <c r="M478" s="24" t="s">
        <v>3464</v>
      </c>
      <c r="N478" s="24" t="s">
        <v>3465</v>
      </c>
      <c r="O478" s="24" t="s">
        <v>3466</v>
      </c>
      <c r="P478" s="25" t="s">
        <v>3467</v>
      </c>
      <c r="AC478" s="10" t="str">
        <f>IFERROR(__xludf.DUMMYFUNCTION("GOOGLETRANSLATE(K478,""my"", ""en"")")," Game  Union")</f>
        <v> Game  Union</v>
      </c>
      <c r="AD478" s="10" t="str">
        <f>IFERROR(__xludf.DUMMYFUNCTION("GOOGLETRANSLATE(L478,""my"", ""en"")"),"Local ေထာင် soap-stone strong ေရး  under development  Phil  ေရး Party")</f>
        <v>Local ေထာင် soap-stone strong ေရး  under development  Phil  ေရး Party</v>
      </c>
      <c r="AE478" s="10" t="str">
        <f>IFERROR(__xludf.DUMMYFUNCTION("GOOGLETRANSLATE(M478,""my"", ""en"")"),"31362")</f>
        <v>31362</v>
      </c>
      <c r="AF478" s="10" t="str">
        <f>IFERROR(__xludf.DUMMYFUNCTION("GOOGLETRANSLATE(N478,""my"", ""en"")"),"9562")</f>
        <v>9562</v>
      </c>
      <c r="AG478" s="10" t="str">
        <f>IFERROR(__xludf.DUMMYFUNCTION("GOOGLETRANSLATE(O478,""my"", ""en"")"),"40924")</f>
        <v>40924</v>
      </c>
      <c r="AH478" s="10" t="str">
        <f>IFERROR(__xludf.DUMMYFUNCTION("GOOGLETRANSLATE(P478,""my"", ""en"")"),"18.03%")</f>
        <v>18.03%</v>
      </c>
    </row>
    <row r="479" ht="24.7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3" t="s">
        <v>3468</v>
      </c>
      <c r="L479" s="23" t="s">
        <v>3469</v>
      </c>
      <c r="M479" s="24" t="s">
        <v>3470</v>
      </c>
      <c r="N479" s="24" t="s">
        <v>3471</v>
      </c>
      <c r="O479" s="24" t="s">
        <v>3472</v>
      </c>
      <c r="P479" s="25" t="s">
        <v>3473</v>
      </c>
      <c r="AC479" s="10" t="str">
        <f>IFERROR(__xludf.DUMMYFUNCTION("GOOGLETRANSLATE(K479,""my"", ""en"")"),"ဒေါကျတာခငျ brother Friend")</f>
        <v>ဒေါကျတာခငျ brother Friend</v>
      </c>
      <c r="AD479" s="10" t="str">
        <f>IFERROR(__xludf.DUMMYFUNCTION("GOOGLETRANSLATE(L479,""my"", ""en"")"),"Local ေထာင် စုေ white  Game ေဆာင် Party")</f>
        <v>Local ေထာင် စုေ white  Game ေဆာင် Party</v>
      </c>
      <c r="AE479" s="10" t="str">
        <f>IFERROR(__xludf.DUMMYFUNCTION("GOOGLETRANSLATE(M479,""my"", ""en"")"),"9063")</f>
        <v>9063</v>
      </c>
      <c r="AF479" s="10" t="str">
        <f>IFERROR(__xludf.DUMMYFUNCTION("GOOGLETRANSLATE(N479,""my"", ""en"")"),"2117")</f>
        <v>2117</v>
      </c>
      <c r="AG479" s="10" t="str">
        <f>IFERROR(__xludf.DUMMYFUNCTION("GOOGLETRANSLATE(O479,""my"", ""en"")"),"11180")</f>
        <v>11180</v>
      </c>
      <c r="AH479" s="10" t="str">
        <f>IFERROR(__xludf.DUMMYFUNCTION("GOOGLETRANSLATE(P479,""my"", ""en"")"),"4.92%")</f>
        <v>4.92%</v>
      </c>
    </row>
    <row r="480" ht="24.7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3" t="s">
        <v>3474</v>
      </c>
      <c r="L480" s="23" t="s">
        <v>3475</v>
      </c>
      <c r="M480" s="24" t="s">
        <v>3476</v>
      </c>
      <c r="N480" s="24" t="s">
        <v>3477</v>
      </c>
      <c r="O480" s="24" t="s">
        <v>3478</v>
      </c>
      <c r="P480" s="25" t="s">
        <v>3479</v>
      </c>
      <c r="AC480" s="10" t="str">
        <f>IFERROR(__xludf.DUMMYFUNCTION("GOOGLETRANSLATE(K480,""my"", ""en"")"),"Early leave")</f>
        <v>Early leave</v>
      </c>
      <c r="AD480" s="10" t="str">
        <f>IFERROR(__xludf.DUMMYFUNCTION("GOOGLETRANSLATE(L480,""my"", ""en"")"),"Karen ပည်သူ Party")</f>
        <v>Karen ပည်သူ Party</v>
      </c>
      <c r="AE480" s="10" t="str">
        <f>IFERROR(__xludf.DUMMYFUNCTION("GOOGLETRANSLATE(M480,""my"", ""en"")"),"2014")</f>
        <v>2014</v>
      </c>
      <c r="AF480" s="10" t="str">
        <f>IFERROR(__xludf.DUMMYFUNCTION("GOOGLETRANSLATE(N480,""my"", ""en"")"),"665")</f>
        <v>665</v>
      </c>
      <c r="AG480" s="10" t="str">
        <f>IFERROR(__xludf.DUMMYFUNCTION("GOOGLETRANSLATE(O480,""my"", ""en"")"),"2679")</f>
        <v>2679</v>
      </c>
      <c r="AH480" s="10" t="str">
        <f>IFERROR(__xludf.DUMMYFUNCTION("GOOGLETRANSLATE(P480,""my"", ""en"")"),"1.18%")</f>
        <v>1.18%</v>
      </c>
    </row>
    <row r="481" ht="24.0" customHeight="1">
      <c r="A481" s="17" t="s">
        <v>3480</v>
      </c>
      <c r="B481" s="17" t="s">
        <v>3481</v>
      </c>
      <c r="C481" s="18" t="s">
        <v>3482</v>
      </c>
      <c r="D481" s="17" t="s">
        <v>3483</v>
      </c>
      <c r="E481" s="18" t="s">
        <v>3484</v>
      </c>
      <c r="F481" s="17" t="s">
        <v>3485</v>
      </c>
      <c r="G481" s="18" t="s">
        <v>3486</v>
      </c>
      <c r="H481" s="18" t="s">
        <v>3487</v>
      </c>
      <c r="I481" s="18" t="s">
        <v>3488</v>
      </c>
      <c r="J481" s="18" t="s">
        <v>3489</v>
      </c>
      <c r="K481" s="27"/>
      <c r="L481" s="27"/>
      <c r="M481" s="18" t="s">
        <v>3490</v>
      </c>
      <c r="N481" s="18" t="s">
        <v>3491</v>
      </c>
      <c r="O481" s="18" t="s">
        <v>3492</v>
      </c>
      <c r="P481" s="27"/>
      <c r="S481" s="10" t="str">
        <f>IFERROR(__xludf.DUMMYFUNCTION("GOOGLETRANSLATE(A481,""my"", ""en"")"),"78")</f>
        <v>78</v>
      </c>
      <c r="T481" s="10" t="str">
        <f>IFERROR(__xludf.DUMMYFUNCTION("GOOGLETRANSLATE(B481,""my"", ""en"")"),"မဲဆ  No. (6)")</f>
        <v>မဲဆ  No. (6)</v>
      </c>
      <c r="U481" s="10" t="str">
        <f>IFERROR(__xludf.DUMMYFUNCTION("GOOGLETRANSLATE(C481,""my"", ""en"")"),"389998")</f>
        <v>389998</v>
      </c>
      <c r="V481" s="10" t="str">
        <f>IFERROR(__xludf.DUMMYFUNCTION("GOOGLETRANSLATE(D481,""my"", ""en"")"),"192900")</f>
        <v>192900</v>
      </c>
      <c r="W481" s="10" t="str">
        <f>IFERROR(__xludf.DUMMYFUNCTION("GOOGLETRANSLATE(E481,""my"", ""en"")"),"60196")</f>
        <v>60196</v>
      </c>
      <c r="X481" s="10" t="str">
        <f>IFERROR(__xludf.DUMMYFUNCTION("GOOGLETRANSLATE(F481,""my"", ""en"")"),"253096")</f>
        <v>253096</v>
      </c>
      <c r="Y481" s="10" t="str">
        <f>IFERROR(__xludf.DUMMYFUNCTION("GOOGLETRANSLATE(G481,""my"", ""en"")"),"64.90")</f>
        <v>64.90</v>
      </c>
      <c r="Z481" s="10" t="str">
        <f>IFERROR(__xludf.DUMMYFUNCTION("GOOGLETRANSLATE(H481,""my"", ""en"")"),"5909")</f>
        <v>5909</v>
      </c>
      <c r="AA481" s="10" t="str">
        <f>IFERROR(__xludf.DUMMYFUNCTION("GOOGLETRANSLATE(I481,""my"", ""en"")"),"139")</f>
        <v>139</v>
      </c>
      <c r="AB481" s="10" t="str">
        <f>IFERROR(__xludf.DUMMYFUNCTION("GOOGLETRANSLATE(J481,""my"", ""en"")"),"6048")</f>
        <v>6048</v>
      </c>
      <c r="AE481" s="10" t="str">
        <f>IFERROR(__xludf.DUMMYFUNCTION("GOOGLETRANSLATE(M481,""my"", ""en"")"),"187625")</f>
        <v>187625</v>
      </c>
      <c r="AF481" s="10" t="str">
        <f>IFERROR(__xludf.DUMMYFUNCTION("GOOGLETRANSLATE(N481,""my"", ""en"")"),"59423")</f>
        <v>59423</v>
      </c>
      <c r="AG481" s="10" t="str">
        <f>IFERROR(__xludf.DUMMYFUNCTION("GOOGLETRANSLATE(O481,""my"", ""en"")"),"247048")</f>
        <v>247048</v>
      </c>
    </row>
    <row r="482" ht="22.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9" t="s">
        <v>3493</v>
      </c>
      <c r="L482" s="23" t="s">
        <v>3494</v>
      </c>
      <c r="M482" s="24" t="s">
        <v>3495</v>
      </c>
      <c r="N482" s="24" t="s">
        <v>3496</v>
      </c>
      <c r="O482" s="24" t="s">
        <v>3497</v>
      </c>
      <c r="P482" s="25" t="s">
        <v>3498</v>
      </c>
      <c r="AC482" s="10" t="str">
        <f>IFERROR(__xludf.DUMMYFUNCTION("GOOGLETRANSLATE(K482,""my"", ""en"")"),"ေဒါက်  ကိုေ precisely")</f>
        <v>ေဒါက်  ကိုေ precisely</v>
      </c>
      <c r="AD482" s="10" t="str">
        <f>IFERROR(__xludf.DUMMYFUNCTION("GOOGLETRANSLATE(L482,""my"", ""en"")")," Game Democracy group   Pop Party")</f>
        <v> Game Democracy group   Pop Party</v>
      </c>
      <c r="AE482" s="10" t="str">
        <f>IFERROR(__xludf.DUMMYFUNCTION("GOOGLETRANSLATE(M482,""my"", ""en"")"),"145361")</f>
        <v>145361</v>
      </c>
      <c r="AF482" s="10" t="str">
        <f>IFERROR(__xludf.DUMMYFUNCTION("GOOGLETRANSLATE(N482,""my"", ""en"")"),"42526")</f>
        <v>42526</v>
      </c>
      <c r="AG482" s="10" t="str">
        <f>IFERROR(__xludf.DUMMYFUNCTION("GOOGLETRANSLATE(O482,""my"", ""en"")"),"187887")</f>
        <v>187887</v>
      </c>
      <c r="AH482" s="10" t="str">
        <f>IFERROR(__xludf.DUMMYFUNCTION("GOOGLETRANSLATE(P482,""my"", ""en"")"),"76.05%")</f>
        <v>76.05%</v>
      </c>
    </row>
    <row r="483" ht="22.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3" t="s">
        <v>3499</v>
      </c>
      <c r="L483" s="23" t="s">
        <v>3500</v>
      </c>
      <c r="M483" s="24" t="s">
        <v>3501</v>
      </c>
      <c r="N483" s="24" t="s">
        <v>3502</v>
      </c>
      <c r="O483" s="24" t="s">
        <v>3503</v>
      </c>
      <c r="P483" s="25" t="s">
        <v>3504</v>
      </c>
      <c r="AC483" s="10" t="str">
        <f>IFERROR(__xludf.DUMMYFUNCTION("GOOGLETRANSLATE(K483,""my"", ""en"")"),"ေအာင် Soe")</f>
        <v>ေအာင် Soe</v>
      </c>
      <c r="AD483" s="10" t="str">
        <f>IFERROR(__xludf.DUMMYFUNCTION("GOOGLETRANSLATE(L483,""my"", ""en"")"),"Local ေထာင် soap-stone strong ေရး  under development  Phil  ေရး Party")</f>
        <v>Local ေထာင် soap-stone strong ေရး  under development  Phil  ေရး Party</v>
      </c>
      <c r="AE483" s="10" t="str">
        <f>IFERROR(__xludf.DUMMYFUNCTION("GOOGLETRANSLATE(M483,""my"", ""en"")"),"38671")</f>
        <v>38671</v>
      </c>
      <c r="AF483" s="10" t="str">
        <f>IFERROR(__xludf.DUMMYFUNCTION("GOOGLETRANSLATE(N483,""my"", ""en"")"),"15249")</f>
        <v>15249</v>
      </c>
      <c r="AG483" s="10" t="str">
        <f>IFERROR(__xludf.DUMMYFUNCTION("GOOGLETRANSLATE(O483,""my"", ""en"")"),"53920")</f>
        <v>53920</v>
      </c>
      <c r="AH483" s="10" t="str">
        <f>IFERROR(__xludf.DUMMYFUNCTION("GOOGLETRANSLATE(P483,""my"", ""en"")"),"21.83%")</f>
        <v>21.83%</v>
      </c>
    </row>
    <row r="484" ht="22.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3" t="s">
        <v>3505</v>
      </c>
      <c r="L484" s="23" t="s">
        <v>3506</v>
      </c>
      <c r="M484" s="24" t="s">
        <v>3507</v>
      </c>
      <c r="N484" s="24" t="s">
        <v>3508</v>
      </c>
      <c r="O484" s="24" t="s">
        <v>3509</v>
      </c>
      <c r="P484" s="25" t="s">
        <v>3510</v>
      </c>
      <c r="AC484" s="10" t="str">
        <f>IFERROR(__xludf.DUMMYFUNCTION("GOOGLETRANSLATE(K484,""my"", ""en"")"),"Show million")</f>
        <v>Show million</v>
      </c>
      <c r="AD484" s="10" t="str">
        <f>IFERROR(__xludf.DUMMYFUNCTION("GOOGLETRANSLATE(L484,""my"", ""en"")"),"Local ေထာင် စုေ white  Game ေဆာင် Party")</f>
        <v>Local ေထာင် စုေ white  Game ေဆာင် Party</v>
      </c>
      <c r="AE484" s="10" t="str">
        <f>IFERROR(__xludf.DUMMYFUNCTION("GOOGLETRANSLATE(M484,""my"", ""en"")"),"3593")</f>
        <v>3593</v>
      </c>
      <c r="AF484" s="10" t="str">
        <f>IFERROR(__xludf.DUMMYFUNCTION("GOOGLETRANSLATE(N484,""my"", ""en"")"),"1648")</f>
        <v>1648</v>
      </c>
      <c r="AG484" s="10" t="str">
        <f>IFERROR(__xludf.DUMMYFUNCTION("GOOGLETRANSLATE(O484,""my"", ""en"")"),"5241")</f>
        <v>5241</v>
      </c>
      <c r="AH484" s="10" t="str">
        <f>IFERROR(__xludf.DUMMYFUNCTION("GOOGLETRANSLATE(P484,""my"", ""en"")"),"2.12%")</f>
        <v>2.12%</v>
      </c>
    </row>
    <row r="485" ht="22.5" customHeight="1">
      <c r="A485" s="17" t="s">
        <v>3511</v>
      </c>
      <c r="B485" s="17" t="s">
        <v>3512</v>
      </c>
      <c r="C485" s="18" t="s">
        <v>3513</v>
      </c>
      <c r="D485" s="17" t="s">
        <v>3514</v>
      </c>
      <c r="E485" s="18" t="s">
        <v>3515</v>
      </c>
      <c r="F485" s="17" t="s">
        <v>3516</v>
      </c>
      <c r="G485" s="18" t="s">
        <v>3517</v>
      </c>
      <c r="H485" s="18" t="s">
        <v>3518</v>
      </c>
      <c r="I485" s="18" t="s">
        <v>3519</v>
      </c>
      <c r="J485" s="18" t="s">
        <v>3520</v>
      </c>
      <c r="K485" s="27"/>
      <c r="L485" s="27"/>
      <c r="M485" s="18" t="s">
        <v>3521</v>
      </c>
      <c r="N485" s="18" t="s">
        <v>3522</v>
      </c>
      <c r="O485" s="18" t="s">
        <v>3523</v>
      </c>
      <c r="P485" s="27"/>
      <c r="S485" s="10" t="str">
        <f>IFERROR(__xludf.DUMMYFUNCTION("GOOGLETRANSLATE(A485,""my"", ""en"")"),"79")</f>
        <v>79</v>
      </c>
      <c r="T485" s="10" t="str">
        <f>IFERROR(__xludf.DUMMYFUNCTION("GOOGLETRANSLATE(B485,""my"", ""en"")"),"မဲဆ  No. (7)")</f>
        <v>မဲဆ  No. (7)</v>
      </c>
      <c r="U485" s="10" t="str">
        <f>IFERROR(__xludf.DUMMYFUNCTION("GOOGLETRANSLATE(C485,""my"", ""en"")"),"412631")</f>
        <v>412631</v>
      </c>
      <c r="V485" s="10" t="str">
        <f>IFERROR(__xludf.DUMMYFUNCTION("GOOGLETRANSLATE(D485,""my"", ""en"")"),"217579")</f>
        <v>217579</v>
      </c>
      <c r="W485" s="10" t="str">
        <f>IFERROR(__xludf.DUMMYFUNCTION("GOOGLETRANSLATE(E485,""my"", ""en"")"),"70291")</f>
        <v>70291</v>
      </c>
      <c r="X485" s="10" t="str">
        <f>IFERROR(__xludf.DUMMYFUNCTION("GOOGLETRANSLATE(F485,""my"", ""en"")"),"287870")</f>
        <v>287870</v>
      </c>
      <c r="Y485" s="10" t="str">
        <f>IFERROR(__xludf.DUMMYFUNCTION("GOOGLETRANSLATE(G485,""my"", ""en"")"),"69.76")</f>
        <v>69.76</v>
      </c>
      <c r="Z485" s="10" t="str">
        <f>IFERROR(__xludf.DUMMYFUNCTION("GOOGLETRANSLATE(H485,""my"", ""en"")"),"2814")</f>
        <v>2814</v>
      </c>
      <c r="AA485" s="10" t="str">
        <f>IFERROR(__xludf.DUMMYFUNCTION("GOOGLETRANSLATE(I485,""my"", ""en"")"),"33")</f>
        <v>33</v>
      </c>
      <c r="AB485" s="10" t="str">
        <f>IFERROR(__xludf.DUMMYFUNCTION("GOOGLETRANSLATE(J485,""my"", ""en"")"),"2847")</f>
        <v>2847</v>
      </c>
      <c r="AE485" s="10" t="str">
        <f>IFERROR(__xludf.DUMMYFUNCTION("GOOGLETRANSLATE(M485,""my"", ""en"")"),"214732")</f>
        <v>214732</v>
      </c>
      <c r="AF485" s="10" t="str">
        <f>IFERROR(__xludf.DUMMYFUNCTION("GOOGLETRANSLATE(N485,""my"", ""en"")"),"70291")</f>
        <v>70291</v>
      </c>
      <c r="AG485" s="10" t="str">
        <f>IFERROR(__xludf.DUMMYFUNCTION("GOOGLETRANSLATE(O485,""my"", ""en"")"),"285023")</f>
        <v>285023</v>
      </c>
    </row>
    <row r="486" ht="24.7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3" t="s">
        <v>3524</v>
      </c>
      <c r="L486" s="23" t="s">
        <v>3525</v>
      </c>
      <c r="M486" s="24" t="s">
        <v>3526</v>
      </c>
      <c r="N486" s="24" t="s">
        <v>3527</v>
      </c>
      <c r="O486" s="24" t="s">
        <v>3528</v>
      </c>
      <c r="P486" s="25" t="s">
        <v>3529</v>
      </c>
      <c r="AC486" s="10" t="str">
        <f>IFERROR(__xludf.DUMMYFUNCTION("GOOGLETRANSLATE(K486,""my"", ""en"")"),"Medium ေဇ")</f>
        <v>Medium ေဇ</v>
      </c>
      <c r="AD486" s="10" t="str">
        <f>IFERROR(__xludf.DUMMYFUNCTION("GOOGLETRANSLATE(L486,""my"", ""en"")")," Game Democracy group   Pop Party")</f>
        <v> Game Democracy group   Pop Party</v>
      </c>
      <c r="AE486" s="10" t="str">
        <f>IFERROR(__xludf.DUMMYFUNCTION("GOOGLETRANSLATE(M486,""my"", ""en"")"),"175199")</f>
        <v>175199</v>
      </c>
      <c r="AF486" s="10" t="str">
        <f>IFERROR(__xludf.DUMMYFUNCTION("GOOGLETRANSLATE(N486,""my"", ""en"")"),"52584")</f>
        <v>52584</v>
      </c>
      <c r="AG486" s="10" t="str">
        <f>IFERROR(__xludf.DUMMYFUNCTION("GOOGLETRANSLATE(O486,""my"", ""en"")"),"227783")</f>
        <v>227783</v>
      </c>
      <c r="AH486" s="10" t="str">
        <f>IFERROR(__xludf.DUMMYFUNCTION("GOOGLETRANSLATE(P486,""my"", ""en"")"),"79.92%")</f>
        <v>79.92%</v>
      </c>
    </row>
    <row r="487" ht="24.75" customHeigh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3" t="s">
        <v>3530</v>
      </c>
      <c r="L487" s="23" t="s">
        <v>3531</v>
      </c>
      <c r="M487" s="24" t="s">
        <v>3532</v>
      </c>
      <c r="N487" s="24" t="s">
        <v>3533</v>
      </c>
      <c r="O487" s="24" t="s">
        <v>3534</v>
      </c>
      <c r="P487" s="25" t="s">
        <v>3535</v>
      </c>
      <c r="AC487" s="10" t="str">
        <f>IFERROR(__xludf.DUMMYFUNCTION("GOOGLETRANSLATE(K487,""my"", ""en"")"),"U Win Tin")</f>
        <v>U Win Tin</v>
      </c>
      <c r="AD487" s="10" t="str">
        <f>IFERROR(__xludf.DUMMYFUNCTION("GOOGLETRANSLATE(L487,""my"", ""en"")"),"Local ေထာင် soap-stone strong ေရး  under development  Phil  ေရး Party")</f>
        <v>Local ေထာင် soap-stone strong ေရး  under development  Phil  ေရး Party</v>
      </c>
      <c r="AE487" s="10" t="str">
        <f>IFERROR(__xludf.DUMMYFUNCTION("GOOGLETRANSLATE(M487,""my"", ""en"")"),"36299")</f>
        <v>36299</v>
      </c>
      <c r="AF487" s="10" t="str">
        <f>IFERROR(__xludf.DUMMYFUNCTION("GOOGLETRANSLATE(N487,""my"", ""en"")"),"16163")</f>
        <v>16163</v>
      </c>
      <c r="AG487" s="10" t="str">
        <f>IFERROR(__xludf.DUMMYFUNCTION("GOOGLETRANSLATE(O487,""my"", ""en"")"),"52462")</f>
        <v>52462</v>
      </c>
      <c r="AH487" s="10" t="str">
        <f>IFERROR(__xludf.DUMMYFUNCTION("GOOGLETRANSLATE(P487,""my"", ""en"")"),"18.41%")</f>
        <v>18.41%</v>
      </c>
    </row>
    <row r="488" ht="24.75" customHeigh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3" t="s">
        <v>3536</v>
      </c>
      <c r="L488" s="23" t="s">
        <v>3537</v>
      </c>
      <c r="M488" s="24" t="s">
        <v>3538</v>
      </c>
      <c r="N488" s="24" t="s">
        <v>3539</v>
      </c>
      <c r="O488" s="24" t="s">
        <v>3540</v>
      </c>
      <c r="P488" s="25" t="s">
        <v>3541</v>
      </c>
      <c r="AC488" s="10" t="str">
        <f>IFERROR(__xludf.DUMMYFUNCTION("GOOGLETRANSLATE(K488,""my"", ""en"")")," Game")</f>
        <v> Game</v>
      </c>
      <c r="AD488" s="10" t="str">
        <f>IFERROR(__xludf.DUMMYFUNCTION("GOOGLETRANSLATE(L488,""my"", ""en"")"),"Local ေထာင် စုေ white  Game ေဆာင် Party")</f>
        <v>Local ေထာင် စုေ white  Game ေဆာင် Party</v>
      </c>
      <c r="AE488" s="10" t="str">
        <f>IFERROR(__xludf.DUMMYFUNCTION("GOOGLETRANSLATE(M488,""my"", ""en"")"),"1537")</f>
        <v>1537</v>
      </c>
      <c r="AF488" s="10" t="str">
        <f>IFERROR(__xludf.DUMMYFUNCTION("GOOGLETRANSLATE(N488,""my"", ""en"")"),"815")</f>
        <v>815</v>
      </c>
      <c r="AG488" s="10" t="str">
        <f>IFERROR(__xludf.DUMMYFUNCTION("GOOGLETRANSLATE(O488,""my"", ""en"")"),"2352")</f>
        <v>2352</v>
      </c>
      <c r="AH488" s="10" t="str">
        <f>IFERROR(__xludf.DUMMYFUNCTION("GOOGLETRANSLATE(P488,""my"", ""en"")"),"0.82%")</f>
        <v>0.82%</v>
      </c>
    </row>
    <row r="489" ht="33.75" customHeigh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3" t="s">
        <v>3542</v>
      </c>
      <c r="L489" s="29" t="s">
        <v>3543</v>
      </c>
      <c r="M489" s="24" t="s">
        <v>3544</v>
      </c>
      <c r="N489" s="24" t="s">
        <v>3545</v>
      </c>
      <c r="O489" s="24" t="s">
        <v>3546</v>
      </c>
      <c r="P489" s="25" t="s">
        <v>3547</v>
      </c>
      <c r="AC489" s="10" t="str">
        <f>IFERROR(__xludf.DUMMYFUNCTION("GOOGLETRANSLATE(K489,""my"", ""en"")"),"Win not")</f>
        <v>Win not</v>
      </c>
      <c r="AD489" s="10" t="str">
        <f>IFERROR(__xludf.DUMMYFUNCTION("GOOGLETRANSLATE(L489,""my"", ""en"")"),"All Burma  ုိင် Labor Farmers Alliance Party")</f>
        <v>All Burma  ုိင် Labor Farmers Alliance Party</v>
      </c>
      <c r="AE489" s="10" t="str">
        <f>IFERROR(__xludf.DUMMYFUNCTION("GOOGLETRANSLATE(M489,""my"", ""en"")"),"1300")</f>
        <v>1300</v>
      </c>
      <c r="AF489" s="10" t="str">
        <f>IFERROR(__xludf.DUMMYFUNCTION("GOOGLETRANSLATE(N489,""my"", ""en"")"),"565")</f>
        <v>565</v>
      </c>
      <c r="AG489" s="10" t="str">
        <f>IFERROR(__xludf.DUMMYFUNCTION("GOOGLETRANSLATE(O489,""my"", ""en"")"),"1865")</f>
        <v>1865</v>
      </c>
      <c r="AH489" s="10" t="str">
        <f>IFERROR(__xludf.DUMMYFUNCTION("GOOGLETRANSLATE(P489,""my"", ""en"")"),"0.65%")</f>
        <v>0.65%</v>
      </c>
    </row>
    <row r="490" ht="22.5" customHeigh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3" t="s">
        <v>3548</v>
      </c>
      <c r="L490" s="23" t="s">
        <v>3549</v>
      </c>
      <c r="M490" s="24" t="s">
        <v>3550</v>
      </c>
      <c r="N490" s="24" t="s">
        <v>3551</v>
      </c>
      <c r="O490" s="24" t="s">
        <v>3552</v>
      </c>
      <c r="P490" s="25" t="s">
        <v>3553</v>
      </c>
      <c r="AC490" s="10" t="str">
        <f>IFERROR(__xludf.DUMMYFUNCTION("GOOGLETRANSLATE(K490,""my"", ""en"")"),"ေအာင်  Game Tun")</f>
        <v>ေအာင်  Game Tun</v>
      </c>
      <c r="AD490" s="10" t="str">
        <f>IFERROR(__xludf.DUMMYFUNCTION("GOOGLETRANSLATE(L490,""my"", ""en"")")," Game  Democratic Party political-Fi")</f>
        <v> Game  Democratic Party political-Fi</v>
      </c>
      <c r="AE490" s="10" t="str">
        <f>IFERROR(__xludf.DUMMYFUNCTION("GOOGLETRANSLATE(M490,""my"", ""en"")"),"397")</f>
        <v>397</v>
      </c>
      <c r="AF490" s="10" t="str">
        <f>IFERROR(__xludf.DUMMYFUNCTION("GOOGLETRANSLATE(N490,""my"", ""en"")"),"164")</f>
        <v>164</v>
      </c>
      <c r="AG490" s="10" t="str">
        <f>IFERROR(__xludf.DUMMYFUNCTION("GOOGLETRANSLATE(O490,""my"", ""en"")"),"561")</f>
        <v>561</v>
      </c>
      <c r="AH490" s="10" t="str">
        <f>IFERROR(__xludf.DUMMYFUNCTION("GOOGLETRANSLATE(P490,""my"", ""en"")"),"0.20%")</f>
        <v>0.20%</v>
      </c>
    </row>
    <row r="491" ht="21.75" customHeight="1">
      <c r="A491" s="17" t="s">
        <v>3554</v>
      </c>
      <c r="B491" s="17" t="s">
        <v>3555</v>
      </c>
      <c r="C491" s="18" t="s">
        <v>3556</v>
      </c>
      <c r="D491" s="17" t="s">
        <v>3557</v>
      </c>
      <c r="E491" s="18" t="s">
        <v>3558</v>
      </c>
      <c r="F491" s="17" t="s">
        <v>3559</v>
      </c>
      <c r="G491" s="18" t="s">
        <v>3560</v>
      </c>
      <c r="H491" s="18" t="s">
        <v>3561</v>
      </c>
      <c r="I491" s="18" t="s">
        <v>3562</v>
      </c>
      <c r="J491" s="18" t="s">
        <v>3563</v>
      </c>
      <c r="K491" s="27"/>
      <c r="L491" s="27"/>
      <c r="M491" s="18" t="s">
        <v>3564</v>
      </c>
      <c r="N491" s="18" t="s">
        <v>3565</v>
      </c>
      <c r="O491" s="18" t="s">
        <v>3566</v>
      </c>
      <c r="P491" s="27"/>
      <c r="S491" s="10" t="str">
        <f>IFERROR(__xludf.DUMMYFUNCTION("GOOGLETRANSLATE(A491,""my"", ""en"")"),"80")</f>
        <v>80</v>
      </c>
      <c r="T491" s="10" t="str">
        <f>IFERROR(__xludf.DUMMYFUNCTION("GOOGLETRANSLATE(B491,""my"", ""en"")"),"မဲဆ  No. (8)")</f>
        <v>မဲဆ  No. (8)</v>
      </c>
      <c r="U491" s="10" t="str">
        <f>IFERROR(__xludf.DUMMYFUNCTION("GOOGLETRANSLATE(C491,""my"", ""en"")"),"412088")</f>
        <v>412088</v>
      </c>
      <c r="V491" s="10" t="str">
        <f>IFERROR(__xludf.DUMMYFUNCTION("GOOGLETRANSLATE(D491,""my"", ""en"")"),"252054")</f>
        <v>252054</v>
      </c>
      <c r="W491" s="10" t="str">
        <f>IFERROR(__xludf.DUMMYFUNCTION("GOOGLETRANSLATE(E491,""my"", ""en"")"),"77529")</f>
        <v>77529</v>
      </c>
      <c r="X491" s="10" t="str">
        <f>IFERROR(__xludf.DUMMYFUNCTION("GOOGLETRANSLATE(F491,""my"", ""en"")"),"329583")</f>
        <v>329583</v>
      </c>
      <c r="Y491" s="10" t="str">
        <f>IFERROR(__xludf.DUMMYFUNCTION("GOOGLETRANSLATE(G491,""my"", ""en"")"),"79.98")</f>
        <v>79.98</v>
      </c>
      <c r="Z491" s="10" t="str">
        <f>IFERROR(__xludf.DUMMYFUNCTION("GOOGLETRANSLATE(H491,""my"", ""en"")"),"4592")</f>
        <v>4592</v>
      </c>
      <c r="AA491" s="10" t="str">
        <f>IFERROR(__xludf.DUMMYFUNCTION("GOOGLETRANSLATE(I491,""my"", ""en"")"),"898")</f>
        <v>898</v>
      </c>
      <c r="AB491" s="10" t="str">
        <f>IFERROR(__xludf.DUMMYFUNCTION("GOOGLETRANSLATE(J491,""my"", ""en"")"),"5490")</f>
        <v>5490</v>
      </c>
      <c r="AE491" s="10" t="str">
        <f>IFERROR(__xludf.DUMMYFUNCTION("GOOGLETRANSLATE(M491,""my"", ""en"")"),"247677")</f>
        <v>247677</v>
      </c>
      <c r="AF491" s="10" t="str">
        <f>IFERROR(__xludf.DUMMYFUNCTION("GOOGLETRANSLATE(N491,""my"", ""en"")"),"76416")</f>
        <v>76416</v>
      </c>
      <c r="AG491" s="10" t="str">
        <f>IFERROR(__xludf.DUMMYFUNCTION("GOOGLETRANSLATE(O491,""my"", ""en"")"),"324093")</f>
        <v>324093</v>
      </c>
    </row>
    <row r="492" ht="22.5" customHeigh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3" t="s">
        <v>3567</v>
      </c>
      <c r="L492" s="23" t="s">
        <v>3568</v>
      </c>
      <c r="M492" s="24" t="s">
        <v>3569</v>
      </c>
      <c r="N492" s="24" t="s">
        <v>3570</v>
      </c>
      <c r="O492" s="24" t="s">
        <v>3571</v>
      </c>
      <c r="P492" s="25" t="s">
        <v>3572</v>
      </c>
      <c r="AC492" s="10" t="str">
        <f>IFERROR(__xludf.DUMMYFUNCTION("GOOGLETRANSLATE(K492,""my"", ""en"")"),"ေဒါက် Win's love")</f>
        <v>ေဒါက် Win's love</v>
      </c>
      <c r="AD492" s="10" t="str">
        <f>IFERROR(__xludf.DUMMYFUNCTION("GOOGLETRANSLATE(L492,""my"", ""en"")")," Game Democracy group   Pop Party")</f>
        <v> Game Democracy group   Pop Party</v>
      </c>
      <c r="AE492" s="10" t="str">
        <f>IFERROR(__xludf.DUMMYFUNCTION("GOOGLETRANSLATE(M492,""my"", ""en"")"),"176245")</f>
        <v>176245</v>
      </c>
      <c r="AF492" s="10" t="str">
        <f>IFERROR(__xludf.DUMMYFUNCTION("GOOGLETRANSLATE(N492,""my"", ""en"")"),"48853")</f>
        <v>48853</v>
      </c>
      <c r="AG492" s="10" t="str">
        <f>IFERROR(__xludf.DUMMYFUNCTION("GOOGLETRANSLATE(O492,""my"", ""en"")"),"225098")</f>
        <v>225098</v>
      </c>
      <c r="AH492" s="10" t="str">
        <f>IFERROR(__xludf.DUMMYFUNCTION("GOOGLETRANSLATE(P492,""my"", ""en"")"),"69.45%")</f>
        <v>69.45%</v>
      </c>
    </row>
    <row r="493" ht="35.25" customHeigh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2" t="s">
        <v>3573</v>
      </c>
      <c r="L493" s="23" t="s">
        <v>3574</v>
      </c>
      <c r="M493" s="24" t="s">
        <v>3575</v>
      </c>
      <c r="N493" s="24" t="s">
        <v>3576</v>
      </c>
      <c r="O493" s="24" t="s">
        <v>3577</v>
      </c>
      <c r="P493" s="31" t="s">
        <v>3578</v>
      </c>
      <c r="AC493" s="10" t="str">
        <f>IFERROR(__xludf.DUMMYFUNCTION("GOOGLETRANSLATE(K493,""my"", ""en"")"),"Data  gold (b)
Data  've got a mess")</f>
        <v>Data  gold (b)
Data  've got a mess</v>
      </c>
      <c r="AD493" s="10" t="str">
        <f>IFERROR(__xludf.DUMMYFUNCTION("GOOGLETRANSLATE(L493,""my"", ""en"")"),"Local ေထာင် soap-stone strong ေရး  under development  Phil  ေရး Party")</f>
        <v>Local ေထာင် soap-stone strong ေရး  under development  Phil  ေရး Party</v>
      </c>
      <c r="AE493" s="10" t="str">
        <f>IFERROR(__xludf.DUMMYFUNCTION("GOOGLETRANSLATE(M493,""my"", ""en"")"),"67432")</f>
        <v>67432</v>
      </c>
      <c r="AF493" s="10" t="str">
        <f>IFERROR(__xludf.DUMMYFUNCTION("GOOGLETRANSLATE(N493,""my"", ""en"")"),"25828")</f>
        <v>25828</v>
      </c>
      <c r="AG493" s="10" t="str">
        <f>IFERROR(__xludf.DUMMYFUNCTION("GOOGLETRANSLATE(O493,""my"", ""en"")"),"93260")</f>
        <v>93260</v>
      </c>
      <c r="AH493" s="10" t="str">
        <f>IFERROR(__xludf.DUMMYFUNCTION("GOOGLETRANSLATE(P493,""my"", ""en"")"),"28.78%")</f>
        <v>28.78%</v>
      </c>
    </row>
    <row r="494" ht="42.0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32" t="s">
        <v>3579</v>
      </c>
      <c r="L494" s="23" t="s">
        <v>3580</v>
      </c>
      <c r="M494" s="33" t="s">
        <v>3581</v>
      </c>
      <c r="N494" s="33" t="s">
        <v>3582</v>
      </c>
      <c r="O494" s="33" t="s">
        <v>3583</v>
      </c>
      <c r="P494" s="31" t="s">
        <v>3584</v>
      </c>
      <c r="AC494" s="10" t="str">
        <f>IFERROR(__xludf.DUMMYFUNCTION("GOOGLETRANSLATE(K494,""my"", ""en"")"),"Early ေကျာ")</f>
        <v>Early ေကျာ</v>
      </c>
      <c r="AD494" s="10" t="str">
        <f>IFERROR(__xludf.DUMMYFUNCTION("GOOGLETRANSLATE(L494,""my"", ""en"")")," Union ေသာ ethnic  Game Democracy Party")</f>
        <v> Union ေသာ ethnic  Game Democracy Party</v>
      </c>
      <c r="AE494" s="10" t="str">
        <f>IFERROR(__xludf.DUMMYFUNCTION("GOOGLETRANSLATE(M494,""my"", ""en"")"),"2286")</f>
        <v>2286</v>
      </c>
      <c r="AF494" s="10" t="str">
        <f>IFERROR(__xludf.DUMMYFUNCTION("GOOGLETRANSLATE(N494,""my"", ""en"")"),"867")</f>
        <v>867</v>
      </c>
      <c r="AG494" s="10" t="str">
        <f>IFERROR(__xludf.DUMMYFUNCTION("GOOGLETRANSLATE(O494,""my"", ""en"")"),"3153")</f>
        <v>3153</v>
      </c>
      <c r="AH494" s="10" t="str">
        <f>IFERROR(__xludf.DUMMYFUNCTION("GOOGLETRANSLATE(P494,""my"", ""en"")"),"0.97%")</f>
        <v>0.97%</v>
      </c>
    </row>
    <row r="495" ht="24.75" customHeigh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3" t="s">
        <v>3585</v>
      </c>
      <c r="L495" s="23" t="s">
        <v>3586</v>
      </c>
      <c r="M495" s="24" t="s">
        <v>3587</v>
      </c>
      <c r="N495" s="24" t="s">
        <v>3588</v>
      </c>
      <c r="O495" s="24" t="s">
        <v>3589</v>
      </c>
      <c r="P495" s="25" t="s">
        <v>3590</v>
      </c>
      <c r="AC495" s="10" t="str">
        <f>IFERROR(__xludf.DUMMYFUNCTION("GOOGLETRANSLATE(K495,""my"", ""en"")"),"Congress  complex")</f>
        <v>Congress  complex</v>
      </c>
      <c r="AD495" s="10" t="str">
        <f>IFERROR(__xludf.DUMMYFUNCTION("GOOGLETRANSLATE(L495,""my"", ""en"")"),"Local ေထာင် စုေ white  Game ေဆာင် Party")</f>
        <v>Local ေထာင် စုေ white  Game ေဆာင် Party</v>
      </c>
      <c r="AE495" s="10" t="str">
        <f>IFERROR(__xludf.DUMMYFUNCTION("GOOGLETRANSLATE(M495,""my"", ""en"")"),"1714")</f>
        <v>1714</v>
      </c>
      <c r="AF495" s="10" t="str">
        <f>IFERROR(__xludf.DUMMYFUNCTION("GOOGLETRANSLATE(N495,""my"", ""en"")"),"868")</f>
        <v>868</v>
      </c>
      <c r="AG495" s="10" t="str">
        <f>IFERROR(__xludf.DUMMYFUNCTION("GOOGLETRANSLATE(O495,""my"", ""en"")"),"2582")</f>
        <v>2582</v>
      </c>
      <c r="AH495" s="10" t="str">
        <f>IFERROR(__xludf.DUMMYFUNCTION("GOOGLETRANSLATE(P495,""my"", ""en"")"),"0.80%")</f>
        <v>0.80%</v>
      </c>
    </row>
    <row r="496" ht="25.5" customHeight="1">
      <c r="A496" s="17" t="s">
        <v>3591</v>
      </c>
      <c r="B496" s="17" t="s">
        <v>3592</v>
      </c>
      <c r="C496" s="18" t="s">
        <v>3593</v>
      </c>
      <c r="D496" s="17" t="s">
        <v>3594</v>
      </c>
      <c r="E496" s="18" t="s">
        <v>3595</v>
      </c>
      <c r="F496" s="17" t="s">
        <v>3596</v>
      </c>
      <c r="G496" s="18" t="s">
        <v>3597</v>
      </c>
      <c r="H496" s="18" t="s">
        <v>3598</v>
      </c>
      <c r="I496" s="18" t="s">
        <v>3599</v>
      </c>
      <c r="J496" s="18" t="s">
        <v>3600</v>
      </c>
      <c r="K496" s="27"/>
      <c r="L496" s="27"/>
      <c r="M496" s="18" t="s">
        <v>3601</v>
      </c>
      <c r="N496" s="18" t="s">
        <v>3602</v>
      </c>
      <c r="O496" s="18" t="s">
        <v>3603</v>
      </c>
      <c r="P496" s="27"/>
      <c r="S496" s="10" t="str">
        <f>IFERROR(__xludf.DUMMYFUNCTION("GOOGLETRANSLATE(A496,""my"", ""en"")"),"81")</f>
        <v>81</v>
      </c>
      <c r="T496" s="10" t="str">
        <f>IFERROR(__xludf.DUMMYFUNCTION("GOOGLETRANSLATE(B496,""my"", ""en"")"),"မဲဆ  No. (9)")</f>
        <v>မဲဆ  No. (9)</v>
      </c>
      <c r="U496" s="10" t="str">
        <f>IFERROR(__xludf.DUMMYFUNCTION("GOOGLETRANSLATE(C496,""my"", ""en"")"),"325109")</f>
        <v>325109</v>
      </c>
      <c r="V496" s="10" t="str">
        <f>IFERROR(__xludf.DUMMYFUNCTION("GOOGLETRANSLATE(D496,""my"", ""en"")"),"192245")</f>
        <v>192245</v>
      </c>
      <c r="W496" s="10" t="str">
        <f>IFERROR(__xludf.DUMMYFUNCTION("GOOGLETRANSLATE(E496,""my"", ""en"")"),"70887")</f>
        <v>70887</v>
      </c>
      <c r="X496" s="10" t="str">
        <f>IFERROR(__xludf.DUMMYFUNCTION("GOOGLETRANSLATE(F496,""my"", ""en"")"),"263132")</f>
        <v>263132</v>
      </c>
      <c r="Y496" s="10" t="str">
        <f>IFERROR(__xludf.DUMMYFUNCTION("GOOGLETRANSLATE(G496,""my"", ""en"")"),"80.94")</f>
        <v>80.94</v>
      </c>
      <c r="Z496" s="10" t="str">
        <f>IFERROR(__xludf.DUMMYFUNCTION("GOOGLETRANSLATE(H496,""my"", ""en"")"),"5527")</f>
        <v>5527</v>
      </c>
      <c r="AA496" s="10" t="str">
        <f>IFERROR(__xludf.DUMMYFUNCTION("GOOGLETRANSLATE(I496,""my"", ""en"")"),"181")</f>
        <v>181</v>
      </c>
      <c r="AB496" s="10" t="str">
        <f>IFERROR(__xludf.DUMMYFUNCTION("GOOGLETRANSLATE(J496,""my"", ""en"")"),"5708")</f>
        <v>5708</v>
      </c>
      <c r="AE496" s="10" t="str">
        <f>IFERROR(__xludf.DUMMYFUNCTION("GOOGLETRANSLATE(M496,""my"", ""en"")"),"186975")</f>
        <v>186975</v>
      </c>
      <c r="AF496" s="10" t="str">
        <f>IFERROR(__xludf.DUMMYFUNCTION("GOOGLETRANSLATE(N496,""my"", ""en"")"),"70449")</f>
        <v>70449</v>
      </c>
      <c r="AG496" s="10" t="str">
        <f>IFERROR(__xludf.DUMMYFUNCTION("GOOGLETRANSLATE(O496,""my"", ""en"")"),"257424")</f>
        <v>257424</v>
      </c>
    </row>
    <row r="497" ht="24.0" customHeigh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3" t="s">
        <v>3604</v>
      </c>
      <c r="L497" s="23" t="s">
        <v>3605</v>
      </c>
      <c r="M497" s="24" t="s">
        <v>3606</v>
      </c>
      <c r="N497" s="24" t="s">
        <v>3607</v>
      </c>
      <c r="O497" s="24" t="s">
        <v>3608</v>
      </c>
      <c r="P497" s="25" t="s">
        <v>3609</v>
      </c>
      <c r="AC497" s="10" t="str">
        <f>IFERROR(__xludf.DUMMYFUNCTION("GOOGLETRANSLATE(K497,""my"", ""en"")"),"Aye  Game")</f>
        <v>Aye  Game</v>
      </c>
      <c r="AD497" s="10" t="str">
        <f>IFERROR(__xludf.DUMMYFUNCTION("GOOGLETRANSLATE(L497,""my"", ""en"")")," Game Democracy group   Pop Party")</f>
        <v> Game Democracy group   Pop Party</v>
      </c>
      <c r="AE497" s="10" t="str">
        <f>IFERROR(__xludf.DUMMYFUNCTION("GOOGLETRANSLATE(M497,""my"", ""en"")"),"141742")</f>
        <v>141742</v>
      </c>
      <c r="AF497" s="10" t="str">
        <f>IFERROR(__xludf.DUMMYFUNCTION("GOOGLETRANSLATE(N497,""my"", ""en"")"),"51009")</f>
        <v>51009</v>
      </c>
      <c r="AG497" s="10" t="str">
        <f>IFERROR(__xludf.DUMMYFUNCTION("GOOGLETRANSLATE(O497,""my"", ""en"")"),"192751")</f>
        <v>192751</v>
      </c>
      <c r="AH497" s="10" t="str">
        <f>IFERROR(__xludf.DUMMYFUNCTION("GOOGLETRANSLATE(P497,""my"", ""en"")"),"74.88%")</f>
        <v>74.88%</v>
      </c>
    </row>
    <row r="498" ht="24.0" customHeigh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3" t="s">
        <v>3610</v>
      </c>
      <c r="L498" s="23" t="s">
        <v>3611</v>
      </c>
      <c r="M498" s="24" t="s">
        <v>3612</v>
      </c>
      <c r="N498" s="24" t="s">
        <v>3613</v>
      </c>
      <c r="O498" s="24" t="s">
        <v>3614</v>
      </c>
      <c r="P498" s="25" t="s">
        <v>3615</v>
      </c>
      <c r="AC498" s="10" t="str">
        <f>IFERROR(__xludf.DUMMYFUNCTION("GOOGLETRANSLATE(K498,""my"", ""en"")"),"Data  level ")</f>
        <v>Data  level </v>
      </c>
      <c r="AD498" s="10" t="str">
        <f>IFERROR(__xludf.DUMMYFUNCTION("GOOGLETRANSLATE(L498,""my"", ""en"")"),"Local ေထာင် soap-stone strong ေရး  under development  Phil  ေရး Party")</f>
        <v>Local ေထာင် soap-stone strong ေရး  under development  Phil  ေရး Party</v>
      </c>
      <c r="AE498" s="10" t="str">
        <f>IFERROR(__xludf.DUMMYFUNCTION("GOOGLETRANSLATE(M498,""my"", ""en"")"),"40404")</f>
        <v>40404</v>
      </c>
      <c r="AF498" s="10" t="str">
        <f>IFERROR(__xludf.DUMMYFUNCTION("GOOGLETRANSLATE(N498,""my"", ""en"")"),"17965")</f>
        <v>17965</v>
      </c>
      <c r="AG498" s="10" t="str">
        <f>IFERROR(__xludf.DUMMYFUNCTION("GOOGLETRANSLATE(O498,""my"", ""en"")"),"58369")</f>
        <v>58369</v>
      </c>
      <c r="AH498" s="10" t="str">
        <f>IFERROR(__xludf.DUMMYFUNCTION("GOOGLETRANSLATE(P498,""my"", ""en"")"),"22.67%")</f>
        <v>22.67%</v>
      </c>
    </row>
    <row r="499" ht="22.5" customHeigh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3" t="s">
        <v>3616</v>
      </c>
      <c r="L499" s="23" t="s">
        <v>3617</v>
      </c>
      <c r="M499" s="24" t="s">
        <v>3618</v>
      </c>
      <c r="N499" s="24" t="s">
        <v>3619</v>
      </c>
      <c r="O499" s="24" t="s">
        <v>3620</v>
      </c>
      <c r="P499" s="25" t="s">
        <v>3621</v>
      </c>
      <c r="AC499" s="10" t="str">
        <f>IFERROR(__xludf.DUMMYFUNCTION("GOOGLETRANSLATE(K499,""my"", ""en"")"),"Show ေအာင်")</f>
        <v>Show ေအာင်</v>
      </c>
      <c r="AD499" s="10" t="str">
        <f>IFERROR(__xludf.DUMMYFUNCTION("GOOGLETRANSLATE(L499,""my"", ""en"")"),"Local ေထာင် စုေ white  Game ေဆာင် Party")</f>
        <v>Local ေထာင် စုေ white  Game ေဆာင် Party</v>
      </c>
      <c r="AE499" s="10" t="str">
        <f>IFERROR(__xludf.DUMMYFUNCTION("GOOGLETRANSLATE(M499,""my"", ""en"")"),"4829")</f>
        <v>4829</v>
      </c>
      <c r="AF499" s="10" t="str">
        <f>IFERROR(__xludf.DUMMYFUNCTION("GOOGLETRANSLATE(N499,""my"", ""en"")"),"1475")</f>
        <v>1475</v>
      </c>
      <c r="AG499" s="10" t="str">
        <f>IFERROR(__xludf.DUMMYFUNCTION("GOOGLETRANSLATE(O499,""my"", ""en"")"),"6304")</f>
        <v>6304</v>
      </c>
      <c r="AH499" s="10" t="str">
        <f>IFERROR(__xludf.DUMMYFUNCTION("GOOGLETRANSLATE(P499,""my"", ""en"")"),"2.45%")</f>
        <v>2.45%</v>
      </c>
    </row>
    <row r="500" ht="22.5" customHeight="1">
      <c r="A500" s="17" t="s">
        <v>3622</v>
      </c>
      <c r="B500" s="17" t="s">
        <v>3623</v>
      </c>
      <c r="C500" s="18" t="s">
        <v>3624</v>
      </c>
      <c r="D500" s="17" t="s">
        <v>3625</v>
      </c>
      <c r="E500" s="18" t="s">
        <v>3626</v>
      </c>
      <c r="F500" s="17" t="s">
        <v>3627</v>
      </c>
      <c r="G500" s="18" t="s">
        <v>3628</v>
      </c>
      <c r="H500" s="18" t="s">
        <v>3629</v>
      </c>
      <c r="I500" s="18" t="s">
        <v>3630</v>
      </c>
      <c r="J500" s="18" t="s">
        <v>3631</v>
      </c>
      <c r="K500" s="27"/>
      <c r="L500" s="27"/>
      <c r="M500" s="18" t="s">
        <v>3632</v>
      </c>
      <c r="N500" s="18" t="s">
        <v>3633</v>
      </c>
      <c r="O500" s="18" t="s">
        <v>3634</v>
      </c>
      <c r="P500" s="27"/>
      <c r="S500" s="10" t="str">
        <f>IFERROR(__xludf.DUMMYFUNCTION("GOOGLETRANSLATE(A500,""my"", ""en"")"),"82")</f>
        <v>82</v>
      </c>
      <c r="T500" s="10" t="str">
        <f>IFERROR(__xludf.DUMMYFUNCTION("GOOGLETRANSLATE(B500,""my"", ""en"")"),"မဲဆ  No. (10)")</f>
        <v>မဲဆ  No. (10)</v>
      </c>
      <c r="U500" s="10" t="str">
        <f>IFERROR(__xludf.DUMMYFUNCTION("GOOGLETRANSLATE(C500,""my"", ""en"")"),"295486")</f>
        <v>295486</v>
      </c>
      <c r="V500" s="10" t="str">
        <f>IFERROR(__xludf.DUMMYFUNCTION("GOOGLETRANSLATE(D500,""my"", ""en"")"),"178841")</f>
        <v>178841</v>
      </c>
      <c r="W500" s="10" t="str">
        <f>IFERROR(__xludf.DUMMYFUNCTION("GOOGLETRANSLATE(E500,""my"", ""en"")"),"52056")</f>
        <v>52056</v>
      </c>
      <c r="X500" s="10" t="str">
        <f>IFERROR(__xludf.DUMMYFUNCTION("GOOGLETRANSLATE(F500,""my"", ""en"")"),"230897")</f>
        <v>230897</v>
      </c>
      <c r="Y500" s="10" t="str">
        <f>IFERROR(__xludf.DUMMYFUNCTION("GOOGLETRANSLATE(G500,""my"", ""en"")"),"78.14")</f>
        <v>78.14</v>
      </c>
      <c r="Z500" s="10" t="str">
        <f>IFERROR(__xludf.DUMMYFUNCTION("GOOGLETRANSLATE(H500,""my"", ""en"")"),"4747")</f>
        <v>4747</v>
      </c>
      <c r="AA500" s="10" t="str">
        <f>IFERROR(__xludf.DUMMYFUNCTION("GOOGLETRANSLATE(I500,""my"", ""en"")"),"47")</f>
        <v>47</v>
      </c>
      <c r="AB500" s="10" t="str">
        <f>IFERROR(__xludf.DUMMYFUNCTION("GOOGLETRANSLATE(J500,""my"", ""en"")"),"4794")</f>
        <v>4794</v>
      </c>
      <c r="AE500" s="10" t="str">
        <f>IFERROR(__xludf.DUMMYFUNCTION("GOOGLETRANSLATE(M500,""my"", ""en"")"),"174897")</f>
        <v>174897</v>
      </c>
      <c r="AF500" s="10" t="str">
        <f>IFERROR(__xludf.DUMMYFUNCTION("GOOGLETRANSLATE(N500,""my"", ""en"")"),"51206")</f>
        <v>51206</v>
      </c>
      <c r="AG500" s="10" t="str">
        <f>IFERROR(__xludf.DUMMYFUNCTION("GOOGLETRANSLATE(O500,""my"", ""en"")"),"226103")</f>
        <v>226103</v>
      </c>
    </row>
    <row r="501" ht="24.75" customHeigh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3" t="s">
        <v>3635</v>
      </c>
      <c r="L501" s="23" t="s">
        <v>3636</v>
      </c>
      <c r="M501" s="24" t="s">
        <v>3637</v>
      </c>
      <c r="N501" s="24" t="s">
        <v>3638</v>
      </c>
      <c r="O501" s="24" t="s">
        <v>3639</v>
      </c>
      <c r="P501" s="25" t="s">
        <v>3640</v>
      </c>
      <c r="AC501" s="10" t="str">
        <f>IFERROR(__xludf.DUMMYFUNCTION("GOOGLETRANSLATE(K501,""my"", ""en"")"),"U Ye Min")</f>
        <v>U Ye Min</v>
      </c>
      <c r="AD501" s="10" t="str">
        <f>IFERROR(__xludf.DUMMYFUNCTION("GOOGLETRANSLATE(L501,""my"", ""en"")")," Game Democracy group   Pop Party")</f>
        <v> Game Democracy group   Pop Party</v>
      </c>
      <c r="AE501" s="10" t="str">
        <f>IFERROR(__xludf.DUMMYFUNCTION("GOOGLETRANSLATE(M501,""my"", ""en"")"),"123662")</f>
        <v>123662</v>
      </c>
      <c r="AF501" s="10" t="str">
        <f>IFERROR(__xludf.DUMMYFUNCTION("GOOGLETRANSLATE(N501,""my"", ""en"")"),"34104")</f>
        <v>34104</v>
      </c>
      <c r="AG501" s="10" t="str">
        <f>IFERROR(__xludf.DUMMYFUNCTION("GOOGLETRANSLATE(O501,""my"", ""en"")"),"157766")</f>
        <v>157766</v>
      </c>
      <c r="AH501" s="10" t="str">
        <f>IFERROR(__xludf.DUMMYFUNCTION("GOOGLETRANSLATE(P501,""my"", ""en"")"),"69.78%")</f>
        <v>69.78%</v>
      </c>
    </row>
    <row r="502" ht="24.75" customHeigh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3" t="s">
        <v>3641</v>
      </c>
      <c r="L502" s="23" t="s">
        <v>3642</v>
      </c>
      <c r="M502" s="24" t="s">
        <v>3643</v>
      </c>
      <c r="N502" s="24" t="s">
        <v>3644</v>
      </c>
      <c r="O502" s="24" t="s">
        <v>3645</v>
      </c>
      <c r="P502" s="25" t="s">
        <v>3646</v>
      </c>
      <c r="AC502" s="10" t="str">
        <f>IFERROR(__xludf.DUMMYFUNCTION("GOOGLETRANSLATE(K502,""my"", ""en"")"),"ေဇာ million Tun")</f>
        <v>ေဇာ million Tun</v>
      </c>
      <c r="AD502" s="10" t="str">
        <f>IFERROR(__xludf.DUMMYFUNCTION("GOOGLETRANSLATE(L502,""my"", ""en"")"),"Local ေထာင် soap-stone strong ေရး  under development  Phil  ေရး Party")</f>
        <v>Local ေထာင် soap-stone strong ေရး  under development  Phil  ေရး Party</v>
      </c>
      <c r="AE502" s="10" t="str">
        <f>IFERROR(__xludf.DUMMYFUNCTION("GOOGLETRANSLATE(M502,""my"", ""en"")"),"47863")</f>
        <v>47863</v>
      </c>
      <c r="AF502" s="10" t="str">
        <f>IFERROR(__xludf.DUMMYFUNCTION("GOOGLETRANSLATE(N502,""my"", ""en"")"),"15911")</f>
        <v>15911</v>
      </c>
      <c r="AG502" s="10" t="str">
        <f>IFERROR(__xludf.DUMMYFUNCTION("GOOGLETRANSLATE(O502,""my"", ""en"")"),"63774")</f>
        <v>63774</v>
      </c>
      <c r="AH502" s="10" t="str">
        <f>IFERROR(__xludf.DUMMYFUNCTION("GOOGLETRANSLATE(P502,""my"", ""en"")"),"28.20%")</f>
        <v>28.20%</v>
      </c>
    </row>
    <row r="503" ht="25.5" customHeigh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3" t="s">
        <v>3647</v>
      </c>
      <c r="L503" s="23" t="s">
        <v>3648</v>
      </c>
      <c r="M503" s="24" t="s">
        <v>3649</v>
      </c>
      <c r="N503" s="24" t="s">
        <v>3650</v>
      </c>
      <c r="O503" s="24" t="s">
        <v>3651</v>
      </c>
      <c r="P503" s="25" t="s">
        <v>3652</v>
      </c>
      <c r="AC503" s="10" t="str">
        <f>IFERROR(__xludf.DUMMYFUNCTION("GOOGLETRANSLATE(K503,""my"", ""en"")"),"ေမာင် ေမာင် Win")</f>
        <v>ေမာင် ေမာင် Win</v>
      </c>
      <c r="AD503" s="10" t="str">
        <f>IFERROR(__xludf.DUMMYFUNCTION("GOOGLETRANSLATE(L503,""my"", ""en"")"),"Local ေထာင် စုေ white  Game ေဆာင် Party")</f>
        <v>Local ေထာင် စုေ white  Game ေဆာင် Party</v>
      </c>
      <c r="AE503" s="10" t="str">
        <f>IFERROR(__xludf.DUMMYFUNCTION("GOOGLETRANSLATE(M503,""my"", ""en"")"),"3372")</f>
        <v>3372</v>
      </c>
      <c r="AF503" s="10" t="str">
        <f>IFERROR(__xludf.DUMMYFUNCTION("GOOGLETRANSLATE(N503,""my"", ""en"")"),"1191")</f>
        <v>1191</v>
      </c>
      <c r="AG503" s="10" t="str">
        <f>IFERROR(__xludf.DUMMYFUNCTION("GOOGLETRANSLATE(O503,""my"", ""en"")"),"4563")</f>
        <v>4563</v>
      </c>
      <c r="AH503" s="10" t="str">
        <f>IFERROR(__xludf.DUMMYFUNCTION("GOOGLETRANSLATE(P503,""my"", ""en"")"),"2.02%")</f>
        <v>2.02%</v>
      </c>
    </row>
    <row r="504" ht="24.0" customHeight="1">
      <c r="A504" s="17" t="s">
        <v>3653</v>
      </c>
      <c r="B504" s="17" t="s">
        <v>3654</v>
      </c>
      <c r="C504" s="18" t="s">
        <v>3655</v>
      </c>
      <c r="D504" s="17" t="s">
        <v>3656</v>
      </c>
      <c r="E504" s="18" t="s">
        <v>3657</v>
      </c>
      <c r="F504" s="17" t="s">
        <v>3658</v>
      </c>
      <c r="G504" s="18" t="s">
        <v>3659</v>
      </c>
      <c r="H504" s="18" t="s">
        <v>3660</v>
      </c>
      <c r="I504" s="18" t="s">
        <v>3661</v>
      </c>
      <c r="J504" s="18" t="s">
        <v>3662</v>
      </c>
      <c r="K504" s="27"/>
      <c r="L504" s="27"/>
      <c r="M504" s="18" t="s">
        <v>3663</v>
      </c>
      <c r="N504" s="18" t="s">
        <v>3664</v>
      </c>
      <c r="O504" s="18" t="s">
        <v>3665</v>
      </c>
      <c r="P504" s="27"/>
      <c r="S504" s="10" t="str">
        <f>IFERROR(__xludf.DUMMYFUNCTION("GOOGLETRANSLATE(A504,""my"", ""en"")"),"83")</f>
        <v>83</v>
      </c>
      <c r="T504" s="10" t="str">
        <f>IFERROR(__xludf.DUMMYFUNCTION("GOOGLETRANSLATE(B504,""my"", ""en"")"),"မဲဆ  No. (11)")</f>
        <v>မဲဆ  No. (11)</v>
      </c>
      <c r="U504" s="10" t="str">
        <f>IFERROR(__xludf.DUMMYFUNCTION("GOOGLETRANSLATE(C504,""my"", ""en"")"),"308578")</f>
        <v>308578</v>
      </c>
      <c r="V504" s="10" t="str">
        <f>IFERROR(__xludf.DUMMYFUNCTION("GOOGLETRANSLATE(D504,""my"", ""en"")"),"180802")</f>
        <v>180802</v>
      </c>
      <c r="W504" s="10" t="str">
        <f>IFERROR(__xludf.DUMMYFUNCTION("GOOGLETRANSLATE(E504,""my"", ""en"")"),"55377")</f>
        <v>55377</v>
      </c>
      <c r="X504" s="10" t="str">
        <f>IFERROR(__xludf.DUMMYFUNCTION("GOOGLETRANSLATE(F504,""my"", ""en"")"),"236179")</f>
        <v>236179</v>
      </c>
      <c r="Y504" s="10" t="str">
        <f>IFERROR(__xludf.DUMMYFUNCTION("GOOGLETRANSLATE(G504,""my"", ""en"")"),"76.54")</f>
        <v>76.54</v>
      </c>
      <c r="Z504" s="10" t="str">
        <f>IFERROR(__xludf.DUMMYFUNCTION("GOOGLETRANSLATE(H504,""my"", ""en"")"),"6370")</f>
        <v>6370</v>
      </c>
      <c r="AA504" s="10" t="str">
        <f>IFERROR(__xludf.DUMMYFUNCTION("GOOGLETRANSLATE(I504,""my"", ""en"")"),"50")</f>
        <v>50</v>
      </c>
      <c r="AB504" s="10" t="str">
        <f>IFERROR(__xludf.DUMMYFUNCTION("GOOGLETRANSLATE(J504,""my"", ""en"")"),"6420")</f>
        <v>6420</v>
      </c>
      <c r="AE504" s="10" t="str">
        <f>IFERROR(__xludf.DUMMYFUNCTION("GOOGLETRANSLATE(M504,""my"", ""en"")"),"176671")</f>
        <v>176671</v>
      </c>
      <c r="AF504" s="10" t="str">
        <f>IFERROR(__xludf.DUMMYFUNCTION("GOOGLETRANSLATE(N504,""my"", ""en"")"),"53088")</f>
        <v>53088</v>
      </c>
      <c r="AG504" s="10" t="str">
        <f>IFERROR(__xludf.DUMMYFUNCTION("GOOGLETRANSLATE(O504,""my"", ""en"")"),"229759")</f>
        <v>229759</v>
      </c>
    </row>
    <row r="505" ht="24.75" customHeigh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3" t="s">
        <v>3666</v>
      </c>
      <c r="L505" s="23" t="s">
        <v>3667</v>
      </c>
      <c r="M505" s="24" t="s">
        <v>3668</v>
      </c>
      <c r="N505" s="24" t="s">
        <v>3669</v>
      </c>
      <c r="O505" s="24" t="s">
        <v>3670</v>
      </c>
      <c r="P505" s="25" t="s">
        <v>3671</v>
      </c>
      <c r="AC505" s="10" t="str">
        <f>IFERROR(__xludf.DUMMYFUNCTION("GOOGLETRANSLATE(K505,""my"", ""en"")"),"Show ေဒါက် Win")</f>
        <v>Show ေဒါက် Win</v>
      </c>
      <c r="AD505" s="10" t="str">
        <f>IFERROR(__xludf.DUMMYFUNCTION("GOOGLETRANSLATE(L505,""my"", ""en"")")," Game Democracy group   Pop Party")</f>
        <v> Game Democracy group   Pop Party</v>
      </c>
      <c r="AE505" s="10" t="str">
        <f>IFERROR(__xludf.DUMMYFUNCTION("GOOGLETRANSLATE(M505,""my"", ""en"")"),"132130")</f>
        <v>132130</v>
      </c>
      <c r="AF505" s="10" t="str">
        <f>IFERROR(__xludf.DUMMYFUNCTION("GOOGLETRANSLATE(N505,""my"", ""en"")"),"38659")</f>
        <v>38659</v>
      </c>
      <c r="AG505" s="10" t="str">
        <f>IFERROR(__xludf.DUMMYFUNCTION("GOOGLETRANSLATE(O505,""my"", ""en"")"),"170789")</f>
        <v>170789</v>
      </c>
      <c r="AH505" s="10" t="str">
        <f>IFERROR(__xludf.DUMMYFUNCTION("GOOGLETRANSLATE(P505,""my"", ""en"")"),"74.33%")</f>
        <v>74.33%</v>
      </c>
    </row>
    <row r="506" ht="25.5" customHeigh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3" t="s">
        <v>3672</v>
      </c>
      <c r="L506" s="23" t="s">
        <v>3673</v>
      </c>
      <c r="M506" s="24" t="s">
        <v>3674</v>
      </c>
      <c r="N506" s="24" t="s">
        <v>3675</v>
      </c>
      <c r="O506" s="24" t="s">
        <v>3676</v>
      </c>
      <c r="P506" s="25" t="s">
        <v>3677</v>
      </c>
      <c r="AC506" s="10" t="str">
        <f>IFERROR(__xludf.DUMMYFUNCTION("GOOGLETRANSLATE(K506,""my"", ""en"")"),"San ေအာင်  Cashier")</f>
        <v>San ေအာင်  Cashier</v>
      </c>
      <c r="AD506" s="10" t="str">
        <f>IFERROR(__xludf.DUMMYFUNCTION("GOOGLETRANSLATE(L506,""my"", ""en"")"),"Local ေထာင် soap-stone strong ေရး  under development  Phil  ေရး Party")</f>
        <v>Local ေထာင် soap-stone strong ေရး  under development  Phil  ေရး Party</v>
      </c>
      <c r="AE506" s="10" t="str">
        <f>IFERROR(__xludf.DUMMYFUNCTION("GOOGLETRANSLATE(M506,""my"", ""en"")"),"41555")</f>
        <v>41555</v>
      </c>
      <c r="AF506" s="10" t="str">
        <f>IFERROR(__xludf.DUMMYFUNCTION("GOOGLETRANSLATE(N506,""my"", ""en"")"),"13460")</f>
        <v>13460</v>
      </c>
      <c r="AG506" s="10" t="str">
        <f>IFERROR(__xludf.DUMMYFUNCTION("GOOGLETRANSLATE(O506,""my"", ""en"")"),"55015")</f>
        <v>55015</v>
      </c>
      <c r="AH506" s="10" t="str">
        <f>IFERROR(__xludf.DUMMYFUNCTION("GOOGLETRANSLATE(P506,""my"", ""en"")"),"23.95%")</f>
        <v>23.95%</v>
      </c>
    </row>
    <row r="507" ht="24.75" customHeigh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3" t="s">
        <v>3678</v>
      </c>
      <c r="L507" s="23" t="s">
        <v>3679</v>
      </c>
      <c r="M507" s="24" t="s">
        <v>3680</v>
      </c>
      <c r="N507" s="24" t="s">
        <v>3681</v>
      </c>
      <c r="O507" s="24" t="s">
        <v>3682</v>
      </c>
      <c r="P507" s="25" t="s">
        <v>3683</v>
      </c>
      <c r="AC507" s="10" t="str">
        <f>IFERROR(__xludf.DUMMYFUNCTION("GOOGLETRANSLATE(K507,""my"", ""en"")"),"ေစာ Tin Win")</f>
        <v>ေစာ Tin Win</v>
      </c>
      <c r="AD507" s="10" t="str">
        <f>IFERROR(__xludf.DUMMYFUNCTION("GOOGLETRANSLATE(L507,""my"", ""en"")"),"Local ေထာင် စုေ white  Game ေဆာင် Party")</f>
        <v>Local ေထာင် စုေ white  Game ေဆာင် Party</v>
      </c>
      <c r="AE507" s="10" t="str">
        <f>IFERROR(__xludf.DUMMYFUNCTION("GOOGLETRANSLATE(M507,""my"", ""en"")"),"2986")</f>
        <v>2986</v>
      </c>
      <c r="AF507" s="10" t="str">
        <f>IFERROR(__xludf.DUMMYFUNCTION("GOOGLETRANSLATE(N507,""my"", ""en"")"),"969")</f>
        <v>969</v>
      </c>
      <c r="AG507" s="10" t="str">
        <f>IFERROR(__xludf.DUMMYFUNCTION("GOOGLETRANSLATE(O507,""my"", ""en"")"),"3955")</f>
        <v>3955</v>
      </c>
      <c r="AH507" s="10" t="str">
        <f>IFERROR(__xludf.DUMMYFUNCTION("GOOGLETRANSLATE(P507,""my"", ""en"")"),"1.72%")</f>
        <v>1.72%</v>
      </c>
    </row>
    <row r="508" ht="24.0" customHeight="1">
      <c r="A508" s="17" t="s">
        <v>3684</v>
      </c>
      <c r="B508" s="17" t="s">
        <v>3685</v>
      </c>
      <c r="C508" s="18" t="s">
        <v>3686</v>
      </c>
      <c r="D508" s="17" t="s">
        <v>3687</v>
      </c>
      <c r="E508" s="18" t="s">
        <v>3688</v>
      </c>
      <c r="F508" s="17" t="s">
        <v>3689</v>
      </c>
      <c r="G508" s="18" t="s">
        <v>3690</v>
      </c>
      <c r="H508" s="18" t="s">
        <v>3691</v>
      </c>
      <c r="I508" s="18" t="s">
        <v>3692</v>
      </c>
      <c r="J508" s="18" t="s">
        <v>3693</v>
      </c>
      <c r="K508" s="27"/>
      <c r="L508" s="27"/>
      <c r="M508" s="18" t="s">
        <v>3694</v>
      </c>
      <c r="N508" s="18" t="s">
        <v>3695</v>
      </c>
      <c r="O508" s="18" t="s">
        <v>3696</v>
      </c>
      <c r="P508" s="27"/>
      <c r="S508" s="10" t="str">
        <f>IFERROR(__xludf.DUMMYFUNCTION("GOOGLETRANSLATE(A508,""my"", ""en"")"),"84")</f>
        <v>84</v>
      </c>
      <c r="T508" s="10" t="str">
        <f>IFERROR(__xludf.DUMMYFUNCTION("GOOGLETRANSLATE(B508,""my"", ""en"")"),"မဲဆ  No. (12)")</f>
        <v>မဲဆ  No. (12)</v>
      </c>
      <c r="U508" s="10" t="str">
        <f>IFERROR(__xludf.DUMMYFUNCTION("GOOGLETRANSLATE(C508,""my"", ""en"")"),"264282")</f>
        <v>264282</v>
      </c>
      <c r="V508" s="10" t="str">
        <f>IFERROR(__xludf.DUMMYFUNCTION("GOOGLETRANSLATE(D508,""my"", ""en"")"),"144138")</f>
        <v>144138</v>
      </c>
      <c r="W508" s="10" t="str">
        <f>IFERROR(__xludf.DUMMYFUNCTION("GOOGLETRANSLATE(E508,""my"", ""en"")"),"49751")</f>
        <v>49751</v>
      </c>
      <c r="X508" s="10" t="str">
        <f>IFERROR(__xludf.DUMMYFUNCTION("GOOGLETRANSLATE(F508,""my"", ""en"")"),"193889")</f>
        <v>193889</v>
      </c>
      <c r="Y508" s="10" t="str">
        <f>IFERROR(__xludf.DUMMYFUNCTION("GOOGLETRANSLATE(G508,""my"", ""en"")"),"73.36")</f>
        <v>73.36</v>
      </c>
      <c r="Z508" s="10" t="str">
        <f>IFERROR(__xludf.DUMMYFUNCTION("GOOGLETRANSLATE(H508,""my"", ""en"")"),"3938")</f>
        <v>3938</v>
      </c>
      <c r="AA508" s="10" t="str">
        <f>IFERROR(__xludf.DUMMYFUNCTION("GOOGLETRANSLATE(I508,""my"", ""en"")"),"104")</f>
        <v>104</v>
      </c>
      <c r="AB508" s="10" t="str">
        <f>IFERROR(__xludf.DUMMYFUNCTION("GOOGLETRANSLATE(J508,""my"", ""en"")"),"4042")</f>
        <v>4042</v>
      </c>
      <c r="AE508" s="10" t="str">
        <f>IFERROR(__xludf.DUMMYFUNCTION("GOOGLETRANSLATE(M508,""my"", ""en"")"),"140096")</f>
        <v>140096</v>
      </c>
      <c r="AF508" s="10" t="str">
        <f>IFERROR(__xludf.DUMMYFUNCTION("GOOGLETRANSLATE(N508,""my"", ""en"")"),"49751")</f>
        <v>49751</v>
      </c>
      <c r="AG508" s="10" t="str">
        <f>IFERROR(__xludf.DUMMYFUNCTION("GOOGLETRANSLATE(O508,""my"", ""en"")"),"189847")</f>
        <v>189847</v>
      </c>
    </row>
    <row r="509" ht="24.75" customHeigh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3" t="s">
        <v>3697</v>
      </c>
      <c r="L509" s="23" t="s">
        <v>3698</v>
      </c>
      <c r="M509" s="24" t="s">
        <v>3699</v>
      </c>
      <c r="N509" s="24" t="s">
        <v>3700</v>
      </c>
      <c r="O509" s="24" t="s">
        <v>3701</v>
      </c>
      <c r="P509" s="25" t="s">
        <v>3702</v>
      </c>
      <c r="AC509" s="10" t="str">
        <f>IFERROR(__xludf.DUMMYFUNCTION("GOOGLETRANSLATE(K509,""my"", ""en"")"),"Win  Lucius ")</f>
        <v>Win  Lucius </v>
      </c>
      <c r="AD509" s="10" t="str">
        <f>IFERROR(__xludf.DUMMYFUNCTION("GOOGLETRANSLATE(L509,""my"", ""en"")")," Game Democracy group   Pop Party")</f>
        <v> Game Democracy group   Pop Party</v>
      </c>
      <c r="AE509" s="10" t="str">
        <f>IFERROR(__xludf.DUMMYFUNCTION("GOOGLETRANSLATE(M509,""my"", ""en"")"),"97970")</f>
        <v>97970</v>
      </c>
      <c r="AF509" s="10" t="str">
        <f>IFERROR(__xludf.DUMMYFUNCTION("GOOGLETRANSLATE(N509,""my"", ""en"")"),"32922")</f>
        <v>32922</v>
      </c>
      <c r="AG509" s="10" t="str">
        <f>IFERROR(__xludf.DUMMYFUNCTION("GOOGLETRANSLATE(O509,""my"", ""en"")"),"130892")</f>
        <v>130892</v>
      </c>
      <c r="AH509" s="10" t="str">
        <f>IFERROR(__xludf.DUMMYFUNCTION("GOOGLETRANSLATE(P509,""my"", ""en"")"),"69.00%")</f>
        <v>69.00%</v>
      </c>
    </row>
    <row r="510" ht="25.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6" t="s">
        <v>3703</v>
      </c>
      <c r="L510" s="36" t="s">
        <v>3704</v>
      </c>
      <c r="M510" s="37" t="s">
        <v>3705</v>
      </c>
      <c r="N510" s="37" t="s">
        <v>3706</v>
      </c>
      <c r="O510" s="37" t="s">
        <v>3707</v>
      </c>
      <c r="P510" s="38" t="s">
        <v>3708</v>
      </c>
      <c r="AC510" s="10" t="str">
        <f>IFERROR(__xludf.DUMMYFUNCTION("GOOGLETRANSLATE(K510,""my"", ""en"")"),"Thein ေဇာ")</f>
        <v>Thein ေဇာ</v>
      </c>
      <c r="AD510" s="10" t="str">
        <f>IFERROR(__xludf.DUMMYFUNCTION("GOOGLETRANSLATE(L510,""my"", ""en"")"),"Local ေထာင် soap-stone strong ေရး  under development  Phil  ေရး Party")</f>
        <v>Local ေထာင် soap-stone strong ေရး  under development  Phil  ေရး Party</v>
      </c>
      <c r="AE510" s="10" t="str">
        <f>IFERROR(__xludf.DUMMYFUNCTION("GOOGLETRANSLATE(M510,""my"", ""en"")"),"37371")</f>
        <v>37371</v>
      </c>
      <c r="AF510" s="10" t="str">
        <f>IFERROR(__xludf.DUMMYFUNCTION("GOOGLETRANSLATE(N510,""my"", ""en"")"),"14904")</f>
        <v>14904</v>
      </c>
      <c r="AG510" s="10" t="str">
        <f>IFERROR(__xludf.DUMMYFUNCTION("GOOGLETRANSLATE(O510,""my"", ""en"")"),"52275")</f>
        <v>52275</v>
      </c>
      <c r="AH510" s="10" t="str">
        <f>IFERROR(__xludf.DUMMYFUNCTION("GOOGLETRANSLATE(P510,""my"", ""en"")"),"27.53%")</f>
        <v>27.53%</v>
      </c>
    </row>
    <row r="511" ht="24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6" t="s">
        <v>3709</v>
      </c>
      <c r="L511" s="36" t="s">
        <v>3710</v>
      </c>
      <c r="M511" s="37" t="s">
        <v>3711</v>
      </c>
      <c r="N511" s="37" t="s">
        <v>3712</v>
      </c>
      <c r="O511" s="37" t="s">
        <v>3713</v>
      </c>
      <c r="P511" s="38" t="s">
        <v>3714</v>
      </c>
      <c r="AC511" s="10" t="str">
        <f>IFERROR(__xludf.DUMMYFUNCTION("GOOGLETRANSLATE(K511,""my"", ""en"")"),"U Win Shein")</f>
        <v>U Win Shein</v>
      </c>
      <c r="AD511" s="10" t="str">
        <f>IFERROR(__xludf.DUMMYFUNCTION("GOOGLETRANSLATE(L511,""my"", ""en"")"),"Local ေထာင် စုေ white  Game ေဆာင် Party")</f>
        <v>Local ေထာင် စုေ white  Game ေဆာင် Party</v>
      </c>
      <c r="AE511" s="10" t="str">
        <f>IFERROR(__xludf.DUMMYFUNCTION("GOOGLETRANSLATE(M511,""my"", ""en"")"),"4021")</f>
        <v>4021</v>
      </c>
      <c r="AF511" s="10" t="str">
        <f>IFERROR(__xludf.DUMMYFUNCTION("GOOGLETRANSLATE(N511,""my"", ""en"")"),"1604")</f>
        <v>1604</v>
      </c>
      <c r="AG511" s="10" t="str">
        <f>IFERROR(__xludf.DUMMYFUNCTION("GOOGLETRANSLATE(O511,""my"", ""en"")"),"5625")</f>
        <v>5625</v>
      </c>
      <c r="AH511" s="10" t="str">
        <f>IFERROR(__xludf.DUMMYFUNCTION("GOOGLETRANSLATE(P511,""my"", ""en"")"),"2.96%")</f>
        <v>2.96%</v>
      </c>
    </row>
    <row r="512" ht="24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6" t="s">
        <v>3715</v>
      </c>
      <c r="L512" s="36" t="s">
        <v>3716</v>
      </c>
      <c r="M512" s="37" t="s">
        <v>3717</v>
      </c>
      <c r="N512" s="37" t="s">
        <v>3718</v>
      </c>
      <c r="O512" s="37" t="s">
        <v>3719</v>
      </c>
      <c r="P512" s="38" t="s">
        <v>3720</v>
      </c>
      <c r="AC512" s="10" t="str">
        <f>IFERROR(__xludf.DUMMYFUNCTION("GOOGLETRANSLATE(K512,""my"", ""en"")"),"ေဇာ  Cashier")</f>
        <v>ေဇာ  Cashier</v>
      </c>
      <c r="AD512" s="10" t="str">
        <f>IFERROR(__xludf.DUMMYFUNCTION("GOOGLETRANSLATE(L512,""my"", ""en"")"),"ပည်သူ Labor Party")</f>
        <v>ပည်သူ Labor Party</v>
      </c>
      <c r="AE512" s="10" t="str">
        <f>IFERROR(__xludf.DUMMYFUNCTION("GOOGLETRANSLATE(M512,""my"", ""en"")"),"734")</f>
        <v>734</v>
      </c>
      <c r="AF512" s="10" t="str">
        <f>IFERROR(__xludf.DUMMYFUNCTION("GOOGLETRANSLATE(N512,""my"", ""en"")"),"321")</f>
        <v>321</v>
      </c>
      <c r="AG512" s="10" t="str">
        <f>IFERROR(__xludf.DUMMYFUNCTION("GOOGLETRANSLATE(O512,""my"", ""en"")"),"1055")</f>
        <v>1055</v>
      </c>
      <c r="AH512" s="10" t="str">
        <f>IFERROR(__xludf.DUMMYFUNCTION("GOOGLETRANSLATE(P512,""my"", ""en"")"),"0.56%")</f>
        <v>0.56%</v>
      </c>
    </row>
    <row r="513" ht="22.5" customHeight="1">
      <c r="A513" s="14"/>
      <c r="B513" s="15" t="s">
        <v>3721</v>
      </c>
      <c r="C513" s="16" t="s">
        <v>3722</v>
      </c>
      <c r="D513" s="16" t="s">
        <v>3723</v>
      </c>
      <c r="E513" s="16" t="s">
        <v>3724</v>
      </c>
      <c r="F513" s="16" t="s">
        <v>3725</v>
      </c>
      <c r="G513" s="16" t="s">
        <v>3726</v>
      </c>
      <c r="H513" s="16" t="s">
        <v>3727</v>
      </c>
      <c r="I513" s="16" t="s">
        <v>3728</v>
      </c>
      <c r="J513" s="16" t="s">
        <v>3729</v>
      </c>
      <c r="K513" s="14"/>
      <c r="L513" s="14"/>
      <c r="M513" s="16" t="s">
        <v>3730</v>
      </c>
      <c r="N513" s="16" t="s">
        <v>3731</v>
      </c>
      <c r="O513" s="16" t="s">
        <v>3732</v>
      </c>
      <c r="P513" s="14"/>
      <c r="T513" s="10" t="str">
        <f>IFERROR(__xludf.DUMMYFUNCTION("GOOGLETRANSLATE(B513,""my"", ""en"")"),"ကွး ေဒ  Key")</f>
        <v>ကွး ေဒ  Key</v>
      </c>
      <c r="U513" s="10" t="str">
        <f>IFERROR(__xludf.DUMMYFUNCTION("GOOGLETRANSLATE(C513,""my"", ""en"")"),"3310132")</f>
        <v>3310132</v>
      </c>
      <c r="V513" s="10" t="str">
        <f>IFERROR(__xludf.DUMMYFUNCTION("GOOGLETRANSLATE(D513,""my"", ""en"")"),"2049310")</f>
        <v>2049310</v>
      </c>
      <c r="W513" s="10" t="str">
        <f>IFERROR(__xludf.DUMMYFUNCTION("GOOGLETRANSLATE(E513,""my"", ""en"")"),"527247")</f>
        <v>527247</v>
      </c>
      <c r="X513" s="10" t="str">
        <f>IFERROR(__xludf.DUMMYFUNCTION("GOOGLETRANSLATE(F513,""my"", ""en"")"),"2576557")</f>
        <v>2576557</v>
      </c>
      <c r="Y513" s="10" t="str">
        <f>IFERROR(__xludf.DUMMYFUNCTION("GOOGLETRANSLATE(G513,""my"", ""en"")"),"77.84")</f>
        <v>77.84</v>
      </c>
      <c r="Z513" s="10" t="str">
        <f>IFERROR(__xludf.DUMMYFUNCTION("GOOGLETRANSLATE(H513,""my"", ""en"")"),"50168")</f>
        <v>50168</v>
      </c>
      <c r="AA513" s="10" t="str">
        <f>IFERROR(__xludf.DUMMYFUNCTION("GOOGLETRANSLATE(I513,""my"", ""en"")"),"3336")</f>
        <v>3336</v>
      </c>
      <c r="AB513" s="10" t="str">
        <f>IFERROR(__xludf.DUMMYFUNCTION("GOOGLETRANSLATE(J513,""my"", ""en"")"),"53504")</f>
        <v>53504</v>
      </c>
      <c r="AE513" s="10" t="str">
        <f>IFERROR(__xludf.DUMMYFUNCTION("GOOGLETRANSLATE(M513,""my"", ""en"")"),"2006722")</f>
        <v>2006722</v>
      </c>
      <c r="AF513" s="10" t="str">
        <f>IFERROR(__xludf.DUMMYFUNCTION("GOOGLETRANSLATE(N513,""my"", ""en"")"),"516331")</f>
        <v>516331</v>
      </c>
      <c r="AG513" s="10" t="str">
        <f>IFERROR(__xludf.DUMMYFUNCTION("GOOGLETRANSLATE(O513,""my"", ""en"")"),"2523053")</f>
        <v>2523053</v>
      </c>
    </row>
    <row r="514" ht="21.0" customHeight="1">
      <c r="A514" s="17" t="s">
        <v>3733</v>
      </c>
      <c r="B514" s="17" t="s">
        <v>3734</v>
      </c>
      <c r="C514" s="18" t="s">
        <v>3735</v>
      </c>
      <c r="D514" s="18" t="s">
        <v>3736</v>
      </c>
      <c r="E514" s="18" t="s">
        <v>3737</v>
      </c>
      <c r="F514" s="18" t="s">
        <v>3738</v>
      </c>
      <c r="G514" s="18" t="s">
        <v>3739</v>
      </c>
      <c r="H514" s="18" t="s">
        <v>3740</v>
      </c>
      <c r="I514" s="18" t="s">
        <v>3741</v>
      </c>
      <c r="J514" s="18" t="s">
        <v>3742</v>
      </c>
      <c r="K514" s="27"/>
      <c r="L514" s="27"/>
      <c r="M514" s="18" t="s">
        <v>3743</v>
      </c>
      <c r="N514" s="18" t="s">
        <v>3744</v>
      </c>
      <c r="O514" s="18" t="s">
        <v>3745</v>
      </c>
      <c r="P514" s="27"/>
      <c r="S514" s="10" t="str">
        <f>IFERROR(__xludf.DUMMYFUNCTION("GOOGLETRANSLATE(A514,""my"", ""en"")"),"85")</f>
        <v>85</v>
      </c>
      <c r="T514" s="10" t="str">
        <f>IFERROR(__xludf.DUMMYFUNCTION("GOOGLETRANSLATE(B514,""my"", ""en"")"),"မဲဆ  No. (1)")</f>
        <v>မဲဆ  No. (1)</v>
      </c>
      <c r="U514" s="10" t="str">
        <f>IFERROR(__xludf.DUMMYFUNCTION("GOOGLETRANSLATE(C514,""my"", ""en"")"),"207740")</f>
        <v>207740</v>
      </c>
      <c r="V514" s="10" t="str">
        <f>IFERROR(__xludf.DUMMYFUNCTION("GOOGLETRANSLATE(D514,""my"", ""en"")"),"134284")</f>
        <v>134284</v>
      </c>
      <c r="W514" s="10" t="str">
        <f>IFERROR(__xludf.DUMMYFUNCTION("GOOGLETRANSLATE(E514,""my"", ""en"")"),"41344")</f>
        <v>41344</v>
      </c>
      <c r="X514" s="10" t="str">
        <f>IFERROR(__xludf.DUMMYFUNCTION("GOOGLETRANSLATE(F514,""my"", ""en"")"),"175628")</f>
        <v>175628</v>
      </c>
      <c r="Y514" s="10" t="str">
        <f>IFERROR(__xludf.DUMMYFUNCTION("GOOGLETRANSLATE(G514,""my"", ""en"")"),"84.54")</f>
        <v>84.54</v>
      </c>
      <c r="Z514" s="10" t="str">
        <f>IFERROR(__xludf.DUMMYFUNCTION("GOOGLETRANSLATE(H514,""my"", ""en"")"),"3127")</f>
        <v>3127</v>
      </c>
      <c r="AA514" s="10" t="str">
        <f>IFERROR(__xludf.DUMMYFUNCTION("GOOGLETRANSLATE(I514,""my"", ""en"")"),"157")</f>
        <v>157</v>
      </c>
      <c r="AB514" s="10" t="str">
        <f>IFERROR(__xludf.DUMMYFUNCTION("GOOGLETRANSLATE(J514,""my"", ""en"")"),"3284")</f>
        <v>3284</v>
      </c>
      <c r="AE514" s="10" t="str">
        <f>IFERROR(__xludf.DUMMYFUNCTION("GOOGLETRANSLATE(M514,""my"", ""en"")"),"131456")</f>
        <v>131456</v>
      </c>
      <c r="AF514" s="10" t="str">
        <f>IFERROR(__xludf.DUMMYFUNCTION("GOOGLETRANSLATE(N514,""my"", ""en"")"),"40888")</f>
        <v>40888</v>
      </c>
      <c r="AG514" s="10" t="str">
        <f>IFERROR(__xludf.DUMMYFUNCTION("GOOGLETRANSLATE(O514,""my"", ""en"")"),"172344")</f>
        <v>172344</v>
      </c>
    </row>
    <row r="515" ht="22.5" customHeigh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3" t="s">
        <v>3746</v>
      </c>
      <c r="L515" s="23" t="s">
        <v>3747</v>
      </c>
      <c r="M515" s="24" t="s">
        <v>3748</v>
      </c>
      <c r="N515" s="24" t="s">
        <v>3749</v>
      </c>
      <c r="O515" s="24" t="s">
        <v>3750</v>
      </c>
      <c r="P515" s="25" t="s">
        <v>3751</v>
      </c>
      <c r="AC515" s="10" t="str">
        <f>IFERROR(__xludf.DUMMYFUNCTION("GOOGLETRANSLATE(K515,""my"", ""en"")")," Lwin")</f>
        <v> Lwin</v>
      </c>
      <c r="AD515" s="10" t="str">
        <f>IFERROR(__xludf.DUMMYFUNCTION("GOOGLETRANSLATE(L515,""my"", ""en"")")," Game Democracy group   Pop Party")</f>
        <v> Game Democracy group   Pop Party</v>
      </c>
      <c r="AE515" s="10" t="str">
        <f>IFERROR(__xludf.DUMMYFUNCTION("GOOGLETRANSLATE(M515,""my"", ""en"")"),"100955")</f>
        <v>100955</v>
      </c>
      <c r="AF515" s="10" t="str">
        <f>IFERROR(__xludf.DUMMYFUNCTION("GOOGLETRANSLATE(N515,""my"", ""en"")"),"30780")</f>
        <v>30780</v>
      </c>
      <c r="AG515" s="10" t="str">
        <f>IFERROR(__xludf.DUMMYFUNCTION("GOOGLETRANSLATE(O515,""my"", ""en"")"),"131735")</f>
        <v>131735</v>
      </c>
      <c r="AH515" s="10" t="str">
        <f>IFERROR(__xludf.DUMMYFUNCTION("GOOGLETRANSLATE(P515,""my"", ""en"")"),"76.44%")</f>
        <v>76.44%</v>
      </c>
    </row>
    <row r="516" ht="24.0" customHeigh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3" t="s">
        <v>3752</v>
      </c>
      <c r="L516" s="23" t="s">
        <v>3753</v>
      </c>
      <c r="M516" s="24" t="s">
        <v>3754</v>
      </c>
      <c r="N516" s="24" t="s">
        <v>3755</v>
      </c>
      <c r="O516" s="24" t="s">
        <v>3756</v>
      </c>
      <c r="P516" s="25" t="s">
        <v>3757</v>
      </c>
      <c r="AC516" s="10" t="str">
        <f>IFERROR(__xludf.DUMMYFUNCTION("GOOGLETRANSLATE(K516,""my"", ""en"")"),"Khin ေမာင်  Game")</f>
        <v>Khin ေမာင်  Game</v>
      </c>
      <c r="AD516" s="10" t="str">
        <f>IFERROR(__xludf.DUMMYFUNCTION("GOOGLETRANSLATE(L516,""my"", ""en"")"),"Local ေထာင် soap-stone strong ေရး  under development  Phil  ေရး Party")</f>
        <v>Local ေထာင် soap-stone strong ေရး  under development  Phil  ေရး Party</v>
      </c>
      <c r="AE516" s="10" t="str">
        <f>IFERROR(__xludf.DUMMYFUNCTION("GOOGLETRANSLATE(M516,""my"", ""en"")"),"26942")</f>
        <v>26942</v>
      </c>
      <c r="AF516" s="10" t="str">
        <f>IFERROR(__xludf.DUMMYFUNCTION("GOOGLETRANSLATE(N516,""my"", ""en"")"),"8327")</f>
        <v>8327</v>
      </c>
      <c r="AG516" s="10" t="str">
        <f>IFERROR(__xludf.DUMMYFUNCTION("GOOGLETRANSLATE(O516,""my"", ""en"")"),"35269")</f>
        <v>35269</v>
      </c>
      <c r="AH516" s="10" t="str">
        <f>IFERROR(__xludf.DUMMYFUNCTION("GOOGLETRANSLATE(P516,""my"", ""en"")"),"20.46%")</f>
        <v>20.46%</v>
      </c>
    </row>
    <row r="517" ht="22.5" customHeigh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3" t="s">
        <v>3758</v>
      </c>
      <c r="L517" s="23" t="s">
        <v>3759</v>
      </c>
      <c r="M517" s="24" t="s">
        <v>3760</v>
      </c>
      <c r="N517" s="24" t="s">
        <v>3761</v>
      </c>
      <c r="O517" s="24" t="s">
        <v>3762</v>
      </c>
      <c r="P517" s="25" t="s">
        <v>3763</v>
      </c>
      <c r="AC517" s="10" t="str">
        <f>IFERROR(__xludf.DUMMYFUNCTION("GOOGLETRANSLATE(K517,""my"", ""en"")"),"ေအာင် cost (b)")</f>
        <v>ေအာင် cost (b)</v>
      </c>
      <c r="AD517" s="10" t="str">
        <f>IFERROR(__xludf.DUMMYFUNCTION("GOOGLETRANSLATE(L517,""my"", ""en"")"),"Local ေထာင် စုေ white  Game ေဆာင် Party")</f>
        <v>Local ေထာင် စုေ white  Game ေဆာင် Party</v>
      </c>
      <c r="AE517" s="10" t="str">
        <f>IFERROR(__xludf.DUMMYFUNCTION("GOOGLETRANSLATE(M517,""my"", ""en"")"),"2398")</f>
        <v>2398</v>
      </c>
      <c r="AF517" s="10" t="str">
        <f>IFERROR(__xludf.DUMMYFUNCTION("GOOGLETRANSLATE(N517,""my"", ""en"")"),"1315")</f>
        <v>1315</v>
      </c>
      <c r="AG517" s="10" t="str">
        <f>IFERROR(__xludf.DUMMYFUNCTION("GOOGLETRANSLATE(O517,""my"", ""en"")"),"3713")</f>
        <v>3713</v>
      </c>
      <c r="AH517" s="10" t="str">
        <f>IFERROR(__xludf.DUMMYFUNCTION("GOOGLETRANSLATE(P517,""my"", ""en"")"),"2.16%")</f>
        <v>2.16%</v>
      </c>
    </row>
    <row r="518" ht="22.5" customHeigh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3" t="s">
        <v>3764</v>
      </c>
      <c r="L518" s="23" t="s">
        <v>3765</v>
      </c>
      <c r="M518" s="24" t="s">
        <v>3766</v>
      </c>
      <c r="N518" s="24" t="s">
        <v>3767</v>
      </c>
      <c r="O518" s="24" t="s">
        <v>3768</v>
      </c>
      <c r="P518" s="25" t="s">
        <v>3769</v>
      </c>
      <c r="AC518" s="10" t="str">
        <f>IFERROR(__xludf.DUMMYFUNCTION("GOOGLETRANSLATE(K518,""my"", ""en"")"),"Ling Thang")</f>
        <v>Ling Thang</v>
      </c>
      <c r="AD518" s="10" t="str">
        <f>IFERROR(__xludf.DUMMYFUNCTION("GOOGLETRANSLATE(L518,""my"", ""en"")")," Game Democracy group   Pop Party")</f>
        <v> Game Democracy group   Pop Party</v>
      </c>
      <c r="AE518" s="10" t="str">
        <f>IFERROR(__xludf.DUMMYFUNCTION("GOOGLETRANSLATE(M518,""my"", ""en"")"),"1161")</f>
        <v>1161</v>
      </c>
      <c r="AF518" s="10" t="str">
        <f>IFERROR(__xludf.DUMMYFUNCTION("GOOGLETRANSLATE(N518,""my"", ""en"")"),"466")</f>
        <v>466</v>
      </c>
      <c r="AG518" s="10" t="str">
        <f>IFERROR(__xludf.DUMMYFUNCTION("GOOGLETRANSLATE(O518,""my"", ""en"")"),"1627")</f>
        <v>1627</v>
      </c>
      <c r="AH518" s="10" t="str">
        <f>IFERROR(__xludf.DUMMYFUNCTION("GOOGLETRANSLATE(P518,""my"", ""en"")"),"0.94%")</f>
        <v>0.94%</v>
      </c>
    </row>
    <row r="519" ht="21.75" customHeight="1">
      <c r="A519" s="17" t="s">
        <v>3770</v>
      </c>
      <c r="B519" s="17" t="s">
        <v>3771</v>
      </c>
      <c r="C519" s="18" t="s">
        <v>3772</v>
      </c>
      <c r="D519" s="18" t="s">
        <v>3773</v>
      </c>
      <c r="E519" s="18" t="s">
        <v>3774</v>
      </c>
      <c r="F519" s="18" t="s">
        <v>3775</v>
      </c>
      <c r="G519" s="18" t="s">
        <v>3776</v>
      </c>
      <c r="H519" s="18" t="s">
        <v>3777</v>
      </c>
      <c r="I519" s="18" t="s">
        <v>3778</v>
      </c>
      <c r="J519" s="18" t="s">
        <v>3779</v>
      </c>
      <c r="K519" s="27"/>
      <c r="L519" s="27"/>
      <c r="M519" s="18" t="s">
        <v>3780</v>
      </c>
      <c r="N519" s="18" t="s">
        <v>3781</v>
      </c>
      <c r="O519" s="18" t="s">
        <v>3782</v>
      </c>
      <c r="P519" s="27"/>
      <c r="S519" s="10" t="str">
        <f>IFERROR(__xludf.DUMMYFUNCTION("GOOGLETRANSLATE(A519,""my"", ""en"")"),"86")</f>
        <v>86</v>
      </c>
      <c r="T519" s="10" t="str">
        <f>IFERROR(__xludf.DUMMYFUNCTION("GOOGLETRANSLATE(B519,""my"", ""en"")"),"မဲဆ  No. (2)")</f>
        <v>မဲဆ  No. (2)</v>
      </c>
      <c r="U519" s="10" t="str">
        <f>IFERROR(__xludf.DUMMYFUNCTION("GOOGLETRANSLATE(C519,""my"", ""en"")"),"333077")</f>
        <v>333077</v>
      </c>
      <c r="V519" s="10" t="str">
        <f>IFERROR(__xludf.DUMMYFUNCTION("GOOGLETRANSLATE(D519,""my"", ""en"")"),"210465")</f>
        <v>210465</v>
      </c>
      <c r="W519" s="10" t="str">
        <f>IFERROR(__xludf.DUMMYFUNCTION("GOOGLETRANSLATE(E519,""my"", ""en"")"),"51012")</f>
        <v>51012</v>
      </c>
      <c r="X519" s="10" t="str">
        <f>IFERROR(__xludf.DUMMYFUNCTION("GOOGLETRANSLATE(F519,""my"", ""en"")"),"261477")</f>
        <v>261477</v>
      </c>
      <c r="Y519" s="10" t="str">
        <f>IFERROR(__xludf.DUMMYFUNCTION("GOOGLETRANSLATE(G519,""my"", ""en"")"),"78.50")</f>
        <v>78.50</v>
      </c>
      <c r="Z519" s="10" t="str">
        <f>IFERROR(__xludf.DUMMYFUNCTION("GOOGLETRANSLATE(H519,""my"", ""en"")"),"4204")</f>
        <v>4204</v>
      </c>
      <c r="AA519" s="10" t="str">
        <f>IFERROR(__xludf.DUMMYFUNCTION("GOOGLETRANSLATE(I519,""my"", ""en"")"),"505")</f>
        <v>505</v>
      </c>
      <c r="AB519" s="10" t="str">
        <f>IFERROR(__xludf.DUMMYFUNCTION("GOOGLETRANSLATE(J519,""my"", ""en"")"),"4709")</f>
        <v>4709</v>
      </c>
      <c r="AE519" s="10" t="str">
        <f>IFERROR(__xludf.DUMMYFUNCTION("GOOGLETRANSLATE(M519,""my"", ""en"")"),"206737")</f>
        <v>206737</v>
      </c>
      <c r="AF519" s="10" t="str">
        <f>IFERROR(__xludf.DUMMYFUNCTION("GOOGLETRANSLATE(N519,""my"", ""en"")"),"50031")</f>
        <v>50031</v>
      </c>
      <c r="AG519" s="10" t="str">
        <f>IFERROR(__xludf.DUMMYFUNCTION("GOOGLETRANSLATE(O519,""my"", ""en"")"),"256768")</f>
        <v>256768</v>
      </c>
    </row>
    <row r="520" ht="21.0" customHeigh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3" t="s">
        <v>3783</v>
      </c>
      <c r="L520" s="23" t="s">
        <v>3784</v>
      </c>
      <c r="M520" s="24" t="s">
        <v>3785</v>
      </c>
      <c r="N520" s="24" t="s">
        <v>3786</v>
      </c>
      <c r="O520" s="24" t="s">
        <v>3787</v>
      </c>
      <c r="P520" s="25" t="s">
        <v>3788</v>
      </c>
      <c r="AC520" s="10" t="str">
        <f>IFERROR(__xludf.DUMMYFUNCTION("GOOGLETRANSLATE(K520,""my"", ""en"")"),"U San Lwin")</f>
        <v>U San Lwin</v>
      </c>
      <c r="AD520" s="10" t="str">
        <f>IFERROR(__xludf.DUMMYFUNCTION("GOOGLETRANSLATE(L520,""my"", ""en"")")," Game Democracy group   Pop Party")</f>
        <v> Game Democracy group   Pop Party</v>
      </c>
      <c r="AE520" s="10" t="str">
        <f>IFERROR(__xludf.DUMMYFUNCTION("GOOGLETRANSLATE(M520,""my"", ""en"")"),"171560")</f>
        <v>171560</v>
      </c>
      <c r="AF520" s="10" t="str">
        <f>IFERROR(__xludf.DUMMYFUNCTION("GOOGLETRANSLATE(N520,""my"", ""en"")"),"40453")</f>
        <v>40453</v>
      </c>
      <c r="AG520" s="10" t="str">
        <f>IFERROR(__xludf.DUMMYFUNCTION("GOOGLETRANSLATE(O520,""my"", ""en"")"),"212013")</f>
        <v>212013</v>
      </c>
      <c r="AH520" s="10" t="str">
        <f>IFERROR(__xludf.DUMMYFUNCTION("GOOGLETRANSLATE(P520,""my"", ""en"")"),"82.57%")</f>
        <v>82.57%</v>
      </c>
    </row>
    <row r="521" ht="21.75" customHeigh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3" t="s">
        <v>3789</v>
      </c>
      <c r="L521" s="23" t="s">
        <v>3790</v>
      </c>
      <c r="M521" s="24" t="s">
        <v>3791</v>
      </c>
      <c r="N521" s="24" t="s">
        <v>3792</v>
      </c>
      <c r="O521" s="24" t="s">
        <v>3793</v>
      </c>
      <c r="P521" s="25" t="s">
        <v>3794</v>
      </c>
      <c r="AC521" s="10" t="str">
        <f>IFERROR(__xludf.DUMMYFUNCTION("GOOGLETRANSLATE(K521,""my"", ""en"")"),"Thein Tun")</f>
        <v>Thein Tun</v>
      </c>
      <c r="AD521" s="10" t="str">
        <f>IFERROR(__xludf.DUMMYFUNCTION("GOOGLETRANSLATE(L521,""my"", ""en"")"),"Local ေထာင် soap-stone strong ေရး  under development  Phil  ေရး Party")</f>
        <v>Local ေထာင် soap-stone strong ေရး  under development  Phil  ေရး Party</v>
      </c>
      <c r="AE521" s="10" t="str">
        <f>IFERROR(__xludf.DUMMYFUNCTION("GOOGLETRANSLATE(M521,""my"", ""en"")"),"32312")</f>
        <v>32312</v>
      </c>
      <c r="AF521" s="10" t="str">
        <f>IFERROR(__xludf.DUMMYFUNCTION("GOOGLETRANSLATE(N521,""my"", ""en"")"),"8455")</f>
        <v>8455</v>
      </c>
      <c r="AG521" s="10" t="str">
        <f>IFERROR(__xludf.DUMMYFUNCTION("GOOGLETRANSLATE(O521,""my"", ""en"")"),"40767")</f>
        <v>40767</v>
      </c>
      <c r="AH521" s="10" t="str">
        <f>IFERROR(__xludf.DUMMYFUNCTION("GOOGLETRANSLATE(P521,""my"", ""en"")"),"15.88%")</f>
        <v>15.88%</v>
      </c>
    </row>
    <row r="522" ht="22.5" customHeigh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3" t="s">
        <v>3795</v>
      </c>
      <c r="L522" s="23" t="s">
        <v>3796</v>
      </c>
      <c r="M522" s="24" t="s">
        <v>3797</v>
      </c>
      <c r="N522" s="24" t="s">
        <v>3798</v>
      </c>
      <c r="O522" s="24" t="s">
        <v>3799</v>
      </c>
      <c r="P522" s="25" t="s">
        <v>3800</v>
      </c>
      <c r="AC522" s="10" t="str">
        <f>IFERROR(__xludf.DUMMYFUNCTION("GOOGLETRANSLATE(K522,""my"", ""en"")"),"Local  ငိမ်း")</f>
        <v>Local  ငိမ်း</v>
      </c>
      <c r="AD522" s="10" t="str">
        <f>IFERROR(__xludf.DUMMYFUNCTION("GOOGLETRANSLATE(L522,""my"", ""en"")"),"Local ေထာင် စုေ white  Game ေဆာင် Party")</f>
        <v>Local ေထာင် စုေ white  Game ေဆာင် Party</v>
      </c>
      <c r="AE522" s="10" t="str">
        <f>IFERROR(__xludf.DUMMYFUNCTION("GOOGLETRANSLATE(M522,""my"", ""en"")"),"1328")</f>
        <v>1328</v>
      </c>
      <c r="AF522" s="10" t="str">
        <f>IFERROR(__xludf.DUMMYFUNCTION("GOOGLETRANSLATE(N522,""my"", ""en"")"),"524")</f>
        <v>524</v>
      </c>
      <c r="AG522" s="10" t="str">
        <f>IFERROR(__xludf.DUMMYFUNCTION("GOOGLETRANSLATE(O522,""my"", ""en"")"),"1852")</f>
        <v>1852</v>
      </c>
      <c r="AH522" s="10" t="str">
        <f>IFERROR(__xludf.DUMMYFUNCTION("GOOGLETRANSLATE(P522,""my"", ""en"")"),"0.72%")</f>
        <v>0.72%</v>
      </c>
    </row>
    <row r="523" ht="21.75" customHeigh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3" t="s">
        <v>3801</v>
      </c>
      <c r="L523" s="23" t="s">
        <v>3802</v>
      </c>
      <c r="M523" s="24" t="s">
        <v>3803</v>
      </c>
      <c r="N523" s="24" t="s">
        <v>3804</v>
      </c>
      <c r="O523" s="24" t="s">
        <v>3805</v>
      </c>
      <c r="P523" s="25" t="s">
        <v>3806</v>
      </c>
      <c r="AC523" s="10" t="str">
        <f>IFERROR(__xludf.DUMMYFUNCTION("GOOGLETRANSLATE(K523,""my"", ""en"")"),"U Thet Khine")</f>
        <v>U Thet Khine</v>
      </c>
      <c r="AD523" s="10" t="str">
        <f>IFERROR(__xludf.DUMMYFUNCTION("GOOGLETRANSLATE(L523,""my"", ""en"")"),"ပည်သူ ေရှ  ေဆာင် Party")</f>
        <v>ပည်သူ ေရှ  ေဆာင် Party</v>
      </c>
      <c r="AE523" s="10" t="str">
        <f>IFERROR(__xludf.DUMMYFUNCTION("GOOGLETRANSLATE(M523,""my"", ""en"")"),"898")</f>
        <v>898</v>
      </c>
      <c r="AF523" s="10" t="str">
        <f>IFERROR(__xludf.DUMMYFUNCTION("GOOGLETRANSLATE(N523,""my"", ""en"")"),"289")</f>
        <v>289</v>
      </c>
      <c r="AG523" s="10" t="str">
        <f>IFERROR(__xludf.DUMMYFUNCTION("GOOGLETRANSLATE(O523,""my"", ""en"")"),"1187")</f>
        <v>1187</v>
      </c>
      <c r="AH523" s="10" t="str">
        <f>IFERROR(__xludf.DUMMYFUNCTION("GOOGLETRANSLATE(P523,""my"", ""en"")"),"0.46%")</f>
        <v>0.46%</v>
      </c>
    </row>
    <row r="524" ht="22.5" customHeigh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3" t="s">
        <v>3807</v>
      </c>
      <c r="L524" s="23" t="s">
        <v>3808</v>
      </c>
      <c r="M524" s="24" t="s">
        <v>3809</v>
      </c>
      <c r="N524" s="24" t="s">
        <v>3810</v>
      </c>
      <c r="O524" s="24" t="s">
        <v>3811</v>
      </c>
      <c r="P524" s="25" t="s">
        <v>3812</v>
      </c>
      <c r="AC524" s="10" t="str">
        <f>IFERROR(__xludf.DUMMYFUNCTION("GOOGLETRANSLATE(K524,""my"", ""en"")")," treated Win")</f>
        <v> treated Win</v>
      </c>
      <c r="AD524" s="10" t="str">
        <f>IFERROR(__xludf.DUMMYFUNCTION("GOOGLETRANSLATE(L524,""my"", ""en"")")," Game  Democratic Party political-Fi")</f>
        <v> Game  Democratic Party political-Fi</v>
      </c>
      <c r="AE524" s="10" t="str">
        <f>IFERROR(__xludf.DUMMYFUNCTION("GOOGLETRANSLATE(M524,""my"", ""en"")"),"639")</f>
        <v>639</v>
      </c>
      <c r="AF524" s="10" t="str">
        <f>IFERROR(__xludf.DUMMYFUNCTION("GOOGLETRANSLATE(N524,""my"", ""en"")"),"310")</f>
        <v>310</v>
      </c>
      <c r="AG524" s="10" t="str">
        <f>IFERROR(__xludf.DUMMYFUNCTION("GOOGLETRANSLATE(O524,""my"", ""en"")"),"949")</f>
        <v>949</v>
      </c>
      <c r="AH524" s="10" t="str">
        <f>IFERROR(__xludf.DUMMYFUNCTION("GOOGLETRANSLATE(P524,""my"", ""en"")"),"0.37%")</f>
        <v>0.37%</v>
      </c>
    </row>
    <row r="525" ht="19.5" customHeight="1">
      <c r="A525" s="17" t="s">
        <v>3813</v>
      </c>
      <c r="B525" s="17" t="s">
        <v>3814</v>
      </c>
      <c r="C525" s="18" t="s">
        <v>3815</v>
      </c>
      <c r="D525" s="18" t="s">
        <v>3816</v>
      </c>
      <c r="E525" s="18" t="s">
        <v>3817</v>
      </c>
      <c r="F525" s="18" t="s">
        <v>3818</v>
      </c>
      <c r="G525" s="18" t="s">
        <v>3819</v>
      </c>
      <c r="H525" s="18" t="s">
        <v>3820</v>
      </c>
      <c r="I525" s="18" t="s">
        <v>3821</v>
      </c>
      <c r="J525" s="18" t="s">
        <v>3822</v>
      </c>
      <c r="K525" s="27"/>
      <c r="L525" s="27"/>
      <c r="M525" s="46" t="s">
        <v>3823</v>
      </c>
      <c r="N525" s="46" t="s">
        <v>3824</v>
      </c>
      <c r="O525" s="46" t="s">
        <v>3825</v>
      </c>
      <c r="P525" s="27"/>
      <c r="S525" s="10" t="str">
        <f>IFERROR(__xludf.DUMMYFUNCTION("GOOGLETRANSLATE(A525,""my"", ""en"")"),"87")</f>
        <v>87</v>
      </c>
      <c r="T525" s="10" t="str">
        <f>IFERROR(__xludf.DUMMYFUNCTION("GOOGLETRANSLATE(B525,""my"", ""en"")"),"မဲဆ  No. (3)")</f>
        <v>မဲဆ  No. (3)</v>
      </c>
      <c r="U525" s="10" t="str">
        <f>IFERROR(__xludf.DUMMYFUNCTION("GOOGLETRANSLATE(C525,""my"", ""en"")"),"360115")</f>
        <v>360115</v>
      </c>
      <c r="V525" s="10" t="str">
        <f>IFERROR(__xludf.DUMMYFUNCTION("GOOGLETRANSLATE(D525,""my"", ""en"")"),"230593")</f>
        <v>230593</v>
      </c>
      <c r="W525" s="10" t="str">
        <f>IFERROR(__xludf.DUMMYFUNCTION("GOOGLETRANSLATE(E525,""my"", ""en"")"),"46953")</f>
        <v>46953</v>
      </c>
      <c r="X525" s="10" t="str">
        <f>IFERROR(__xludf.DUMMYFUNCTION("GOOGLETRANSLATE(F525,""my"", ""en"")"),"277546")</f>
        <v>277546</v>
      </c>
      <c r="Y525" s="10" t="str">
        <f>IFERROR(__xludf.DUMMYFUNCTION("GOOGLETRANSLATE(G525,""my"", ""en"")"),"77.07")</f>
        <v>77.07</v>
      </c>
      <c r="Z525" s="10" t="str">
        <f>IFERROR(__xludf.DUMMYFUNCTION("GOOGLETRANSLATE(H525,""my"", ""en"")"),"5974")</f>
        <v>5974</v>
      </c>
      <c r="AA525" s="10" t="str">
        <f>IFERROR(__xludf.DUMMYFUNCTION("GOOGLETRANSLATE(I525,""my"", ""en"")"),"601")</f>
        <v>601</v>
      </c>
      <c r="AB525" s="10" t="str">
        <f>IFERROR(__xludf.DUMMYFUNCTION("GOOGLETRANSLATE(J525,""my"", ""en"")"),"6575")</f>
        <v>6575</v>
      </c>
      <c r="AE525" s="10" t="str">
        <f>IFERROR(__xludf.DUMMYFUNCTION("GOOGLETRANSLATE(M525,""my"", ""en"")"),"225432")</f>
        <v>225432</v>
      </c>
      <c r="AF525" s="10" t="str">
        <f>IFERROR(__xludf.DUMMYFUNCTION("GOOGLETRANSLATE(N525,""my"", ""en"")"),"45539")</f>
        <v>45539</v>
      </c>
      <c r="AG525" s="10" t="str">
        <f>IFERROR(__xludf.DUMMYFUNCTION("GOOGLETRANSLATE(O525,""my"", ""en"")"),"270971")</f>
        <v>270971</v>
      </c>
    </row>
    <row r="526" ht="21.75" customHeigh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3" t="s">
        <v>3826</v>
      </c>
      <c r="L526" s="23" t="s">
        <v>3827</v>
      </c>
      <c r="M526" s="24" t="s">
        <v>3828</v>
      </c>
      <c r="N526" s="24" t="s">
        <v>3829</v>
      </c>
      <c r="O526" s="24" t="s">
        <v>3830</v>
      </c>
      <c r="P526" s="25" t="s">
        <v>3831</v>
      </c>
      <c r="AC526" s="10" t="str">
        <f>IFERROR(__xludf.DUMMYFUNCTION("GOOGLETRANSLATE(K526,""my"", ""en"")"),"ေကျာ ေဆွ")</f>
        <v>ေကျာ ေဆွ</v>
      </c>
      <c r="AD526" s="10" t="str">
        <f>IFERROR(__xludf.DUMMYFUNCTION("GOOGLETRANSLATE(L526,""my"", ""en"")")," Game Democracy group   Pop Party")</f>
        <v> Game Democracy group   Pop Party</v>
      </c>
      <c r="AE526" s="10" t="str">
        <f>IFERROR(__xludf.DUMMYFUNCTION("GOOGLETRANSLATE(M526,""my"", ""en"")"),"180323")</f>
        <v>180323</v>
      </c>
      <c r="AF526" s="10" t="str">
        <f>IFERROR(__xludf.DUMMYFUNCTION("GOOGLETRANSLATE(N526,""my"", ""en"")"),"34046")</f>
        <v>34046</v>
      </c>
      <c r="AG526" s="10" t="str">
        <f>IFERROR(__xludf.DUMMYFUNCTION("GOOGLETRANSLATE(O526,""my"", ""en"")"),"214369")</f>
        <v>214369</v>
      </c>
      <c r="AH526" s="10" t="str">
        <f>IFERROR(__xludf.DUMMYFUNCTION("GOOGLETRANSLATE(P526,""my"", ""en"")"),"79.11%")</f>
        <v>79.11%</v>
      </c>
    </row>
    <row r="527" ht="21.75" customHeigh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3" t="s">
        <v>3832</v>
      </c>
      <c r="L527" s="23" t="s">
        <v>3833</v>
      </c>
      <c r="M527" s="24" t="s">
        <v>3834</v>
      </c>
      <c r="N527" s="24" t="s">
        <v>3835</v>
      </c>
      <c r="O527" s="24" t="s">
        <v>3836</v>
      </c>
      <c r="P527" s="25" t="s">
        <v>3837</v>
      </c>
      <c r="AC527" s="10" t="str">
        <f>IFERROR(__xludf.DUMMYFUNCTION("GOOGLETRANSLATE(K527,""my"", ""en"")"),"ေအာင် Soe Win")</f>
        <v>ေအာင် Soe Win</v>
      </c>
      <c r="AD527" s="10" t="str">
        <f>IFERROR(__xludf.DUMMYFUNCTION("GOOGLETRANSLATE(L527,""my"", ""en"")"),"Local ေထာင် soap-stone strong ေရး  under development  Phil  ေရး Party")</f>
        <v>Local ေထာင် soap-stone strong ေရး  under development  Phil  ေရး Party</v>
      </c>
      <c r="AE527" s="10" t="str">
        <f>IFERROR(__xludf.DUMMYFUNCTION("GOOGLETRANSLATE(M527,""my"", ""en"")"),"43097")</f>
        <v>43097</v>
      </c>
      <c r="AF527" s="10" t="str">
        <f>IFERROR(__xludf.DUMMYFUNCTION("GOOGLETRANSLATE(N527,""my"", ""en"")"),"10702")</f>
        <v>10702</v>
      </c>
      <c r="AG527" s="10" t="str">
        <f>IFERROR(__xludf.DUMMYFUNCTION("GOOGLETRANSLATE(O527,""my"", ""en"")"),"53799")</f>
        <v>53799</v>
      </c>
      <c r="AH527" s="10" t="str">
        <f>IFERROR(__xludf.DUMMYFUNCTION("GOOGLETRANSLATE(P527,""my"", ""en"")"),"19.85%")</f>
        <v>19.85%</v>
      </c>
    </row>
    <row r="528" ht="22.5" customHeigh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3" t="s">
        <v>3838</v>
      </c>
      <c r="L528" s="23" t="s">
        <v>3839</v>
      </c>
      <c r="M528" s="24" t="s">
        <v>3840</v>
      </c>
      <c r="N528" s="24" t="s">
        <v>3841</v>
      </c>
      <c r="O528" s="24" t="s">
        <v>3842</v>
      </c>
      <c r="P528" s="25" t="s">
        <v>3843</v>
      </c>
      <c r="AC528" s="10" t="str">
        <f>IFERROR(__xludf.DUMMYFUNCTION("GOOGLETRANSLATE(K528,""my"", ""en"")"),"Win Min Oo")</f>
        <v>Win Min Oo</v>
      </c>
      <c r="AD528" s="10" t="str">
        <f>IFERROR(__xludf.DUMMYFUNCTION("GOOGLETRANSLATE(L528,""my"", ""en"")"),"Local ေထာင် စုေ white  Game ေဆာင် Party")</f>
        <v>Local ေထာင် စုေ white  Game ေဆာင် Party</v>
      </c>
      <c r="AE528" s="10" t="str">
        <f>IFERROR(__xludf.DUMMYFUNCTION("GOOGLETRANSLATE(M528,""my"", ""en"")"),"1222")</f>
        <v>1222</v>
      </c>
      <c r="AF528" s="10" t="str">
        <f>IFERROR(__xludf.DUMMYFUNCTION("GOOGLETRANSLATE(N528,""my"", ""en"")"),"389")</f>
        <v>389</v>
      </c>
      <c r="AG528" s="10" t="str">
        <f>IFERROR(__xludf.DUMMYFUNCTION("GOOGLETRANSLATE(O528,""my"", ""en"")"),"1611")</f>
        <v>1611</v>
      </c>
      <c r="AH528" s="10" t="str">
        <f>IFERROR(__xludf.DUMMYFUNCTION("GOOGLETRANSLATE(P528,""my"", ""en"")"),"0.60%")</f>
        <v>0.60%</v>
      </c>
    </row>
    <row r="529" ht="21.75" customHeigh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3" t="s">
        <v>3844</v>
      </c>
      <c r="L529" s="23" t="s">
        <v>3845</v>
      </c>
      <c r="M529" s="24" t="s">
        <v>3846</v>
      </c>
      <c r="N529" s="24" t="s">
        <v>3847</v>
      </c>
      <c r="O529" s="24" t="s">
        <v>3848</v>
      </c>
      <c r="P529" s="25" t="s">
        <v>3849</v>
      </c>
      <c r="AC529" s="10" t="str">
        <f>IFERROR(__xludf.DUMMYFUNCTION("GOOGLETRANSLATE(K529,""my"", ""en"")"),"Population")</f>
        <v>Population</v>
      </c>
      <c r="AD529" s="10" t="str">
        <f>IFERROR(__xludf.DUMMYFUNCTION("GOOGLETRANSLATE(L529,""my"", ""en"")"),"ပည်သူ ေရှ  ေဆာင် Party")</f>
        <v>ပည်သူ ေရှ  ေဆာင် Party</v>
      </c>
      <c r="AE529" s="10" t="str">
        <f>IFERROR(__xludf.DUMMYFUNCTION("GOOGLETRANSLATE(M529,""my"", ""en"")"),"790")</f>
        <v>790</v>
      </c>
      <c r="AF529" s="10" t="str">
        <f>IFERROR(__xludf.DUMMYFUNCTION("GOOGLETRANSLATE(N529,""my"", ""en"")"),"402")</f>
        <v>402</v>
      </c>
      <c r="AG529" s="10" t="str">
        <f>IFERROR(__xludf.DUMMYFUNCTION("GOOGLETRANSLATE(O529,""my"", ""en"")"),"1192")</f>
        <v>1192</v>
      </c>
      <c r="AH529" s="10" t="str">
        <f>IFERROR(__xludf.DUMMYFUNCTION("GOOGLETRANSLATE(P529,""my"", ""en"")"),"0.44%")</f>
        <v>0.44%</v>
      </c>
    </row>
    <row r="530" ht="19.5" customHeight="1">
      <c r="A530" s="17" t="s">
        <v>3850</v>
      </c>
      <c r="B530" s="17" t="s">
        <v>3851</v>
      </c>
      <c r="C530" s="18" t="s">
        <v>3852</v>
      </c>
      <c r="D530" s="18" t="s">
        <v>3853</v>
      </c>
      <c r="E530" s="18" t="s">
        <v>3854</v>
      </c>
      <c r="F530" s="18" t="s">
        <v>3855</v>
      </c>
      <c r="G530" s="18" t="s">
        <v>3856</v>
      </c>
      <c r="H530" s="18" t="s">
        <v>3857</v>
      </c>
      <c r="I530" s="18" t="s">
        <v>3858</v>
      </c>
      <c r="J530" s="18" t="s">
        <v>3859</v>
      </c>
      <c r="K530" s="27"/>
      <c r="L530" s="27"/>
      <c r="M530" s="18" t="s">
        <v>3860</v>
      </c>
      <c r="N530" s="18" t="s">
        <v>3861</v>
      </c>
      <c r="O530" s="18" t="s">
        <v>3862</v>
      </c>
      <c r="P530" s="27"/>
      <c r="S530" s="10" t="str">
        <f>IFERROR(__xludf.DUMMYFUNCTION("GOOGLETRANSLATE(A530,""my"", ""en"")"),"88")</f>
        <v>88</v>
      </c>
      <c r="T530" s="10" t="str">
        <f>IFERROR(__xludf.DUMMYFUNCTION("GOOGLETRANSLATE(B530,""my"", ""en"")"),"မဲဆ  No. (4)")</f>
        <v>မဲဆ  No. (4)</v>
      </c>
      <c r="U530" s="10" t="str">
        <f>IFERROR(__xludf.DUMMYFUNCTION("GOOGLETRANSLATE(C530,""my"", ""en"")"),"193236")</f>
        <v>193236</v>
      </c>
      <c r="V530" s="10" t="str">
        <f>IFERROR(__xludf.DUMMYFUNCTION("GOOGLETRANSLATE(D530,""my"", ""en"")"),"118546")</f>
        <v>118546</v>
      </c>
      <c r="W530" s="10" t="str">
        <f>IFERROR(__xludf.DUMMYFUNCTION("GOOGLETRANSLATE(E530,""my"", ""en"")"),"33109")</f>
        <v>33109</v>
      </c>
      <c r="X530" s="10" t="str">
        <f>IFERROR(__xludf.DUMMYFUNCTION("GOOGLETRANSLATE(F530,""my"", ""en"")"),"151655")</f>
        <v>151655</v>
      </c>
      <c r="Y530" s="10" t="str">
        <f>IFERROR(__xludf.DUMMYFUNCTION("GOOGLETRANSLATE(G530,""my"", ""en"")"),"78.48")</f>
        <v>78.48</v>
      </c>
      <c r="Z530" s="10" t="str">
        <f>IFERROR(__xludf.DUMMYFUNCTION("GOOGLETRANSLATE(H530,""my"", ""en"")"),"2188")</f>
        <v>2188</v>
      </c>
      <c r="AA530" s="10" t="str">
        <f>IFERROR(__xludf.DUMMYFUNCTION("GOOGLETRANSLATE(I530,""my"", ""en"")"),"267")</f>
        <v>267</v>
      </c>
      <c r="AB530" s="10" t="str">
        <f>IFERROR(__xludf.DUMMYFUNCTION("GOOGLETRANSLATE(J530,""my"", ""en"")"),"2455")</f>
        <v>2455</v>
      </c>
      <c r="AE530" s="10" t="str">
        <f>IFERROR(__xludf.DUMMYFUNCTION("GOOGLETRANSLATE(M530,""my"", ""en"")"),"116867")</f>
        <v>116867</v>
      </c>
      <c r="AF530" s="10" t="str">
        <f>IFERROR(__xludf.DUMMYFUNCTION("GOOGLETRANSLATE(N530,""my"", ""en"")"),"32333")</f>
        <v>32333</v>
      </c>
      <c r="AG530" s="10" t="str">
        <f>IFERROR(__xludf.DUMMYFUNCTION("GOOGLETRANSLATE(O530,""my"", ""en"")"),"149200")</f>
        <v>149200</v>
      </c>
    </row>
    <row r="531" ht="22.5" customHeigh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3" t="s">
        <v>3863</v>
      </c>
      <c r="L531" s="23" t="s">
        <v>3864</v>
      </c>
      <c r="M531" s="24" t="s">
        <v>3865</v>
      </c>
      <c r="N531" s="24" t="s">
        <v>3866</v>
      </c>
      <c r="O531" s="24" t="s">
        <v>3867</v>
      </c>
      <c r="P531" s="25" t="s">
        <v>3868</v>
      </c>
      <c r="AC531" s="10" t="str">
        <f>IFERROR(__xludf.DUMMYFUNCTION("GOOGLETRANSLATE(K531,""my"", ""en"")"),"Dr. ကြျော silver")</f>
        <v>Dr. ကြျော silver</v>
      </c>
      <c r="AD531" s="10" t="str">
        <f>IFERROR(__xludf.DUMMYFUNCTION("GOOGLETRANSLATE(L531,""my"", ""en"")")," Game Democracy group   Pop Party")</f>
        <v> Game Democracy group   Pop Party</v>
      </c>
      <c r="AE531" s="10" t="str">
        <f>IFERROR(__xludf.DUMMYFUNCTION("GOOGLETRANSLATE(M531,""my"", ""en"")"),"84882")</f>
        <v>84882</v>
      </c>
      <c r="AF531" s="10" t="str">
        <f>IFERROR(__xludf.DUMMYFUNCTION("GOOGLETRANSLATE(N531,""my"", ""en"")"),"22500")</f>
        <v>22500</v>
      </c>
      <c r="AG531" s="10" t="str">
        <f>IFERROR(__xludf.DUMMYFUNCTION("GOOGLETRANSLATE(O531,""my"", ""en"")"),"107382")</f>
        <v>107382</v>
      </c>
      <c r="AH531" s="10" t="str">
        <f>IFERROR(__xludf.DUMMYFUNCTION("GOOGLETRANSLATE(P531,""my"", ""en"")"),"71.97%")</f>
        <v>71.97%</v>
      </c>
    </row>
    <row r="532" ht="21.75" customHeigh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9" t="s">
        <v>3869</v>
      </c>
      <c r="L532" s="23" t="s">
        <v>3870</v>
      </c>
      <c r="M532" s="24" t="s">
        <v>3871</v>
      </c>
      <c r="N532" s="24" t="s">
        <v>3872</v>
      </c>
      <c r="O532" s="24" t="s">
        <v>3873</v>
      </c>
      <c r="P532" s="25" t="s">
        <v>3874</v>
      </c>
      <c r="AC532" s="10" t="str">
        <f>IFERROR(__xludf.DUMMYFUNCTION("GOOGLETRANSLATE(K532,""my"", ""en"")"),"Thein Lwin (b) Po Thein")</f>
        <v>Thein Lwin (b) Po Thein</v>
      </c>
      <c r="AD532" s="10" t="str">
        <f>IFERROR(__xludf.DUMMYFUNCTION("GOOGLETRANSLATE(L532,""my"", ""en"")"),"Local ေထာင် soap-stone strong ေရး  under development  Phil  ေရး Party")</f>
        <v>Local ေထာင် soap-stone strong ေရး  under development  Phil  ေရး Party</v>
      </c>
      <c r="AE532" s="10" t="str">
        <f>IFERROR(__xludf.DUMMYFUNCTION("GOOGLETRANSLATE(M532,""my"", ""en"")"),"22259")</f>
        <v>22259</v>
      </c>
      <c r="AF532" s="10" t="str">
        <f>IFERROR(__xludf.DUMMYFUNCTION("GOOGLETRANSLATE(N532,""my"", ""en"")"),"6782")</f>
        <v>6782</v>
      </c>
      <c r="AG532" s="10" t="str">
        <f>IFERROR(__xludf.DUMMYFUNCTION("GOOGLETRANSLATE(O532,""my"", ""en"")"),"29041")</f>
        <v>29041</v>
      </c>
      <c r="AH532" s="10" t="str">
        <f>IFERROR(__xludf.DUMMYFUNCTION("GOOGLETRANSLATE(P532,""my"", ""en"")"),"19.46%")</f>
        <v>19.46%</v>
      </c>
    </row>
    <row r="533" ht="21.75" customHeigh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3" t="s">
        <v>3875</v>
      </c>
      <c r="L533" s="23" t="s">
        <v>3876</v>
      </c>
      <c r="M533" s="24" t="s">
        <v>3877</v>
      </c>
      <c r="N533" s="24" t="s">
        <v>3878</v>
      </c>
      <c r="O533" s="24" t="s">
        <v>3879</v>
      </c>
      <c r="P533" s="25" t="s">
        <v>3880</v>
      </c>
      <c r="AC533" s="10" t="str">
        <f>IFERROR(__xludf.DUMMYFUNCTION("GOOGLETRANSLATE(K533,""my"", ""en"")"),"Valiant ေအာင်")</f>
        <v>Valiant ေအာင်</v>
      </c>
      <c r="AD533" s="10" t="str">
        <f>IFERROR(__xludf.DUMMYFUNCTION("GOOGLETRANSLATE(L533,""my"", ""en"")")," Game  Democratic Party political-Fi")</f>
        <v> Game  Democratic Party political-Fi</v>
      </c>
      <c r="AE533" s="10" t="str">
        <f>IFERROR(__xludf.DUMMYFUNCTION("GOOGLETRANSLATE(M533,""my"", ""en"")"),"7881")</f>
        <v>7881</v>
      </c>
      <c r="AF533" s="10" t="str">
        <f>IFERROR(__xludf.DUMMYFUNCTION("GOOGLETRANSLATE(N533,""my"", ""en"")"),"2140")</f>
        <v>2140</v>
      </c>
      <c r="AG533" s="10" t="str">
        <f>IFERROR(__xludf.DUMMYFUNCTION("GOOGLETRANSLATE(O533,""my"", ""en"")"),"10021")</f>
        <v>10021</v>
      </c>
      <c r="AH533" s="10" t="str">
        <f>IFERROR(__xludf.DUMMYFUNCTION("GOOGLETRANSLATE(P533,""my"", ""en"")"),"6.72%")</f>
        <v>6.72%</v>
      </c>
    </row>
    <row r="534" ht="22.5" customHeigh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3" t="s">
        <v>3881</v>
      </c>
      <c r="L534" s="23" t="s">
        <v>3882</v>
      </c>
      <c r="M534" s="24" t="s">
        <v>3883</v>
      </c>
      <c r="N534" s="24" t="s">
        <v>3884</v>
      </c>
      <c r="O534" s="24" t="s">
        <v>3885</v>
      </c>
      <c r="P534" s="25" t="s">
        <v>3886</v>
      </c>
      <c r="AC534" s="10" t="str">
        <f>IFERROR(__xludf.DUMMYFUNCTION("GOOGLETRANSLATE(K534,""my"", ""en"")"),"ေဒ   church  church ေမ")</f>
        <v>ေဒ   church  church ေမ</v>
      </c>
      <c r="AD534" s="10" t="str">
        <f>IFERROR(__xludf.DUMMYFUNCTION("GOOGLETRANSLATE(L534,""my"", ""en"")"),"Ethnic unity  working party ေရး")</f>
        <v>Ethnic unity  working party ေရး</v>
      </c>
      <c r="AE534" s="10" t="str">
        <f>IFERROR(__xludf.DUMMYFUNCTION("GOOGLETRANSLATE(M534,""my"", ""en"")"),"949")</f>
        <v>949</v>
      </c>
      <c r="AF534" s="10" t="str">
        <f>IFERROR(__xludf.DUMMYFUNCTION("GOOGLETRANSLATE(N534,""my"", ""en"")"),"537")</f>
        <v>537</v>
      </c>
      <c r="AG534" s="10" t="str">
        <f>IFERROR(__xludf.DUMMYFUNCTION("GOOGLETRANSLATE(O534,""my"", ""en"")"),"1486")</f>
        <v>1486</v>
      </c>
      <c r="AH534" s="10" t="str">
        <f>IFERROR(__xludf.DUMMYFUNCTION("GOOGLETRANSLATE(P534,""my"", ""en"")"),"1.00%")</f>
        <v>1.00%</v>
      </c>
    </row>
    <row r="535" ht="18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3" t="s">
        <v>3887</v>
      </c>
      <c r="L535" s="23" t="s">
        <v>3888</v>
      </c>
      <c r="M535" s="24" t="s">
        <v>3889</v>
      </c>
      <c r="N535" s="24" t="s">
        <v>3890</v>
      </c>
      <c r="O535" s="24" t="s">
        <v>3891</v>
      </c>
      <c r="P535" s="25" t="s">
        <v>3892</v>
      </c>
      <c r="AC535" s="10" t="str">
        <f>IFERROR(__xludf.DUMMYFUNCTION("GOOGLETRANSLATE(K535,""my"", ""en"")"),"Robert congress ")</f>
        <v>Robert congress </v>
      </c>
      <c r="AD535" s="10" t="str">
        <f>IFERROR(__xludf.DUMMYFUNCTION("GOOGLETRANSLATE(L535,""my"", ""en"")"),"Local ေထာင် စုေ white  Game ေဆာင် Party")</f>
        <v>Local ေထာင် စုေ white  Game ေဆာင် Party</v>
      </c>
      <c r="AE535" s="10" t="str">
        <f>IFERROR(__xludf.DUMMYFUNCTION("GOOGLETRANSLATE(M535,""my"", ""en"")"),"896")</f>
        <v>896</v>
      </c>
      <c r="AF535" s="10" t="str">
        <f>IFERROR(__xludf.DUMMYFUNCTION("GOOGLETRANSLATE(N535,""my"", ""en"")"),"374")</f>
        <v>374</v>
      </c>
      <c r="AG535" s="10" t="str">
        <f>IFERROR(__xludf.DUMMYFUNCTION("GOOGLETRANSLATE(O535,""my"", ""en"")"),"1270")</f>
        <v>1270</v>
      </c>
      <c r="AH535" s="10" t="str">
        <f>IFERROR(__xludf.DUMMYFUNCTION("GOOGLETRANSLATE(P535,""my"", ""en"")"),"0.85%")</f>
        <v>0.85%</v>
      </c>
    </row>
    <row r="536" ht="22.5" customHeight="1">
      <c r="A536" s="17" t="s">
        <v>3893</v>
      </c>
      <c r="B536" s="17" t="s">
        <v>3894</v>
      </c>
      <c r="C536" s="18" t="s">
        <v>3895</v>
      </c>
      <c r="D536" s="17" t="s">
        <v>3896</v>
      </c>
      <c r="E536" s="18" t="s">
        <v>3897</v>
      </c>
      <c r="F536" s="17" t="s">
        <v>3898</v>
      </c>
      <c r="G536" s="18" t="s">
        <v>3899</v>
      </c>
      <c r="H536" s="18" t="s">
        <v>3900</v>
      </c>
      <c r="I536" s="18" t="s">
        <v>3901</v>
      </c>
      <c r="J536" s="18" t="s">
        <v>3902</v>
      </c>
      <c r="K536" s="27"/>
      <c r="L536" s="27"/>
      <c r="M536" s="18" t="s">
        <v>3903</v>
      </c>
      <c r="N536" s="18" t="s">
        <v>3904</v>
      </c>
      <c r="O536" s="18" t="s">
        <v>3905</v>
      </c>
      <c r="P536" s="27"/>
      <c r="S536" s="10" t="str">
        <f>IFERROR(__xludf.DUMMYFUNCTION("GOOGLETRANSLATE(A536,""my"", ""en"")"),"89")</f>
        <v>89</v>
      </c>
      <c r="T536" s="10" t="str">
        <f>IFERROR(__xludf.DUMMYFUNCTION("GOOGLETRANSLATE(B536,""my"", ""en"")"),"မဲဆ  (5 points)")</f>
        <v>မဲဆ  (5 points)</v>
      </c>
      <c r="U536" s="10" t="str">
        <f>IFERROR(__xludf.DUMMYFUNCTION("GOOGLETRANSLATE(C536,""my"", ""en"")"),"291010")</f>
        <v>291010</v>
      </c>
      <c r="V536" s="10" t="str">
        <f>IFERROR(__xludf.DUMMYFUNCTION("GOOGLETRANSLATE(D536,""my"", ""en"")"),"172543")</f>
        <v>172543</v>
      </c>
      <c r="W536" s="10" t="str">
        <f>IFERROR(__xludf.DUMMYFUNCTION("GOOGLETRANSLATE(E536,""my"", ""en"")"),"43488")</f>
        <v>43488</v>
      </c>
      <c r="X536" s="10" t="str">
        <f>IFERROR(__xludf.DUMMYFUNCTION("GOOGLETRANSLATE(F536,""my"", ""en"")"),"216031")</f>
        <v>216031</v>
      </c>
      <c r="Y536" s="10" t="str">
        <f>IFERROR(__xludf.DUMMYFUNCTION("GOOGLETRANSLATE(G536,""my"", ""en"")"),"74.23")</f>
        <v>74.23</v>
      </c>
      <c r="Z536" s="10" t="str">
        <f>IFERROR(__xludf.DUMMYFUNCTION("GOOGLETRANSLATE(H536,""my"", ""en"")"),"4123")</f>
        <v>4123</v>
      </c>
      <c r="AA536" s="10" t="str">
        <f>IFERROR(__xludf.DUMMYFUNCTION("GOOGLETRANSLATE(I536,""my"", ""en"")"),"271")</f>
        <v>271</v>
      </c>
      <c r="AB536" s="10" t="str">
        <f>IFERROR(__xludf.DUMMYFUNCTION("GOOGLETRANSLATE(J536,""my"", ""en"")"),"4394")</f>
        <v>4394</v>
      </c>
      <c r="AE536" s="10" t="str">
        <f>IFERROR(__xludf.DUMMYFUNCTION("GOOGLETRANSLATE(M536,""my"", ""en"")"),"169094")</f>
        <v>169094</v>
      </c>
      <c r="AF536" s="10" t="str">
        <f>IFERROR(__xludf.DUMMYFUNCTION("GOOGLETRANSLATE(N536,""my"", ""en"")"),"42543")</f>
        <v>42543</v>
      </c>
      <c r="AG536" s="10" t="str">
        <f>IFERROR(__xludf.DUMMYFUNCTION("GOOGLETRANSLATE(O536,""my"", ""en"")"),"211637")</f>
        <v>211637</v>
      </c>
    </row>
    <row r="537" ht="21.75" customHeigh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3" t="s">
        <v>3906</v>
      </c>
      <c r="L537" s="23" t="s">
        <v>3907</v>
      </c>
      <c r="M537" s="24" t="s">
        <v>3908</v>
      </c>
      <c r="N537" s="24" t="s">
        <v>3909</v>
      </c>
      <c r="O537" s="24" t="s">
        <v>3910</v>
      </c>
      <c r="P537" s="25" t="s">
        <v>3911</v>
      </c>
      <c r="AC537" s="10" t="str">
        <f>IFERROR(__xludf.DUMMYFUNCTION("GOOGLETRANSLATE(K537,""my"", ""en"")"),"Khin Win")</f>
        <v>Khin Win</v>
      </c>
      <c r="AD537" s="10" t="str">
        <f>IFERROR(__xludf.DUMMYFUNCTION("GOOGLETRANSLATE(L537,""my"", ""en"")")," Game Democracy group   Pop Party")</f>
        <v> Game Democracy group   Pop Party</v>
      </c>
      <c r="AE537" s="10" t="str">
        <f>IFERROR(__xludf.DUMMYFUNCTION("GOOGLETRANSLATE(M537,""my"", ""en"")"),"141003")</f>
        <v>141003</v>
      </c>
      <c r="AF537" s="10" t="str">
        <f>IFERROR(__xludf.DUMMYFUNCTION("GOOGLETRANSLATE(N537,""my"", ""en"")"),"34219")</f>
        <v>34219</v>
      </c>
      <c r="AG537" s="10" t="str">
        <f>IFERROR(__xludf.DUMMYFUNCTION("GOOGLETRANSLATE(O537,""my"", ""en"")"),"175222")</f>
        <v>175222</v>
      </c>
      <c r="AH537" s="10" t="str">
        <f>IFERROR(__xludf.DUMMYFUNCTION("GOOGLETRANSLATE(P537,""my"", ""en"")"),"82.79%")</f>
        <v>82.79%</v>
      </c>
    </row>
    <row r="538" ht="21.75" customHeigh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3" t="s">
        <v>3912</v>
      </c>
      <c r="L538" s="23" t="s">
        <v>3913</v>
      </c>
      <c r="M538" s="24" t="s">
        <v>3914</v>
      </c>
      <c r="N538" s="24" t="s">
        <v>3915</v>
      </c>
      <c r="O538" s="24" t="s">
        <v>3916</v>
      </c>
      <c r="P538" s="25" t="s">
        <v>3917</v>
      </c>
      <c r="AC538" s="10" t="str">
        <f>IFERROR(__xludf.DUMMYFUNCTION("GOOGLETRANSLATE(K538,""my"", ""en"")"),"U Tun Shein")</f>
        <v>U Tun Shein</v>
      </c>
      <c r="AD538" s="10" t="str">
        <f>IFERROR(__xludf.DUMMYFUNCTION("GOOGLETRANSLATE(L538,""my"", ""en"")"),"Local ေထာင် soap-stone strong ေရး  under development  Phil  ေရး Party")</f>
        <v>Local ေထာင် soap-stone strong ေရး  under development  Phil  ေရး Party</v>
      </c>
      <c r="AE538" s="10" t="str">
        <f>IFERROR(__xludf.DUMMYFUNCTION("GOOGLETRANSLATE(M538,""my"", ""en"")"),"26163")</f>
        <v>26163</v>
      </c>
      <c r="AF538" s="10" t="str">
        <f>IFERROR(__xludf.DUMMYFUNCTION("GOOGLETRANSLATE(N538,""my"", ""en"")"),"7760")</f>
        <v>7760</v>
      </c>
      <c r="AG538" s="10" t="str">
        <f>IFERROR(__xludf.DUMMYFUNCTION("GOOGLETRANSLATE(O538,""my"", ""en"")"),"33923")</f>
        <v>33923</v>
      </c>
      <c r="AH538" s="10" t="str">
        <f>IFERROR(__xludf.DUMMYFUNCTION("GOOGLETRANSLATE(P538,""my"", ""en"")"),"16.03%")</f>
        <v>16.03%</v>
      </c>
    </row>
    <row r="539" ht="22.5" customHeigh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3" t="s">
        <v>3918</v>
      </c>
      <c r="L539" s="23" t="s">
        <v>3919</v>
      </c>
      <c r="M539" s="24" t="s">
        <v>3920</v>
      </c>
      <c r="N539" s="24" t="s">
        <v>3921</v>
      </c>
      <c r="O539" s="24" t="s">
        <v>3922</v>
      </c>
      <c r="P539" s="25" t="s">
        <v>3923</v>
      </c>
      <c r="AC539" s="10" t="str">
        <f>IFERROR(__xludf.DUMMYFUNCTION("GOOGLETRANSLATE(K539,""my"", ""en"")"),"U Tin Win  Cashier")</f>
        <v>U Tin Win  Cashier</v>
      </c>
      <c r="AD539" s="10" t="str">
        <f>IFERROR(__xludf.DUMMYFUNCTION("GOOGLETRANSLATE(L539,""my"", ""en"")"),"Local ေထာင် စုေ white  Game ေဆာင် Party")</f>
        <v>Local ေထာင် စုေ white  Game ေဆာင် Party</v>
      </c>
      <c r="AE539" s="10" t="str">
        <f>IFERROR(__xludf.DUMMYFUNCTION("GOOGLETRANSLATE(M539,""my"", ""en"")"),"1445")</f>
        <v>1445</v>
      </c>
      <c r="AF539" s="10" t="str">
        <f>IFERROR(__xludf.DUMMYFUNCTION("GOOGLETRANSLATE(N539,""my"", ""en"")"),"441")</f>
        <v>441</v>
      </c>
      <c r="AG539" s="10" t="str">
        <f>IFERROR(__xludf.DUMMYFUNCTION("GOOGLETRANSLATE(O539,""my"", ""en"")"),"1886")</f>
        <v>1886</v>
      </c>
      <c r="AH539" s="10" t="str">
        <f>IFERROR(__xludf.DUMMYFUNCTION("GOOGLETRANSLATE(P539,""my"", ""en"")"),"0.89%")</f>
        <v>0.89%</v>
      </c>
    </row>
    <row r="540" ht="21.75" customHeigh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3" t="s">
        <v>3924</v>
      </c>
      <c r="L540" s="23" t="s">
        <v>3925</v>
      </c>
      <c r="M540" s="24" t="s">
        <v>3926</v>
      </c>
      <c r="N540" s="24" t="s">
        <v>3927</v>
      </c>
      <c r="O540" s="24" t="s">
        <v>3928</v>
      </c>
      <c r="P540" s="25" t="s">
        <v>3929</v>
      </c>
      <c r="AC540" s="10" t="str">
        <f>IFERROR(__xludf.DUMMYFUNCTION("GOOGLETRANSLATE(K540,""my"", ""en"")"),"ေအာင် ေကျာ Lin")</f>
        <v>ေအာင် ေကျာ Lin</v>
      </c>
      <c r="AD540" s="10" t="str">
        <f>IFERROR(__xludf.DUMMYFUNCTION("GOOGLETRANSLATE(L540,""my"", ""en"")")," Game  Democratic Party political-Fi")</f>
        <v> Game  Democratic Party political-Fi</v>
      </c>
      <c r="AE540" s="10" t="str">
        <f>IFERROR(__xludf.DUMMYFUNCTION("GOOGLETRANSLATE(M540,""my"", ""en"")"),"483")</f>
        <v>483</v>
      </c>
      <c r="AF540" s="10" t="str">
        <f>IFERROR(__xludf.DUMMYFUNCTION("GOOGLETRANSLATE(N540,""my"", ""en"")"),"123")</f>
        <v>123</v>
      </c>
      <c r="AG540" s="10" t="str">
        <f>IFERROR(__xludf.DUMMYFUNCTION("GOOGLETRANSLATE(O540,""my"", ""en"")"),"606")</f>
        <v>606</v>
      </c>
      <c r="AH540" s="10" t="str">
        <f>IFERROR(__xludf.DUMMYFUNCTION("GOOGLETRANSLATE(P540,""my"", ""en"")"),"0.29%")</f>
        <v>0.29%</v>
      </c>
    </row>
    <row r="541" ht="21.75" customHeight="1">
      <c r="A541" s="17" t="s">
        <v>3930</v>
      </c>
      <c r="B541" s="17" t="s">
        <v>3931</v>
      </c>
      <c r="C541" s="18" t="s">
        <v>3932</v>
      </c>
      <c r="D541" s="17" t="s">
        <v>3933</v>
      </c>
      <c r="E541" s="18" t="s">
        <v>3934</v>
      </c>
      <c r="F541" s="17" t="s">
        <v>3935</v>
      </c>
      <c r="G541" s="18" t="s">
        <v>3936</v>
      </c>
      <c r="H541" s="18" t="s">
        <v>3937</v>
      </c>
      <c r="I541" s="18" t="s">
        <v>3938</v>
      </c>
      <c r="J541" s="18" t="s">
        <v>3939</v>
      </c>
      <c r="K541" s="27"/>
      <c r="L541" s="27"/>
      <c r="M541" s="18" t="s">
        <v>3940</v>
      </c>
      <c r="N541" s="18" t="s">
        <v>3941</v>
      </c>
      <c r="O541" s="18" t="s">
        <v>3942</v>
      </c>
      <c r="P541" s="27"/>
      <c r="S541" s="10" t="str">
        <f>IFERROR(__xludf.DUMMYFUNCTION("GOOGLETRANSLATE(A541,""my"", ""en"")"),"90")</f>
        <v>90</v>
      </c>
      <c r="T541" s="10" t="str">
        <f>IFERROR(__xludf.DUMMYFUNCTION("GOOGLETRANSLATE(B541,""my"", ""en"")"),"မဲဆ  No. (6)")</f>
        <v>မဲဆ  No. (6)</v>
      </c>
      <c r="U541" s="10" t="str">
        <f>IFERROR(__xludf.DUMMYFUNCTION("GOOGLETRANSLATE(C541,""my"", ""en"")"),"219112")</f>
        <v>219112</v>
      </c>
      <c r="V541" s="10" t="str">
        <f>IFERROR(__xludf.DUMMYFUNCTION("GOOGLETRANSLATE(D541,""my"", ""en"")"),"133368")</f>
        <v>133368</v>
      </c>
      <c r="W541" s="10" t="str">
        <f>IFERROR(__xludf.DUMMYFUNCTION("GOOGLETRANSLATE(E541,""my"", ""en"")"),"28444")</f>
        <v>28444</v>
      </c>
      <c r="X541" s="10" t="str">
        <f>IFERROR(__xludf.DUMMYFUNCTION("GOOGLETRANSLATE(F541,""my"", ""en"")"),"161812")</f>
        <v>161812</v>
      </c>
      <c r="Y541" s="10" t="str">
        <f>IFERROR(__xludf.DUMMYFUNCTION("GOOGLETRANSLATE(G541,""my"", ""en"")"),"73.85")</f>
        <v>73.85</v>
      </c>
      <c r="Z541" s="10" t="str">
        <f>IFERROR(__xludf.DUMMYFUNCTION("GOOGLETRANSLATE(H541,""my"", ""en"")"),"2767")</f>
        <v>2767</v>
      </c>
      <c r="AA541" s="10" t="str">
        <f>IFERROR(__xludf.DUMMYFUNCTION("GOOGLETRANSLATE(I541,""my"", ""en"")"),"145")</f>
        <v>145</v>
      </c>
      <c r="AB541" s="10" t="str">
        <f>IFERROR(__xludf.DUMMYFUNCTION("GOOGLETRANSLATE(J541,""my"", ""en"")"),"2912")</f>
        <v>2912</v>
      </c>
      <c r="AE541" s="10" t="str">
        <f>IFERROR(__xludf.DUMMYFUNCTION("GOOGLETRANSLATE(M541,""my"", ""en"")"),"131216")</f>
        <v>131216</v>
      </c>
      <c r="AF541" s="10" t="str">
        <f>IFERROR(__xludf.DUMMYFUNCTION("GOOGLETRANSLATE(N541,""my"", ""en"")"),"27684")</f>
        <v>27684</v>
      </c>
      <c r="AG541" s="10" t="str">
        <f>IFERROR(__xludf.DUMMYFUNCTION("GOOGLETRANSLATE(O541,""my"", ""en"")"),"158900")</f>
        <v>158900</v>
      </c>
    </row>
    <row r="542" ht="24.0" customHeigh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3" t="s">
        <v>3943</v>
      </c>
      <c r="L542" s="23" t="s">
        <v>3944</v>
      </c>
      <c r="M542" s="24" t="s">
        <v>3945</v>
      </c>
      <c r="N542" s="24" t="s">
        <v>3946</v>
      </c>
      <c r="O542" s="24" t="s">
        <v>3947</v>
      </c>
      <c r="P542" s="25" t="s">
        <v>3948</v>
      </c>
      <c r="AC542" s="10" t="str">
        <f>IFERROR(__xludf.DUMMYFUNCTION("GOOGLETRANSLATE(K542,""my"", ""en"")"),"ေအာင်  ကည်  Union")</f>
        <v>ေအာင်  ကည်  Union</v>
      </c>
      <c r="AD542" s="10" t="str">
        <f>IFERROR(__xludf.DUMMYFUNCTION("GOOGLETRANSLATE(L542,""my"", ""en"")")," Game Democracy group   Pop Party")</f>
        <v> Game Democracy group   Pop Party</v>
      </c>
      <c r="AE542" s="10" t="str">
        <f>IFERROR(__xludf.DUMMYFUNCTION("GOOGLETRANSLATE(M542,""my"", ""en"")"),"98801")</f>
        <v>98801</v>
      </c>
      <c r="AF542" s="10" t="str">
        <f>IFERROR(__xludf.DUMMYFUNCTION("GOOGLETRANSLATE(N542,""my"", ""en"")"),"20284")</f>
        <v>20284</v>
      </c>
      <c r="AG542" s="10" t="str">
        <f>IFERROR(__xludf.DUMMYFUNCTION("GOOGLETRANSLATE(O542,""my"", ""en"")"),"119085")</f>
        <v>119085</v>
      </c>
      <c r="AH542" s="10" t="str">
        <f>IFERROR(__xludf.DUMMYFUNCTION("GOOGLETRANSLATE(P542,""my"", ""en"")"),"74.94%")</f>
        <v>74.94%</v>
      </c>
    </row>
    <row r="543" ht="24.0" customHeigh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3" t="s">
        <v>3949</v>
      </c>
      <c r="L543" s="23" t="s">
        <v>3950</v>
      </c>
      <c r="M543" s="24" t="s">
        <v>3951</v>
      </c>
      <c r="N543" s="24" t="s">
        <v>3952</v>
      </c>
      <c r="O543" s="24" t="s">
        <v>3953</v>
      </c>
      <c r="P543" s="25" t="s">
        <v>3954</v>
      </c>
      <c r="AC543" s="10" t="str">
        <f>IFERROR(__xludf.DUMMYFUNCTION("GOOGLETRANSLATE(K543,""my"", ""en"")"),"Khin ေဇာ")</f>
        <v>Khin ေဇာ</v>
      </c>
      <c r="AD543" s="10" t="str">
        <f>IFERROR(__xludf.DUMMYFUNCTION("GOOGLETRANSLATE(L543,""my"", ""en"")"),"Local ေထာင် soap-stone strong ေရး  under development  Phil  ေရး Party")</f>
        <v>Local ေထာင် soap-stone strong ေရး  under development  Phil  ေရး Party</v>
      </c>
      <c r="AE543" s="10" t="str">
        <f>IFERROR(__xludf.DUMMYFUNCTION("GOOGLETRANSLATE(M543,""my"", ""en"")"),"28747")</f>
        <v>28747</v>
      </c>
      <c r="AF543" s="10" t="str">
        <f>IFERROR(__xludf.DUMMYFUNCTION("GOOGLETRANSLATE(N543,""my"", ""en"")"),"6424")</f>
        <v>6424</v>
      </c>
      <c r="AG543" s="10" t="str">
        <f>IFERROR(__xludf.DUMMYFUNCTION("GOOGLETRANSLATE(O543,""my"", ""en"")"),"35171")</f>
        <v>35171</v>
      </c>
      <c r="AH543" s="10" t="str">
        <f>IFERROR(__xludf.DUMMYFUNCTION("GOOGLETRANSLATE(P543,""my"", ""en"")"),"22.13%")</f>
        <v>22.13%</v>
      </c>
    </row>
    <row r="544" ht="24.0" customHeigh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3" t="s">
        <v>3955</v>
      </c>
      <c r="L544" s="23" t="s">
        <v>3956</v>
      </c>
      <c r="M544" s="24" t="s">
        <v>3957</v>
      </c>
      <c r="N544" s="24" t="s">
        <v>3958</v>
      </c>
      <c r="O544" s="24" t="s">
        <v>3959</v>
      </c>
      <c r="P544" s="25" t="s">
        <v>3960</v>
      </c>
      <c r="AC544" s="10" t="str">
        <f>IFERROR(__xludf.DUMMYFUNCTION("GOOGLETRANSLATE(K544,""my"", ""en"")"),"Khin ေမာင် ေရ")</f>
        <v>Khin ေမာင် ေရ</v>
      </c>
      <c r="AD544" s="10" t="str">
        <f>IFERROR(__xludf.DUMMYFUNCTION("GOOGLETRANSLATE(L544,""my"", ""en"")"),"Ethnic unity  working party ေရး")</f>
        <v>Ethnic unity  working party ေရး</v>
      </c>
      <c r="AE544" s="10" t="str">
        <f>IFERROR(__xludf.DUMMYFUNCTION("GOOGLETRANSLATE(M544,""my"", ""en"")"),"1661")</f>
        <v>1661</v>
      </c>
      <c r="AF544" s="10" t="str">
        <f>IFERROR(__xludf.DUMMYFUNCTION("GOOGLETRANSLATE(N544,""my"", ""en"")"),"495")</f>
        <v>495</v>
      </c>
      <c r="AG544" s="10" t="str">
        <f>IFERROR(__xludf.DUMMYFUNCTION("GOOGLETRANSLATE(O544,""my"", ""en"")"),"2156")</f>
        <v>2156</v>
      </c>
      <c r="AH544" s="10" t="str">
        <f>IFERROR(__xludf.DUMMYFUNCTION("GOOGLETRANSLATE(P544,""my"", ""en"")"),"1.36%")</f>
        <v>1.36%</v>
      </c>
    </row>
    <row r="545" ht="24.0" customHeigh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3" t="s">
        <v>3961</v>
      </c>
      <c r="L545" s="23" t="s">
        <v>3962</v>
      </c>
      <c r="M545" s="24" t="s">
        <v>3963</v>
      </c>
      <c r="N545" s="24" t="s">
        <v>3964</v>
      </c>
      <c r="O545" s="24" t="s">
        <v>3965</v>
      </c>
      <c r="P545" s="25" t="s">
        <v>3966</v>
      </c>
      <c r="AC545" s="10" t="str">
        <f>IFERROR(__xludf.DUMMYFUNCTION("GOOGLETRANSLATE(K545,""my"", ""en"")"),"ေအာင် Lin")</f>
        <v>ေအာင် Lin</v>
      </c>
      <c r="AD545" s="10" t="str">
        <f>IFERROR(__xludf.DUMMYFUNCTION("GOOGLETRANSLATE(L545,""my"", ""en"")"),"Local ေထာင် စုေ white  Game ေဆာင် Party")</f>
        <v>Local ေထာင် စုေ white  Game ေဆာင် Party</v>
      </c>
      <c r="AE545" s="10" t="str">
        <f>IFERROR(__xludf.DUMMYFUNCTION("GOOGLETRANSLATE(M545,""my"", ""en"")"),"1592")</f>
        <v>1592</v>
      </c>
      <c r="AF545" s="10" t="str">
        <f>IFERROR(__xludf.DUMMYFUNCTION("GOOGLETRANSLATE(N545,""my"", ""en"")"),"330")</f>
        <v>330</v>
      </c>
      <c r="AG545" s="10" t="str">
        <f>IFERROR(__xludf.DUMMYFUNCTION("GOOGLETRANSLATE(O545,""my"", ""en"")"),"1922")</f>
        <v>1922</v>
      </c>
      <c r="AH545" s="10" t="str">
        <f>IFERROR(__xludf.DUMMYFUNCTION("GOOGLETRANSLATE(P545,""my"", ""en"")"),"1.21%")</f>
        <v>1.21%</v>
      </c>
    </row>
    <row r="546" ht="24.0" customHeigh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3" t="s">
        <v>3967</v>
      </c>
      <c r="L546" s="23" t="s">
        <v>3968</v>
      </c>
      <c r="M546" s="24" t="s">
        <v>3969</v>
      </c>
      <c r="N546" s="24" t="s">
        <v>3970</v>
      </c>
      <c r="O546" s="24" t="s">
        <v>3971</v>
      </c>
      <c r="P546" s="25" t="s">
        <v>3972</v>
      </c>
      <c r="AC546" s="10" t="str">
        <f>IFERROR(__xludf.DUMMYFUNCTION("GOOGLETRANSLATE(K546,""my"", ""en"")"),"San Tun")</f>
        <v>San Tun</v>
      </c>
      <c r="AD546" s="10" t="str">
        <f>IFERROR(__xludf.DUMMYFUNCTION("GOOGLETRANSLATE(L546,""my"", ""en"")")," Game  Democratic Party political-Fi")</f>
        <v> Game  Democratic Party political-Fi</v>
      </c>
      <c r="AE546" s="10" t="str">
        <f>IFERROR(__xludf.DUMMYFUNCTION("GOOGLETRANSLATE(M546,""my"", ""en"")"),"415")</f>
        <v>415</v>
      </c>
      <c r="AF546" s="10" t="str">
        <f>IFERROR(__xludf.DUMMYFUNCTION("GOOGLETRANSLATE(N546,""my"", ""en"")"),"151")</f>
        <v>151</v>
      </c>
      <c r="AG546" s="10" t="str">
        <f>IFERROR(__xludf.DUMMYFUNCTION("GOOGLETRANSLATE(O546,""my"", ""en"")"),"566")</f>
        <v>566</v>
      </c>
      <c r="AH546" s="10" t="str">
        <f>IFERROR(__xludf.DUMMYFUNCTION("GOOGLETRANSLATE(P546,""my"", ""en"")"),"0.36%")</f>
        <v>0.36%</v>
      </c>
    </row>
    <row r="547" ht="22.5" customHeight="1">
      <c r="A547" s="17" t="s">
        <v>3973</v>
      </c>
      <c r="B547" s="17" t="s">
        <v>3974</v>
      </c>
      <c r="C547" s="18" t="s">
        <v>3975</v>
      </c>
      <c r="D547" s="17" t="s">
        <v>3976</v>
      </c>
      <c r="E547" s="18" t="s">
        <v>3977</v>
      </c>
      <c r="F547" s="17" t="s">
        <v>3978</v>
      </c>
      <c r="G547" s="18" t="s">
        <v>3979</v>
      </c>
      <c r="H547" s="18" t="s">
        <v>3980</v>
      </c>
      <c r="I547" s="18" t="s">
        <v>3981</v>
      </c>
      <c r="J547" s="18" t="s">
        <v>3982</v>
      </c>
      <c r="K547" s="27"/>
      <c r="L547" s="27"/>
      <c r="M547" s="18" t="s">
        <v>3983</v>
      </c>
      <c r="N547" s="18" t="s">
        <v>3984</v>
      </c>
      <c r="O547" s="18" t="s">
        <v>3985</v>
      </c>
      <c r="P547" s="27"/>
      <c r="S547" s="10" t="str">
        <f>IFERROR(__xludf.DUMMYFUNCTION("GOOGLETRANSLATE(A547,""my"", ""en"")"),"91")</f>
        <v>91</v>
      </c>
      <c r="T547" s="10" t="str">
        <f>IFERROR(__xludf.DUMMYFUNCTION("GOOGLETRANSLATE(B547,""my"", ""en"")"),"မဲဆ  No. (7)")</f>
        <v>မဲဆ  No. (7)</v>
      </c>
      <c r="U547" s="10" t="str">
        <f>IFERROR(__xludf.DUMMYFUNCTION("GOOGLETRANSLATE(C547,""my"", ""en"")"),"328381")</f>
        <v>328381</v>
      </c>
      <c r="V547" s="10" t="str">
        <f>IFERROR(__xludf.DUMMYFUNCTION("GOOGLETRANSLATE(D547,""my"", ""en"")"),"189333")</f>
        <v>189333</v>
      </c>
      <c r="W547" s="10" t="str">
        <f>IFERROR(__xludf.DUMMYFUNCTION("GOOGLETRANSLATE(E547,""my"", ""en"")"),"53887")</f>
        <v>53887</v>
      </c>
      <c r="X547" s="10" t="str">
        <f>IFERROR(__xludf.DUMMYFUNCTION("GOOGLETRANSLATE(F547,""my"", ""en"")"),"243220")</f>
        <v>243220</v>
      </c>
      <c r="Y547" s="10" t="str">
        <f>IFERROR(__xludf.DUMMYFUNCTION("GOOGLETRANSLATE(G547,""my"", ""en"")"),"74.07")</f>
        <v>74.07</v>
      </c>
      <c r="Z547" s="10" t="str">
        <f>IFERROR(__xludf.DUMMYFUNCTION("GOOGLETRANSLATE(H547,""my"", ""en"")"),"5061")</f>
        <v>5061</v>
      </c>
      <c r="AA547" s="10" t="str">
        <f>IFERROR(__xludf.DUMMYFUNCTION("GOOGLETRANSLATE(I547,""my"", ""en"")"),"238")</f>
        <v>238</v>
      </c>
      <c r="AB547" s="10" t="str">
        <f>IFERROR(__xludf.DUMMYFUNCTION("GOOGLETRANSLATE(J547,""my"", ""en"")"),"5299")</f>
        <v>5299</v>
      </c>
      <c r="AE547" s="10" t="str">
        <f>IFERROR(__xludf.DUMMYFUNCTION("GOOGLETRANSLATE(M547,""my"", ""en"")"),"184642")</f>
        <v>184642</v>
      </c>
      <c r="AF547" s="10" t="str">
        <f>IFERROR(__xludf.DUMMYFUNCTION("GOOGLETRANSLATE(N547,""my"", ""en"")"),"53279")</f>
        <v>53279</v>
      </c>
      <c r="AG547" s="10" t="str">
        <f>IFERROR(__xludf.DUMMYFUNCTION("GOOGLETRANSLATE(O547,""my"", ""en"")"),"237921")</f>
        <v>237921</v>
      </c>
    </row>
    <row r="548" ht="22.5" customHeigh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3" t="s">
        <v>3986</v>
      </c>
      <c r="L548" s="23" t="s">
        <v>3987</v>
      </c>
      <c r="M548" s="24" t="s">
        <v>3988</v>
      </c>
      <c r="N548" s="24" t="s">
        <v>3989</v>
      </c>
      <c r="O548" s="24" t="s">
        <v>3990</v>
      </c>
      <c r="P548" s="25" t="s">
        <v>3991</v>
      </c>
      <c r="AC548" s="10" t="str">
        <f>IFERROR(__xludf.DUMMYFUNCTION("GOOGLETRANSLATE(K548,""my"", ""en"")"),"Win Tint")</f>
        <v>Win Tint</v>
      </c>
      <c r="AD548" s="10" t="str">
        <f>IFERROR(__xludf.DUMMYFUNCTION("GOOGLETRANSLATE(L548,""my"", ""en"")")," Game Democracy group   Pop Party")</f>
        <v> Game Democracy group   Pop Party</v>
      </c>
      <c r="AE548" s="10" t="str">
        <f>IFERROR(__xludf.DUMMYFUNCTION("GOOGLETRANSLATE(M548,""my"", ""en"")"),"157451")</f>
        <v>157451</v>
      </c>
      <c r="AF548" s="10" t="str">
        <f>IFERROR(__xludf.DUMMYFUNCTION("GOOGLETRANSLATE(N548,""my"", ""en"")"),"43497")</f>
        <v>43497</v>
      </c>
      <c r="AG548" s="10" t="str">
        <f>IFERROR(__xludf.DUMMYFUNCTION("GOOGLETRANSLATE(O548,""my"", ""en"")"),"200948")</f>
        <v>200948</v>
      </c>
      <c r="AH548" s="10" t="str">
        <f>IFERROR(__xludf.DUMMYFUNCTION("GOOGLETRANSLATE(P548,""my"", ""en"")"),"84.46%")</f>
        <v>84.46%</v>
      </c>
    </row>
    <row r="549" ht="22.5" customHeigh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3" t="s">
        <v>3992</v>
      </c>
      <c r="L549" s="23" t="s">
        <v>3993</v>
      </c>
      <c r="M549" s="24" t="s">
        <v>3994</v>
      </c>
      <c r="N549" s="24" t="s">
        <v>3995</v>
      </c>
      <c r="O549" s="24" t="s">
        <v>3996</v>
      </c>
      <c r="P549" s="25" t="s">
        <v>3997</v>
      </c>
      <c r="AC549" s="10" t="str">
        <f>IFERROR(__xludf.DUMMYFUNCTION("GOOGLETRANSLATE(K549,""my"", ""en"")"),"Sun  Web standards ေအာင်")</f>
        <v>Sun  Web standards ေအာင်</v>
      </c>
      <c r="AD549" s="10" t="str">
        <f>IFERROR(__xludf.DUMMYFUNCTION("GOOGLETRANSLATE(L549,""my"", ""en"")"),"Local ေထာင် soap-stone strong ေရး  under development  Phil  ေရး Party")</f>
        <v>Local ေထာင် soap-stone strong ေရး  under development  Phil  ေရး Party</v>
      </c>
      <c r="AE549" s="10" t="str">
        <f>IFERROR(__xludf.DUMMYFUNCTION("GOOGLETRANSLATE(M549,""my"", ""en"")"),"22619")</f>
        <v>22619</v>
      </c>
      <c r="AF549" s="10" t="str">
        <f>IFERROR(__xludf.DUMMYFUNCTION("GOOGLETRANSLATE(N549,""my"", ""en"")"),"7360")</f>
        <v>7360</v>
      </c>
      <c r="AG549" s="10" t="str">
        <f>IFERROR(__xludf.DUMMYFUNCTION("GOOGLETRANSLATE(O549,""my"", ""en"")"),"29979")</f>
        <v>29979</v>
      </c>
      <c r="AH549" s="10" t="str">
        <f>IFERROR(__xludf.DUMMYFUNCTION("GOOGLETRANSLATE(P549,""my"", ""en"")"),"12.60%")</f>
        <v>12.60%</v>
      </c>
    </row>
    <row r="550" ht="22.5" customHeigh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3" t="s">
        <v>3998</v>
      </c>
      <c r="L550" s="23" t="s">
        <v>3999</v>
      </c>
      <c r="M550" s="24" t="s">
        <v>4000</v>
      </c>
      <c r="N550" s="24" t="s">
        <v>4001</v>
      </c>
      <c r="O550" s="24" t="s">
        <v>4002</v>
      </c>
      <c r="P550" s="25" t="s">
        <v>4003</v>
      </c>
      <c r="AC550" s="10" t="str">
        <f>IFERROR(__xludf.DUMMYFUNCTION("GOOGLETRANSLATE(K550,""my"", ""en"")")," Phil  ေဝ Tun")</f>
        <v> Phil  ေဝ Tun</v>
      </c>
      <c r="AD550" s="10" t="str">
        <f>IFERROR(__xludf.DUMMYFUNCTION("GOOGLETRANSLATE(L550,""my"", ""en"")"),"Local ေထာင် စုေ white  Game ေဆာင် Party")</f>
        <v>Local ေထာင် စုေ white  Game ေဆာင် Party</v>
      </c>
      <c r="AE550" s="10" t="str">
        <f>IFERROR(__xludf.DUMMYFUNCTION("GOOGLETRANSLATE(M550,""my"", ""en"")"),"2523")</f>
        <v>2523</v>
      </c>
      <c r="AF550" s="10" t="str">
        <f>IFERROR(__xludf.DUMMYFUNCTION("GOOGLETRANSLATE(N550,""my"", ""en"")"),"975")</f>
        <v>975</v>
      </c>
      <c r="AG550" s="10" t="str">
        <f>IFERROR(__xludf.DUMMYFUNCTION("GOOGLETRANSLATE(O550,""my"", ""en"")"),"3498")</f>
        <v>3498</v>
      </c>
      <c r="AH550" s="10" t="str">
        <f>IFERROR(__xludf.DUMMYFUNCTION("GOOGLETRANSLATE(P550,""my"", ""en"")"),"1.47%")</f>
        <v>1.47%</v>
      </c>
    </row>
    <row r="551" ht="24.0" customHeigh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3" t="s">
        <v>4004</v>
      </c>
      <c r="L551" s="23" t="s">
        <v>4005</v>
      </c>
      <c r="M551" s="24" t="s">
        <v>4006</v>
      </c>
      <c r="N551" s="24" t="s">
        <v>4007</v>
      </c>
      <c r="O551" s="24" t="s">
        <v>4008</v>
      </c>
      <c r="P551" s="25" t="s">
        <v>4009</v>
      </c>
      <c r="AC551" s="10" t="str">
        <f>IFERROR(__xludf.DUMMYFUNCTION("GOOGLETRANSLATE(K551,""my"", ""en"")"),"Tin ေရ")</f>
        <v>Tin ေရ</v>
      </c>
      <c r="AD551" s="10" t="str">
        <f>IFERROR(__xludf.DUMMYFUNCTION("GOOGLETRANSLATE(L551,""my"", ""en"")"),"Ethnic unity  working party ေရး")</f>
        <v>Ethnic unity  working party ေရး</v>
      </c>
      <c r="AE551" s="10" t="str">
        <f>IFERROR(__xludf.DUMMYFUNCTION("GOOGLETRANSLATE(M551,""my"", ""en"")"),"2049")</f>
        <v>2049</v>
      </c>
      <c r="AF551" s="10" t="str">
        <f>IFERROR(__xludf.DUMMYFUNCTION("GOOGLETRANSLATE(N551,""my"", ""en"")"),"1447")</f>
        <v>1447</v>
      </c>
      <c r="AG551" s="10" t="str">
        <f>IFERROR(__xludf.DUMMYFUNCTION("GOOGLETRANSLATE(O551,""my"", ""en"")"),"3496")</f>
        <v>3496</v>
      </c>
      <c r="AH551" s="10" t="str">
        <f>IFERROR(__xludf.DUMMYFUNCTION("GOOGLETRANSLATE(P551,""my"", ""en"")"),"1.47%")</f>
        <v>1.47%</v>
      </c>
    </row>
    <row r="552" ht="22.5" customHeight="1">
      <c r="A552" s="17" t="s">
        <v>4010</v>
      </c>
      <c r="B552" s="17" t="s">
        <v>4011</v>
      </c>
      <c r="C552" s="18" t="s">
        <v>4012</v>
      </c>
      <c r="D552" s="17" t="s">
        <v>4013</v>
      </c>
      <c r="E552" s="18" t="s">
        <v>4014</v>
      </c>
      <c r="F552" s="17" t="s">
        <v>4015</v>
      </c>
      <c r="G552" s="18" t="s">
        <v>4016</v>
      </c>
      <c r="H552" s="18" t="s">
        <v>4017</v>
      </c>
      <c r="I552" s="18" t="s">
        <v>4018</v>
      </c>
      <c r="J552" s="18" t="s">
        <v>4019</v>
      </c>
      <c r="K552" s="27"/>
      <c r="L552" s="27"/>
      <c r="M552" s="18" t="s">
        <v>4020</v>
      </c>
      <c r="N552" s="18" t="s">
        <v>4021</v>
      </c>
      <c r="O552" s="18" t="s">
        <v>4022</v>
      </c>
      <c r="P552" s="27"/>
      <c r="S552" s="10" t="str">
        <f>IFERROR(__xludf.DUMMYFUNCTION("GOOGLETRANSLATE(A552,""my"", ""en"")"),"92")</f>
        <v>92</v>
      </c>
      <c r="T552" s="10" t="str">
        <f>IFERROR(__xludf.DUMMYFUNCTION("GOOGLETRANSLATE(B552,""my"", ""en"")"),"မဲဆ  No. (8)")</f>
        <v>မဲဆ  No. (8)</v>
      </c>
      <c r="U552" s="10" t="str">
        <f>IFERROR(__xludf.DUMMYFUNCTION("GOOGLETRANSLATE(C552,""my"", ""en"")"),"242199")</f>
        <v>242199</v>
      </c>
      <c r="V552" s="10" t="str">
        <f>IFERROR(__xludf.DUMMYFUNCTION("GOOGLETRANSLATE(D552,""my"", ""en"")"),"150837")</f>
        <v>150837</v>
      </c>
      <c r="W552" s="10" t="str">
        <f>IFERROR(__xludf.DUMMYFUNCTION("GOOGLETRANSLATE(E552,""my"", ""en"")"),"37343")</f>
        <v>37343</v>
      </c>
      <c r="X552" s="10" t="str">
        <f>IFERROR(__xludf.DUMMYFUNCTION("GOOGLETRANSLATE(F552,""my"", ""en"")"),"188180")</f>
        <v>188180</v>
      </c>
      <c r="Y552" s="10" t="str">
        <f>IFERROR(__xludf.DUMMYFUNCTION("GOOGLETRANSLATE(G552,""my"", ""en"")"),"77.70")</f>
        <v>77.70</v>
      </c>
      <c r="Z552" s="10" t="str">
        <f>IFERROR(__xludf.DUMMYFUNCTION("GOOGLETRANSLATE(H552,""my"", ""en"")"),"2432")</f>
        <v>2432</v>
      </c>
      <c r="AA552" s="10" t="str">
        <f>IFERROR(__xludf.DUMMYFUNCTION("GOOGLETRANSLATE(I552,""my"", ""en"")"),"283")</f>
        <v>283</v>
      </c>
      <c r="AB552" s="10" t="str">
        <f>IFERROR(__xludf.DUMMYFUNCTION("GOOGLETRANSLATE(J552,""my"", ""en"")"),"2715")</f>
        <v>2715</v>
      </c>
      <c r="AE552" s="10" t="str">
        <f>IFERROR(__xludf.DUMMYFUNCTION("GOOGLETRANSLATE(M552,""my"", ""en"")"),"148834")</f>
        <v>148834</v>
      </c>
      <c r="AF552" s="10" t="str">
        <f>IFERROR(__xludf.DUMMYFUNCTION("GOOGLETRANSLATE(N552,""my"", ""en"")"),"36631")</f>
        <v>36631</v>
      </c>
      <c r="AG552" s="10" t="str">
        <f>IFERROR(__xludf.DUMMYFUNCTION("GOOGLETRANSLATE(O552,""my"", ""en"")"),"185465")</f>
        <v>185465</v>
      </c>
    </row>
    <row r="553" ht="22.5" customHeigh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3" t="s">
        <v>4023</v>
      </c>
      <c r="L553" s="23" t="s">
        <v>4024</v>
      </c>
      <c r="M553" s="24" t="s">
        <v>4025</v>
      </c>
      <c r="N553" s="24" t="s">
        <v>4026</v>
      </c>
      <c r="O553" s="24" t="s">
        <v>4027</v>
      </c>
      <c r="P553" s="25" t="s">
        <v>4028</v>
      </c>
      <c r="AC553" s="10" t="str">
        <f>IFERROR(__xludf.DUMMYFUNCTION("GOOGLETRANSLATE(K553,""my"", ""en"")"),"U Tint")</f>
        <v>U Tint</v>
      </c>
      <c r="AD553" s="10" t="str">
        <f>IFERROR(__xludf.DUMMYFUNCTION("GOOGLETRANSLATE(L553,""my"", ""en"")")," Game Democracy group   Pop Party")</f>
        <v> Game Democracy group   Pop Party</v>
      </c>
      <c r="AE553" s="10" t="str">
        <f>IFERROR(__xludf.DUMMYFUNCTION("GOOGLETRANSLATE(M553,""my"", ""en"")"),"120566")</f>
        <v>120566</v>
      </c>
      <c r="AF553" s="10" t="str">
        <f>IFERROR(__xludf.DUMMYFUNCTION("GOOGLETRANSLATE(N553,""my"", ""en"")"),"28047")</f>
        <v>28047</v>
      </c>
      <c r="AG553" s="10" t="str">
        <f>IFERROR(__xludf.DUMMYFUNCTION("GOOGLETRANSLATE(O553,""my"", ""en"")"),"148613")</f>
        <v>148613</v>
      </c>
      <c r="AH553" s="10" t="str">
        <f>IFERROR(__xludf.DUMMYFUNCTION("GOOGLETRANSLATE(P553,""my"", ""en"")"),"80.13%")</f>
        <v>80.13%</v>
      </c>
    </row>
    <row r="554" ht="22.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6" t="s">
        <v>4029</v>
      </c>
      <c r="L554" s="36" t="s">
        <v>4030</v>
      </c>
      <c r="M554" s="37" t="s">
        <v>4031</v>
      </c>
      <c r="N554" s="37" t="s">
        <v>4032</v>
      </c>
      <c r="O554" s="37" t="s">
        <v>4033</v>
      </c>
      <c r="P554" s="38" t="s">
        <v>4034</v>
      </c>
      <c r="AC554" s="10" t="str">
        <f>IFERROR(__xludf.DUMMYFUNCTION("GOOGLETRANSLATE(K554,""my"", ""en"")")," ကည် Tun")</f>
        <v> ကည် Tun</v>
      </c>
      <c r="AD554" s="10" t="str">
        <f>IFERROR(__xludf.DUMMYFUNCTION("GOOGLETRANSLATE(L554,""my"", ""en"")"),"Local ေထာင် soap-stone strong ေရး  under development  Phil  ေရး Party")</f>
        <v>Local ေထာင် soap-stone strong ေရး  under development  Phil  ေရး Party</v>
      </c>
      <c r="AE554" s="10" t="str">
        <f>IFERROR(__xludf.DUMMYFUNCTION("GOOGLETRANSLATE(M554,""my"", ""en"")"),"25602")</f>
        <v>25602</v>
      </c>
      <c r="AF554" s="10" t="str">
        <f>IFERROR(__xludf.DUMMYFUNCTION("GOOGLETRANSLATE(N554,""my"", ""en"")"),"7663")</f>
        <v>7663</v>
      </c>
      <c r="AG554" s="10" t="str">
        <f>IFERROR(__xludf.DUMMYFUNCTION("GOOGLETRANSLATE(O554,""my"", ""en"")"),"33265")</f>
        <v>33265</v>
      </c>
      <c r="AH554" s="10" t="str">
        <f>IFERROR(__xludf.DUMMYFUNCTION("GOOGLETRANSLATE(P554,""my"", ""en"")"),"17.94%")</f>
        <v>17.94%</v>
      </c>
    </row>
    <row r="555" ht="36.0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6" t="s">
        <v>4035</v>
      </c>
      <c r="L555" s="36" t="s">
        <v>4036</v>
      </c>
      <c r="M555" s="37" t="s">
        <v>4037</v>
      </c>
      <c r="N555" s="37" t="s">
        <v>4038</v>
      </c>
      <c r="O555" s="37" t="s">
        <v>4039</v>
      </c>
      <c r="P555" s="45" t="s">
        <v>4040</v>
      </c>
      <c r="AC555" s="10" t="str">
        <f>IFERROR(__xludf.DUMMYFUNCTION("GOOGLETRANSLATE(K555,""my"", ""en"")"),"ေဇာ (b) the court ေကျာ ေကျာ")</f>
        <v>ေဇာ (b) the court ေကျာ ေကျာ</v>
      </c>
      <c r="AD555" s="10" t="str">
        <f>IFERROR(__xludf.DUMMYFUNCTION("GOOGLETRANSLATE(L555,""my"", ""en"")"),"Local ေထာင် စုေ white  Game ေဆာင် Party")</f>
        <v>Local ေထာင် စုေ white  Game ေဆာင် Party</v>
      </c>
      <c r="AE555" s="10" t="str">
        <f>IFERROR(__xludf.DUMMYFUNCTION("GOOGLETRANSLATE(M555,""my"", ""en"")"),"1473")</f>
        <v>1473</v>
      </c>
      <c r="AF555" s="10" t="str">
        <f>IFERROR(__xludf.DUMMYFUNCTION("GOOGLETRANSLATE(N555,""my"", ""en"")"),"355")</f>
        <v>355</v>
      </c>
      <c r="AG555" s="10" t="str">
        <f>IFERROR(__xludf.DUMMYFUNCTION("GOOGLETRANSLATE(O555,""my"", ""en"")"),"1828")</f>
        <v>1828</v>
      </c>
      <c r="AH555" s="10" t="str">
        <f>IFERROR(__xludf.DUMMYFUNCTION("GOOGLETRANSLATE(P555,""my"", ""en"")"),"0.98%")</f>
        <v>0.98%</v>
      </c>
    </row>
    <row r="556" ht="25.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6" t="s">
        <v>4041</v>
      </c>
      <c r="L556" s="36" t="s">
        <v>4042</v>
      </c>
      <c r="M556" s="37" t="s">
        <v>4043</v>
      </c>
      <c r="N556" s="37" t="s">
        <v>4044</v>
      </c>
      <c r="O556" s="37" t="s">
        <v>4045</v>
      </c>
      <c r="P556" s="38" t="s">
        <v>4046</v>
      </c>
      <c r="AC556" s="10" t="str">
        <f>IFERROR(__xludf.DUMMYFUNCTION("GOOGLETRANSLATE(K556,""my"", ""en"")"),"Chan ေြ low ေအာင်")</f>
        <v>Chan ေြ low ေအာင်</v>
      </c>
      <c r="AD556" s="10" t="str">
        <f>IFERROR(__xludf.DUMMYFUNCTION("GOOGLETRANSLATE(L556,""my"", ""en"")"),"Ethnic unity  working party ေရး")</f>
        <v>Ethnic unity  working party ေရး</v>
      </c>
      <c r="AE556" s="10" t="str">
        <f>IFERROR(__xludf.DUMMYFUNCTION("GOOGLETRANSLATE(M556,""my"", ""en"")"),"1193")</f>
        <v>1193</v>
      </c>
      <c r="AF556" s="10" t="str">
        <f>IFERROR(__xludf.DUMMYFUNCTION("GOOGLETRANSLATE(N556,""my"", ""en"")"),"566")</f>
        <v>566</v>
      </c>
      <c r="AG556" s="10" t="str">
        <f>IFERROR(__xludf.DUMMYFUNCTION("GOOGLETRANSLATE(O556,""my"", ""en"")"),"1759")</f>
        <v>1759</v>
      </c>
      <c r="AH556" s="10" t="str">
        <f>IFERROR(__xludf.DUMMYFUNCTION("GOOGLETRANSLATE(P556,""my"", ""en"")"),"0.95%")</f>
        <v>0.95%</v>
      </c>
    </row>
    <row r="557" ht="27.75" customHeight="1">
      <c r="A557" s="17" t="s">
        <v>4047</v>
      </c>
      <c r="B557" s="17" t="s">
        <v>4048</v>
      </c>
      <c r="C557" s="18" t="s">
        <v>4049</v>
      </c>
      <c r="D557" s="17" t="s">
        <v>4050</v>
      </c>
      <c r="E557" s="18" t="s">
        <v>4051</v>
      </c>
      <c r="F557" s="17" t="s">
        <v>4052</v>
      </c>
      <c r="G557" s="18" t="s">
        <v>4053</v>
      </c>
      <c r="H557" s="18" t="s">
        <v>4054</v>
      </c>
      <c r="I557" s="18" t="s">
        <v>4055</v>
      </c>
      <c r="J557" s="18" t="s">
        <v>4056</v>
      </c>
      <c r="K557" s="27"/>
      <c r="L557" s="27"/>
      <c r="M557" s="18" t="s">
        <v>4057</v>
      </c>
      <c r="N557" s="18" t="s">
        <v>4058</v>
      </c>
      <c r="O557" s="18" t="s">
        <v>4059</v>
      </c>
      <c r="P557" s="27"/>
      <c r="S557" s="10" t="str">
        <f>IFERROR(__xludf.DUMMYFUNCTION("GOOGLETRANSLATE(A557,""my"", ""en"")"),"93")</f>
        <v>93</v>
      </c>
      <c r="T557" s="10" t="str">
        <f>IFERROR(__xludf.DUMMYFUNCTION("GOOGLETRANSLATE(B557,""my"", ""en"")"),"မဲဆ  No. (9)")</f>
        <v>မဲဆ  No. (9)</v>
      </c>
      <c r="U557" s="10" t="str">
        <f>IFERROR(__xludf.DUMMYFUNCTION("GOOGLETRANSLATE(C557,""my"", ""en"")"),"272692")</f>
        <v>272692</v>
      </c>
      <c r="V557" s="10" t="str">
        <f>IFERROR(__xludf.DUMMYFUNCTION("GOOGLETRANSLATE(D557,""my"", ""en"")"),"176936")</f>
        <v>176936</v>
      </c>
      <c r="W557" s="10" t="str">
        <f>IFERROR(__xludf.DUMMYFUNCTION("GOOGLETRANSLATE(E557,""my"", ""en"")"),"42512")</f>
        <v>42512</v>
      </c>
      <c r="X557" s="10" t="str">
        <f>IFERROR(__xludf.DUMMYFUNCTION("GOOGLETRANSLATE(F557,""my"", ""en"")"),"219448")</f>
        <v>219448</v>
      </c>
      <c r="Y557" s="10" t="str">
        <f>IFERROR(__xludf.DUMMYFUNCTION("GOOGLETRANSLATE(G557,""my"", ""en"")"),"80.47")</f>
        <v>80.47</v>
      </c>
      <c r="Z557" s="10" t="str">
        <f>IFERROR(__xludf.DUMMYFUNCTION("GOOGLETRANSLATE(H557,""my"", ""en"")"),"4161")</f>
        <v>4161</v>
      </c>
      <c r="AA557" s="10" t="str">
        <f>IFERROR(__xludf.DUMMYFUNCTION("GOOGLETRANSLATE(I557,""my"", ""en"")"),"455")</f>
        <v>455</v>
      </c>
      <c r="AB557" s="10" t="str">
        <f>IFERROR(__xludf.DUMMYFUNCTION("GOOGLETRANSLATE(J557,""my"", ""en"")"),"4616")</f>
        <v>4616</v>
      </c>
      <c r="AE557" s="10" t="str">
        <f>IFERROR(__xludf.DUMMYFUNCTION("GOOGLETRANSLATE(M557,""my"", ""en"")"),"173350")</f>
        <v>173350</v>
      </c>
      <c r="AF557" s="10" t="str">
        <f>IFERROR(__xludf.DUMMYFUNCTION("GOOGLETRANSLATE(N557,""my"", ""en"")"),"41482")</f>
        <v>41482</v>
      </c>
      <c r="AG557" s="10" t="str">
        <f>IFERROR(__xludf.DUMMYFUNCTION("GOOGLETRANSLATE(O557,""my"", ""en"")"),"214832")</f>
        <v>214832</v>
      </c>
    </row>
    <row r="558" ht="27.0" customHeigh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9" t="s">
        <v>4060</v>
      </c>
      <c r="L558" s="23" t="s">
        <v>4061</v>
      </c>
      <c r="M558" s="24" t="s">
        <v>4062</v>
      </c>
      <c r="N558" s="24" t="s">
        <v>4063</v>
      </c>
      <c r="O558" s="24" t="s">
        <v>4064</v>
      </c>
      <c r="P558" s="25" t="s">
        <v>4065</v>
      </c>
      <c r="AC558" s="10" t="str">
        <f>IFERROR(__xludf.DUMMYFUNCTION("GOOGLETRANSLATE(K558,""my"", ""en"")"),"ေဒါက် ေမာင် Tun")</f>
        <v>ေဒါက် ေမာင် Tun</v>
      </c>
      <c r="AD558" s="10" t="str">
        <f>IFERROR(__xludf.DUMMYFUNCTION("GOOGLETRANSLATE(L558,""my"", ""en"")")," Game Democracy group   Pop Party")</f>
        <v> Game Democracy group   Pop Party</v>
      </c>
      <c r="AE558" s="10" t="str">
        <f>IFERROR(__xludf.DUMMYFUNCTION("GOOGLETRANSLATE(M558,""my"", ""en"")"),"130258")</f>
        <v>130258</v>
      </c>
      <c r="AF558" s="10" t="str">
        <f>IFERROR(__xludf.DUMMYFUNCTION("GOOGLETRANSLATE(N558,""my"", ""en"")"),"29309")</f>
        <v>29309</v>
      </c>
      <c r="AG558" s="10" t="str">
        <f>IFERROR(__xludf.DUMMYFUNCTION("GOOGLETRANSLATE(O558,""my"", ""en"")"),"159567")</f>
        <v>159567</v>
      </c>
      <c r="AH558" s="10" t="str">
        <f>IFERROR(__xludf.DUMMYFUNCTION("GOOGLETRANSLATE(P558,""my"", ""en"")"),"74.27%")</f>
        <v>74.27%</v>
      </c>
    </row>
    <row r="559" ht="25.5" customHeigh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3" t="s">
        <v>4066</v>
      </c>
      <c r="L559" s="23" t="s">
        <v>4067</v>
      </c>
      <c r="M559" s="24" t="s">
        <v>4068</v>
      </c>
      <c r="N559" s="24" t="s">
        <v>4069</v>
      </c>
      <c r="O559" s="24" t="s">
        <v>4070</v>
      </c>
      <c r="P559" s="25" t="s">
        <v>4071</v>
      </c>
      <c r="AC559" s="10" t="str">
        <f>IFERROR(__xludf.DUMMYFUNCTION("GOOGLETRANSLATE(K559,""my"", ""en"")"),"Win  ")</f>
        <v>Win  </v>
      </c>
      <c r="AD559" s="10" t="str">
        <f>IFERROR(__xludf.DUMMYFUNCTION("GOOGLETRANSLATE(L559,""my"", ""en"")"),"Local ေထာင် soap-stone strong ေရး  under development  Phil  ေရး Party")</f>
        <v>Local ေထာင် soap-stone strong ေရး  under development  Phil  ေရး Party</v>
      </c>
      <c r="AE559" s="10" t="str">
        <f>IFERROR(__xludf.DUMMYFUNCTION("GOOGLETRANSLATE(M559,""my"", ""en"")"),"39095")</f>
        <v>39095</v>
      </c>
      <c r="AF559" s="10" t="str">
        <f>IFERROR(__xludf.DUMMYFUNCTION("GOOGLETRANSLATE(N559,""my"", ""en"")"),"10592")</f>
        <v>10592</v>
      </c>
      <c r="AG559" s="10" t="str">
        <f>IFERROR(__xludf.DUMMYFUNCTION("GOOGLETRANSLATE(O559,""my"", ""en"")"),"49687")</f>
        <v>49687</v>
      </c>
      <c r="AH559" s="10" t="str">
        <f>IFERROR(__xludf.DUMMYFUNCTION("GOOGLETRANSLATE(P559,""my"", ""en"")"),"23.13%")</f>
        <v>23.13%</v>
      </c>
    </row>
    <row r="560" ht="40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32" t="s">
        <v>4072</v>
      </c>
      <c r="L560" s="23" t="s">
        <v>4073</v>
      </c>
      <c r="M560" s="33" t="s">
        <v>4074</v>
      </c>
      <c r="N560" s="33" t="s">
        <v>4075</v>
      </c>
      <c r="O560" s="33" t="s">
        <v>4076</v>
      </c>
      <c r="P560" s="31" t="s">
        <v>4077</v>
      </c>
      <c r="AC560" s="10" t="str">
        <f>IFERROR(__xludf.DUMMYFUNCTION("GOOGLETRANSLATE(K560,""my"", ""en"")"),"ေကျာ Win ")</f>
        <v>ေကျာ Win </v>
      </c>
      <c r="AD560" s="10" t="str">
        <f>IFERROR(__xludf.DUMMYFUNCTION("GOOGLETRANSLATE(L560,""my"", ""en"")"),"Burma  treated ငံေ တာင် Farmer Development  increased Phil  ေရး Party")</f>
        <v>Burma  treated ငံေ တာင် Farmer Development  increased Phil  ေရး Party</v>
      </c>
      <c r="AE560" s="10" t="str">
        <f>IFERROR(__xludf.DUMMYFUNCTION("GOOGLETRANSLATE(M560,""my"", ""en"")"),"1988")</f>
        <v>1988</v>
      </c>
      <c r="AF560" s="10" t="str">
        <f>IFERROR(__xludf.DUMMYFUNCTION("GOOGLETRANSLATE(N560,""my"", ""en"")"),"782")</f>
        <v>782</v>
      </c>
      <c r="AG560" s="10" t="str">
        <f>IFERROR(__xludf.DUMMYFUNCTION("GOOGLETRANSLATE(O560,""my"", ""en"")"),"2770")</f>
        <v>2770</v>
      </c>
      <c r="AH560" s="10" t="str">
        <f>IFERROR(__xludf.DUMMYFUNCTION("GOOGLETRANSLATE(P560,""my"", ""en"")"),"1.29%")</f>
        <v>1.29%</v>
      </c>
    </row>
    <row r="561" ht="25.5" customHeigh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3" t="s">
        <v>4078</v>
      </c>
      <c r="L561" s="23" t="s">
        <v>4079</v>
      </c>
      <c r="M561" s="24" t="s">
        <v>4080</v>
      </c>
      <c r="N561" s="24" t="s">
        <v>4081</v>
      </c>
      <c r="O561" s="24" t="s">
        <v>4082</v>
      </c>
      <c r="P561" s="25" t="s">
        <v>4083</v>
      </c>
      <c r="AC561" s="10" t="str">
        <f>IFERROR(__xludf.DUMMYFUNCTION("GOOGLETRANSLATE(K561,""my"", ""en"")")," over ကည်")</f>
        <v> over ကည်</v>
      </c>
      <c r="AD561" s="10" t="str">
        <f>IFERROR(__xludf.DUMMYFUNCTION("GOOGLETRANSLATE(L561,""my"", ""en"")"),"Local ေထာင် စုေ white  Game ေဆာင် Party")</f>
        <v>Local ေထာင် စုေ white  Game ေဆာင် Party</v>
      </c>
      <c r="AE561" s="10" t="str">
        <f>IFERROR(__xludf.DUMMYFUNCTION("GOOGLETRANSLATE(M561,""my"", ""en"")"),"1496")</f>
        <v>1496</v>
      </c>
      <c r="AF561" s="10" t="str">
        <f>IFERROR(__xludf.DUMMYFUNCTION("GOOGLETRANSLATE(N561,""my"", ""en"")"),"569")</f>
        <v>569</v>
      </c>
      <c r="AG561" s="10" t="str">
        <f>IFERROR(__xludf.DUMMYFUNCTION("GOOGLETRANSLATE(O561,""my"", ""en"")"),"2065")</f>
        <v>2065</v>
      </c>
      <c r="AH561" s="10" t="str">
        <f>IFERROR(__xludf.DUMMYFUNCTION("GOOGLETRANSLATE(P561,""my"", ""en"")"),"0.96%")</f>
        <v>0.96%</v>
      </c>
    </row>
    <row r="562" ht="25.5" customHeigh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3" t="s">
        <v>4084</v>
      </c>
      <c r="L562" s="23" t="s">
        <v>4085</v>
      </c>
      <c r="M562" s="24" t="s">
        <v>4086</v>
      </c>
      <c r="N562" s="24" t="s">
        <v>4087</v>
      </c>
      <c r="O562" s="24" t="s">
        <v>4088</v>
      </c>
      <c r="P562" s="25" t="s">
        <v>4089</v>
      </c>
      <c r="AC562" s="10" t="str">
        <f>IFERROR(__xludf.DUMMYFUNCTION("GOOGLETRANSLATE(K562,""my"", ""en"")"),"ဟန်လင်းထွန်း")</f>
        <v>ဟန်လင်းထွန်း</v>
      </c>
      <c r="AD562" s="10" t="str">
        <f>IFERROR(__xludf.DUMMYFUNCTION("GOOGLETRANSLATE(L562,""my"", ""en"")"),"ပည်သူ Party")</f>
        <v>ပည်သူ Party</v>
      </c>
      <c r="AE562" s="10" t="str">
        <f>IFERROR(__xludf.DUMMYFUNCTION("GOOGLETRANSLATE(M562,""my"", ""en"")"),"513")</f>
        <v>513</v>
      </c>
      <c r="AF562" s="10" t="str">
        <f>IFERROR(__xludf.DUMMYFUNCTION("GOOGLETRANSLATE(N562,""my"", ""en"")"),"230")</f>
        <v>230</v>
      </c>
      <c r="AG562" s="10" t="str">
        <f>IFERROR(__xludf.DUMMYFUNCTION("GOOGLETRANSLATE(O562,""my"", ""en"")"),"743")</f>
        <v>743</v>
      </c>
      <c r="AH562" s="10" t="str">
        <f>IFERROR(__xludf.DUMMYFUNCTION("GOOGLETRANSLATE(P562,""my"", ""en"")"),"0.35%")</f>
        <v>0.35%</v>
      </c>
    </row>
    <row r="563" ht="25.5" customHeight="1">
      <c r="A563" s="17" t="s">
        <v>4090</v>
      </c>
      <c r="B563" s="17" t="s">
        <v>4091</v>
      </c>
      <c r="C563" s="18" t="s">
        <v>4092</v>
      </c>
      <c r="D563" s="17" t="s">
        <v>4093</v>
      </c>
      <c r="E563" s="18" t="s">
        <v>4094</v>
      </c>
      <c r="F563" s="17" t="s">
        <v>4095</v>
      </c>
      <c r="G563" s="18" t="s">
        <v>4096</v>
      </c>
      <c r="H563" s="18" t="s">
        <v>4097</v>
      </c>
      <c r="I563" s="18" t="s">
        <v>4098</v>
      </c>
      <c r="J563" s="18" t="s">
        <v>4099</v>
      </c>
      <c r="K563" s="27"/>
      <c r="L563" s="27"/>
      <c r="M563" s="18" t="s">
        <v>4100</v>
      </c>
      <c r="N563" s="18" t="s">
        <v>4101</v>
      </c>
      <c r="O563" s="18" t="s">
        <v>4102</v>
      </c>
      <c r="P563" s="27"/>
      <c r="S563" s="10" t="str">
        <f>IFERROR(__xludf.DUMMYFUNCTION("GOOGLETRANSLATE(A563,""my"", ""en"")"),"94")</f>
        <v>94</v>
      </c>
      <c r="T563" s="10" t="str">
        <f>IFERROR(__xludf.DUMMYFUNCTION("GOOGLETRANSLATE(B563,""my"", ""en"")"),"မဲဆ  No. (10)")</f>
        <v>မဲဆ  No. (10)</v>
      </c>
      <c r="U563" s="10" t="str">
        <f>IFERROR(__xludf.DUMMYFUNCTION("GOOGLETRANSLATE(C563,""my"", ""en"")"),"279928")</f>
        <v>279928</v>
      </c>
      <c r="V563" s="10" t="str">
        <f>IFERROR(__xludf.DUMMYFUNCTION("GOOGLETRANSLATE(D563,""my"", ""en"")"),"180560")</f>
        <v>180560</v>
      </c>
      <c r="W563" s="10" t="str">
        <f>IFERROR(__xludf.DUMMYFUNCTION("GOOGLETRANSLATE(E563,""my"", ""en"")"),"43786")</f>
        <v>43786</v>
      </c>
      <c r="X563" s="10" t="str">
        <f>IFERROR(__xludf.DUMMYFUNCTION("GOOGLETRANSLATE(F563,""my"", ""en"")"),"224346")</f>
        <v>224346</v>
      </c>
      <c r="Y563" s="10" t="str">
        <f>IFERROR(__xludf.DUMMYFUNCTION("GOOGLETRANSLATE(G563,""my"", ""en"")"),"80.14")</f>
        <v>80.14</v>
      </c>
      <c r="Z563" s="10" t="str">
        <f>IFERROR(__xludf.DUMMYFUNCTION("GOOGLETRANSLATE(H563,""my"", ""en"")"),"3418")</f>
        <v>3418</v>
      </c>
      <c r="AA563" s="10" t="str">
        <f>IFERROR(__xludf.DUMMYFUNCTION("GOOGLETRANSLATE(I563,""my"", ""en"")"),"121")</f>
        <v>121</v>
      </c>
      <c r="AB563" s="10" t="str">
        <f>IFERROR(__xludf.DUMMYFUNCTION("GOOGLETRANSLATE(J563,""my"", ""en"")"),"3539")</f>
        <v>3539</v>
      </c>
      <c r="AE563" s="10" t="str">
        <f>IFERROR(__xludf.DUMMYFUNCTION("GOOGLETRANSLATE(M563,""my"", ""en"")"),"178110")</f>
        <v>178110</v>
      </c>
      <c r="AF563" s="10" t="str">
        <f>IFERROR(__xludf.DUMMYFUNCTION("GOOGLETRANSLATE(N563,""my"", ""en"")"),"42697")</f>
        <v>42697</v>
      </c>
      <c r="AG563" s="10" t="str">
        <f>IFERROR(__xludf.DUMMYFUNCTION("GOOGLETRANSLATE(O563,""my"", ""en"")"),"220807")</f>
        <v>220807</v>
      </c>
    </row>
    <row r="564" ht="24.75" customHeigh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3" t="s">
        <v>4103</v>
      </c>
      <c r="L564" s="23" t="s">
        <v>4104</v>
      </c>
      <c r="M564" s="24" t="s">
        <v>4105</v>
      </c>
      <c r="N564" s="24" t="s">
        <v>4106</v>
      </c>
      <c r="O564" s="24" t="s">
        <v>4107</v>
      </c>
      <c r="P564" s="25" t="s">
        <v>4108</v>
      </c>
      <c r="AC564" s="10" t="str">
        <f>IFERROR(__xludf.DUMMYFUNCTION("GOOGLETRANSLATE(K564,""my"", ""en"")"),"ေဒ  ")</f>
        <v>ေဒ  </v>
      </c>
      <c r="AD564" s="10" t="str">
        <f>IFERROR(__xludf.DUMMYFUNCTION("GOOGLETRANSLATE(L564,""my"", ""en"")")," Game Democracy group   Pop Party")</f>
        <v> Game Democracy group   Pop Party</v>
      </c>
      <c r="AE564" s="10" t="str">
        <f>IFERROR(__xludf.DUMMYFUNCTION("GOOGLETRANSLATE(M564,""my"", ""en"")"),"137970")</f>
        <v>137970</v>
      </c>
      <c r="AF564" s="10" t="str">
        <f>IFERROR(__xludf.DUMMYFUNCTION("GOOGLETRANSLATE(N564,""my"", ""en"")"),"31154")</f>
        <v>31154</v>
      </c>
      <c r="AG564" s="10" t="str">
        <f>IFERROR(__xludf.DUMMYFUNCTION("GOOGLETRANSLATE(O564,""my"", ""en"")"),"169124")</f>
        <v>169124</v>
      </c>
      <c r="AH564" s="10" t="str">
        <f>IFERROR(__xludf.DUMMYFUNCTION("GOOGLETRANSLATE(P564,""my"", ""en"")"),"76.59%")</f>
        <v>76.59%</v>
      </c>
    </row>
    <row r="565" ht="24.75" customHeigh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3" t="s">
        <v>4109</v>
      </c>
      <c r="L565" s="23" t="s">
        <v>4110</v>
      </c>
      <c r="M565" s="24" t="s">
        <v>4111</v>
      </c>
      <c r="N565" s="24" t="s">
        <v>4112</v>
      </c>
      <c r="O565" s="24" t="s">
        <v>4113</v>
      </c>
      <c r="P565" s="25" t="s">
        <v>4114</v>
      </c>
      <c r="AC565" s="10" t="str">
        <f>IFERROR(__xludf.DUMMYFUNCTION("GOOGLETRANSLATE(K565,""my"", ""en"")"),"ေကျာ")</f>
        <v>ေကျာ</v>
      </c>
      <c r="AD565" s="10" t="str">
        <f>IFERROR(__xludf.DUMMYFUNCTION("GOOGLETRANSLATE(L565,""my"", ""en"")"),"Local ေထာင် soap-stone strong ေရး  under development  Phil  ေရး Party")</f>
        <v>Local ေထာင် soap-stone strong ေရး  under development  Phil  ေရး Party</v>
      </c>
      <c r="AE565" s="10" t="str">
        <f>IFERROR(__xludf.DUMMYFUNCTION("GOOGLETRANSLATE(M565,""my"", ""en"")"),"39228")</f>
        <v>39228</v>
      </c>
      <c r="AF565" s="10" t="str">
        <f>IFERROR(__xludf.DUMMYFUNCTION("GOOGLETRANSLATE(N565,""my"", ""en"")"),"11125")</f>
        <v>11125</v>
      </c>
      <c r="AG565" s="10" t="str">
        <f>IFERROR(__xludf.DUMMYFUNCTION("GOOGLETRANSLATE(O565,""my"", ""en"")"),"50353")</f>
        <v>50353</v>
      </c>
      <c r="AH565" s="10" t="str">
        <f>IFERROR(__xludf.DUMMYFUNCTION("GOOGLETRANSLATE(P565,""my"", ""en"")"),"22.81%")</f>
        <v>22.81%</v>
      </c>
    </row>
    <row r="566" ht="25.5" customHeigh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3" t="s">
        <v>4115</v>
      </c>
      <c r="L566" s="23" t="s">
        <v>4116</v>
      </c>
      <c r="M566" s="24" t="s">
        <v>4117</v>
      </c>
      <c r="N566" s="24" t="s">
        <v>4118</v>
      </c>
      <c r="O566" s="24" t="s">
        <v>4119</v>
      </c>
      <c r="P566" s="25" t="s">
        <v>4120</v>
      </c>
      <c r="AC566" s="10" t="str">
        <f>IFERROR(__xludf.DUMMYFUNCTION("GOOGLETRANSLATE(K566,""my"", ""en"")"),"O ")</f>
        <v>O </v>
      </c>
      <c r="AD566" s="10" t="str">
        <f>IFERROR(__xludf.DUMMYFUNCTION("GOOGLETRANSLATE(L566,""my"", ""en"")"),"Local ေထာင် စုေ white  Game ေဆာင် Party")</f>
        <v>Local ေထာင် စုေ white  Game ေဆာင် Party</v>
      </c>
      <c r="AE566" s="10" t="str">
        <f>IFERROR(__xludf.DUMMYFUNCTION("GOOGLETRANSLATE(M566,""my"", ""en"")"),"912")</f>
        <v>912</v>
      </c>
      <c r="AF566" s="10" t="str">
        <f>IFERROR(__xludf.DUMMYFUNCTION("GOOGLETRANSLATE(N566,""my"", ""en"")"),"418")</f>
        <v>418</v>
      </c>
      <c r="AG566" s="10" t="str">
        <f>IFERROR(__xludf.DUMMYFUNCTION("GOOGLETRANSLATE(O566,""my"", ""en"")"),"1330")</f>
        <v>1330</v>
      </c>
      <c r="AH566" s="10" t="str">
        <f>IFERROR(__xludf.DUMMYFUNCTION("GOOGLETRANSLATE(P566,""my"", ""en"")"),"0.60%")</f>
        <v>0.60%</v>
      </c>
    </row>
    <row r="567" ht="28.5" customHeight="1">
      <c r="A567" s="17" t="s">
        <v>4121</v>
      </c>
      <c r="B567" s="17" t="s">
        <v>4122</v>
      </c>
      <c r="C567" s="18" t="s">
        <v>4123</v>
      </c>
      <c r="D567" s="17" t="s">
        <v>4124</v>
      </c>
      <c r="E567" s="18" t="s">
        <v>4125</v>
      </c>
      <c r="F567" s="17" t="s">
        <v>4126</v>
      </c>
      <c r="G567" s="18" t="s">
        <v>4127</v>
      </c>
      <c r="H567" s="18" t="s">
        <v>4128</v>
      </c>
      <c r="I567" s="18" t="s">
        <v>4129</v>
      </c>
      <c r="J567" s="18" t="s">
        <v>4130</v>
      </c>
      <c r="K567" s="27"/>
      <c r="L567" s="27"/>
      <c r="M567" s="18" t="s">
        <v>4131</v>
      </c>
      <c r="N567" s="18" t="s">
        <v>4132</v>
      </c>
      <c r="O567" s="18" t="s">
        <v>4133</v>
      </c>
      <c r="P567" s="27"/>
      <c r="S567" s="10" t="str">
        <f>IFERROR(__xludf.DUMMYFUNCTION("GOOGLETRANSLATE(A567,""my"", ""en"")"),"95")</f>
        <v>95</v>
      </c>
      <c r="T567" s="10" t="str">
        <f>IFERROR(__xludf.DUMMYFUNCTION("GOOGLETRANSLATE(B567,""my"", ""en"")"),"မဲဆ  No. (11)")</f>
        <v>မဲဆ  No. (11)</v>
      </c>
      <c r="U567" s="10" t="str">
        <f>IFERROR(__xludf.DUMMYFUNCTION("GOOGLETRANSLATE(C567,""my"", ""en"")"),"298019")</f>
        <v>298019</v>
      </c>
      <c r="V567" s="10" t="str">
        <f>IFERROR(__xludf.DUMMYFUNCTION("GOOGLETRANSLATE(D567,""my"", ""en"")"),"175549")</f>
        <v>175549</v>
      </c>
      <c r="W567" s="10" t="str">
        <f>IFERROR(__xludf.DUMMYFUNCTION("GOOGLETRANSLATE(E567,""my"", ""en"")"),"62752")</f>
        <v>62752</v>
      </c>
      <c r="X567" s="10" t="str">
        <f>IFERROR(__xludf.DUMMYFUNCTION("GOOGLETRANSLATE(F567,""my"", ""en"")"),"238301")</f>
        <v>238301</v>
      </c>
      <c r="Y567" s="10" t="str">
        <f>IFERROR(__xludf.DUMMYFUNCTION("GOOGLETRANSLATE(G567,""my"", ""en"")"),"79.96")</f>
        <v>79.96</v>
      </c>
      <c r="Z567" s="10" t="str">
        <f>IFERROR(__xludf.DUMMYFUNCTION("GOOGLETRANSLATE(H567,""my"", ""en"")"),"5272")</f>
        <v>5272</v>
      </c>
      <c r="AA567" s="10" t="str">
        <f>IFERROR(__xludf.DUMMYFUNCTION("GOOGLETRANSLATE(I567,""my"", ""en"")"),"202")</f>
        <v>202</v>
      </c>
      <c r="AB567" s="10" t="str">
        <f>IFERROR(__xludf.DUMMYFUNCTION("GOOGLETRANSLATE(J567,""my"", ""en"")"),"5474")</f>
        <v>5474</v>
      </c>
      <c r="AE567" s="10" t="str">
        <f>IFERROR(__xludf.DUMMYFUNCTION("GOOGLETRANSLATE(M567,""my"", ""en"")"),"171561")</f>
        <v>171561</v>
      </c>
      <c r="AF567" s="10" t="str">
        <f>IFERROR(__xludf.DUMMYFUNCTION("GOOGLETRANSLATE(N567,""my"", ""en"")"),"61266")</f>
        <v>61266</v>
      </c>
      <c r="AG567" s="10" t="str">
        <f>IFERROR(__xludf.DUMMYFUNCTION("GOOGLETRANSLATE(O567,""my"", ""en"")"),"232827")</f>
        <v>232827</v>
      </c>
    </row>
    <row r="568" ht="24.0" customHeigh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3" t="s">
        <v>4134</v>
      </c>
      <c r="L568" s="23" t="s">
        <v>4135</v>
      </c>
      <c r="M568" s="24" t="s">
        <v>4136</v>
      </c>
      <c r="N568" s="24" t="s">
        <v>4137</v>
      </c>
      <c r="O568" s="24" t="s">
        <v>4138</v>
      </c>
      <c r="P568" s="25" t="s">
        <v>4139</v>
      </c>
      <c r="AC568" s="10" t="str">
        <f>IFERROR(__xludf.DUMMYFUNCTION("GOOGLETRANSLATE(K568,""my"", ""en"")"),"ေဒ  million ေအး")</f>
        <v>ေဒ  million ေအး</v>
      </c>
      <c r="AD568" s="10" t="str">
        <f>IFERROR(__xludf.DUMMYFUNCTION("GOOGLETRANSLATE(L568,""my"", ""en"")")," Game Democracy group   Pop Party")</f>
        <v> Game Democracy group   Pop Party</v>
      </c>
      <c r="AE568" s="10" t="str">
        <f>IFERROR(__xludf.DUMMYFUNCTION("GOOGLETRANSLATE(M568,""my"", ""en"")"),"118619")</f>
        <v>118619</v>
      </c>
      <c r="AF568" s="10" t="str">
        <f>IFERROR(__xludf.DUMMYFUNCTION("GOOGLETRANSLATE(N568,""my"", ""en"")"),"39716")</f>
        <v>39716</v>
      </c>
      <c r="AG568" s="10" t="str">
        <f>IFERROR(__xludf.DUMMYFUNCTION("GOOGLETRANSLATE(O568,""my"", ""en"")"),"158335")</f>
        <v>158335</v>
      </c>
      <c r="AH568" s="10" t="str">
        <f>IFERROR(__xludf.DUMMYFUNCTION("GOOGLETRANSLATE(P568,""my"", ""en"")"),"68.00%")</f>
        <v>68.00%</v>
      </c>
    </row>
    <row r="569" ht="24.0" customHeigh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3" t="s">
        <v>4140</v>
      </c>
      <c r="L569" s="23" t="s">
        <v>4141</v>
      </c>
      <c r="M569" s="24" t="s">
        <v>4142</v>
      </c>
      <c r="N569" s="24" t="s">
        <v>4143</v>
      </c>
      <c r="O569" s="24" t="s">
        <v>4144</v>
      </c>
      <c r="P569" s="25" t="s">
        <v>4145</v>
      </c>
      <c r="AC569" s="10" t="str">
        <f>IFERROR(__xludf.DUMMYFUNCTION("GOOGLETRANSLATE(K569,""my"", ""en"")"),"Khin million ေမာင်")</f>
        <v>Khin million ေမာင်</v>
      </c>
      <c r="AD569" s="10" t="str">
        <f>IFERROR(__xludf.DUMMYFUNCTION("GOOGLETRANSLATE(L569,""my"", ""en"")"),"Local ေထာင် soap-stone strong ေရး  under development  Phil  ေရး Party")</f>
        <v>Local ေထာင် soap-stone strong ေရး  under development  Phil  ေရး Party</v>
      </c>
      <c r="AE569" s="10" t="str">
        <f>IFERROR(__xludf.DUMMYFUNCTION("GOOGLETRANSLATE(M569,""my"", ""en"")"),"50419")</f>
        <v>50419</v>
      </c>
      <c r="AF569" s="10" t="str">
        <f>IFERROR(__xludf.DUMMYFUNCTION("GOOGLETRANSLATE(N569,""my"", ""en"")"),"19863")</f>
        <v>19863</v>
      </c>
      <c r="AG569" s="10" t="str">
        <f>IFERROR(__xludf.DUMMYFUNCTION("GOOGLETRANSLATE(O569,""my"", ""en"")"),"70282")</f>
        <v>70282</v>
      </c>
      <c r="AH569" s="10" t="str">
        <f>IFERROR(__xludf.DUMMYFUNCTION("GOOGLETRANSLATE(P569,""my"", ""en"")"),"30.19%")</f>
        <v>30.19%</v>
      </c>
    </row>
    <row r="570" ht="24.0" customHeigh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3" t="s">
        <v>4146</v>
      </c>
      <c r="L570" s="23" t="s">
        <v>4147</v>
      </c>
      <c r="M570" s="24" t="s">
        <v>4148</v>
      </c>
      <c r="N570" s="24" t="s">
        <v>4149</v>
      </c>
      <c r="O570" s="24" t="s">
        <v>4150</v>
      </c>
      <c r="P570" s="25" t="s">
        <v>4151</v>
      </c>
      <c r="AC570" s="10" t="str">
        <f>IFERROR(__xludf.DUMMYFUNCTION("GOOGLETRANSLATE(K570,""my"", ""en"")"),"Soe")</f>
        <v>Soe</v>
      </c>
      <c r="AD570" s="10" t="str">
        <f>IFERROR(__xludf.DUMMYFUNCTION("GOOGLETRANSLATE(L570,""my"", ""en"")"),"Local ေထာင် စုေ white  Game ေဆာင် Party")</f>
        <v>Local ေထာင် စုေ white  Game ေဆာင် Party</v>
      </c>
      <c r="AE570" s="10" t="str">
        <f>IFERROR(__xludf.DUMMYFUNCTION("GOOGLETRANSLATE(M570,""my"", ""en"")"),"2523")</f>
        <v>2523</v>
      </c>
      <c r="AF570" s="10" t="str">
        <f>IFERROR(__xludf.DUMMYFUNCTION("GOOGLETRANSLATE(N570,""my"", ""en"")"),"1687")</f>
        <v>1687</v>
      </c>
      <c r="AG570" s="10" t="str">
        <f>IFERROR(__xludf.DUMMYFUNCTION("GOOGLETRANSLATE(O570,""my"", ""en"")"),"4210")</f>
        <v>4210</v>
      </c>
      <c r="AH570" s="10" t="str">
        <f>IFERROR(__xludf.DUMMYFUNCTION("GOOGLETRANSLATE(P570,""my"", ""en"")"),"1.81%")</f>
        <v>1.81%</v>
      </c>
    </row>
    <row r="571" ht="27.0" customHeight="1">
      <c r="A571" s="17" t="s">
        <v>4152</v>
      </c>
      <c r="B571" s="17" t="s">
        <v>4153</v>
      </c>
      <c r="C571" s="18" t="s">
        <v>4154</v>
      </c>
      <c r="D571" s="17" t="s">
        <v>4155</v>
      </c>
      <c r="E571" s="18" t="s">
        <v>4156</v>
      </c>
      <c r="F571" s="17" t="s">
        <v>4157</v>
      </c>
      <c r="G571" s="18" t="s">
        <v>4158</v>
      </c>
      <c r="H571" s="18" t="s">
        <v>4159</v>
      </c>
      <c r="I571" s="18" t="s">
        <v>4160</v>
      </c>
      <c r="J571" s="18" t="s">
        <v>4161</v>
      </c>
      <c r="K571" s="27"/>
      <c r="L571" s="27"/>
      <c r="M571" s="18" t="s">
        <v>4162</v>
      </c>
      <c r="N571" s="18" t="s">
        <v>4163</v>
      </c>
      <c r="O571" s="18" t="s">
        <v>4164</v>
      </c>
      <c r="P571" s="27"/>
      <c r="S571" s="10" t="str">
        <f>IFERROR(__xludf.DUMMYFUNCTION("GOOGLETRANSLATE(A571,""my"", ""en"")"),"96")</f>
        <v>96</v>
      </c>
      <c r="T571" s="10" t="str">
        <f>IFERROR(__xludf.DUMMYFUNCTION("GOOGLETRANSLATE(B571,""my"", ""en"")"),"မဲဆ  No. (12)")</f>
        <v>မဲဆ  No. (12)</v>
      </c>
      <c r="U571" s="10" t="str">
        <f>IFERROR(__xludf.DUMMYFUNCTION("GOOGLETRANSLATE(C571,""my"", ""en"")"),"284623")</f>
        <v>284623</v>
      </c>
      <c r="V571" s="10" t="str">
        <f>IFERROR(__xludf.DUMMYFUNCTION("GOOGLETRANSLATE(D571,""my"", ""en"")"),"176296")</f>
        <v>176296</v>
      </c>
      <c r="W571" s="10" t="str">
        <f>IFERROR(__xludf.DUMMYFUNCTION("GOOGLETRANSLATE(E571,""my"", ""en"")"),"42617")</f>
        <v>42617</v>
      </c>
      <c r="X571" s="10" t="str">
        <f>IFERROR(__xludf.DUMMYFUNCTION("GOOGLETRANSLATE(F571,""my"", ""en"")"),"218913")</f>
        <v>218913</v>
      </c>
      <c r="Y571" s="10" t="str">
        <f>IFERROR(__xludf.DUMMYFUNCTION("GOOGLETRANSLATE(G571,""my"", ""en"")"),"76.91")</f>
        <v>76.91</v>
      </c>
      <c r="Z571" s="10" t="str">
        <f>IFERROR(__xludf.DUMMYFUNCTION("GOOGLETRANSLATE(H571,""my"", ""en"")"),"7441")</f>
        <v>7441</v>
      </c>
      <c r="AA571" s="10" t="str">
        <f>IFERROR(__xludf.DUMMYFUNCTION("GOOGLETRANSLATE(I571,""my"", ""en"")"),"91")</f>
        <v>91</v>
      </c>
      <c r="AB571" s="10" t="str">
        <f>IFERROR(__xludf.DUMMYFUNCTION("GOOGLETRANSLATE(J571,""my"", ""en"")"),"7532")</f>
        <v>7532</v>
      </c>
      <c r="AE571" s="10" t="str">
        <f>IFERROR(__xludf.DUMMYFUNCTION("GOOGLETRANSLATE(M571,""my"", ""en"")"),"169423")</f>
        <v>169423</v>
      </c>
      <c r="AF571" s="10" t="str">
        <f>IFERROR(__xludf.DUMMYFUNCTION("GOOGLETRANSLATE(N571,""my"", ""en"")"),"41958")</f>
        <v>41958</v>
      </c>
      <c r="AG571" s="10" t="str">
        <f>IFERROR(__xludf.DUMMYFUNCTION("GOOGLETRANSLATE(O571,""my"", ""en"")"),"211381")</f>
        <v>211381</v>
      </c>
    </row>
    <row r="572" ht="25.5" customHeigh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3" t="s">
        <v>4165</v>
      </c>
      <c r="L572" s="23" t="s">
        <v>4166</v>
      </c>
      <c r="M572" s="24" t="s">
        <v>4167</v>
      </c>
      <c r="N572" s="24" t="s">
        <v>4168</v>
      </c>
      <c r="O572" s="24" t="s">
        <v>4169</v>
      </c>
      <c r="P572" s="25" t="s">
        <v>4170</v>
      </c>
      <c r="AC572" s="10" t="str">
        <f>IFERROR(__xludf.DUMMYFUNCTION("GOOGLETRANSLATE(K572,""my"", ""en"")"),"Smart addresses")</f>
        <v>Smart addresses</v>
      </c>
      <c r="AD572" s="10" t="str">
        <f>IFERROR(__xludf.DUMMYFUNCTION("GOOGLETRANSLATE(L572,""my"", ""en"")")," Game Democracy group   Pop Party")</f>
        <v> Game Democracy group   Pop Party</v>
      </c>
      <c r="AE572" s="10" t="str">
        <f>IFERROR(__xludf.DUMMYFUNCTION("GOOGLETRANSLATE(M572,""my"", ""en"")"),"131517")</f>
        <v>131517</v>
      </c>
      <c r="AF572" s="10" t="str">
        <f>IFERROR(__xludf.DUMMYFUNCTION("GOOGLETRANSLATE(N572,""my"", ""en"")"),"31106")</f>
        <v>31106</v>
      </c>
      <c r="AG572" s="10" t="str">
        <f>IFERROR(__xludf.DUMMYFUNCTION("GOOGLETRANSLATE(O572,""my"", ""en"")"),"162623")</f>
        <v>162623</v>
      </c>
      <c r="AH572" s="10" t="str">
        <f>IFERROR(__xludf.DUMMYFUNCTION("GOOGLETRANSLATE(P572,""my"", ""en"")"),"76.93%")</f>
        <v>76.93%</v>
      </c>
    </row>
    <row r="573" ht="25.5" customHeigh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3" t="s">
        <v>4171</v>
      </c>
      <c r="L573" s="23" t="s">
        <v>4172</v>
      </c>
      <c r="M573" s="24" t="s">
        <v>4173</v>
      </c>
      <c r="N573" s="24" t="s">
        <v>4174</v>
      </c>
      <c r="O573" s="24" t="s">
        <v>4175</v>
      </c>
      <c r="P573" s="25" t="s">
        <v>4176</v>
      </c>
      <c r="AC573" s="10" t="str">
        <f>IFERROR(__xludf.DUMMYFUNCTION("GOOGLETRANSLATE(K573,""my"", ""en"")"),"U Tin Win")</f>
        <v>U Tin Win</v>
      </c>
      <c r="AD573" s="10" t="str">
        <f>IFERROR(__xludf.DUMMYFUNCTION("GOOGLETRANSLATE(L573,""my"", ""en"")"),"Local ေထာင် soap-stone strong ေရး  under development  Phil  ေရး Party")</f>
        <v>Local ေထာင် soap-stone strong ေရး  under development  Phil  ေရး Party</v>
      </c>
      <c r="AE573" s="10" t="str">
        <f>IFERROR(__xludf.DUMMYFUNCTION("GOOGLETRANSLATE(M573,""my"", ""en"")"),"35958")</f>
        <v>35958</v>
      </c>
      <c r="AF573" s="10" t="str">
        <f>IFERROR(__xludf.DUMMYFUNCTION("GOOGLETRANSLATE(N573,""my"", ""en"")"),"10201")</f>
        <v>10201</v>
      </c>
      <c r="AG573" s="10" t="str">
        <f>IFERROR(__xludf.DUMMYFUNCTION("GOOGLETRANSLATE(O573,""my"", ""en"")"),"46159")</f>
        <v>46159</v>
      </c>
      <c r="AH573" s="10" t="str">
        <f>IFERROR(__xludf.DUMMYFUNCTION("GOOGLETRANSLATE(P573,""my"", ""en"")"),"21.84%")</f>
        <v>21.84%</v>
      </c>
    </row>
    <row r="574" ht="25.5" customHeigh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3" t="s">
        <v>4177</v>
      </c>
      <c r="L574" s="23" t="s">
        <v>4178</v>
      </c>
      <c r="M574" s="24" t="s">
        <v>4179</v>
      </c>
      <c r="N574" s="24" t="s">
        <v>4180</v>
      </c>
      <c r="O574" s="24" t="s">
        <v>4181</v>
      </c>
      <c r="P574" s="25" t="s">
        <v>4182</v>
      </c>
      <c r="AC574" s="10" t="str">
        <f>IFERROR(__xludf.DUMMYFUNCTION("GOOGLETRANSLATE(K574,""my"", ""en"")"),"U Tun Tun Win")</f>
        <v>U Tun Tun Win</v>
      </c>
      <c r="AD574" s="10" t="str">
        <f>IFERROR(__xludf.DUMMYFUNCTION("GOOGLETRANSLATE(L574,""my"", ""en"")"),"Local ေထာင် စုေ white  Game ေဆာင် Party")</f>
        <v>Local ေထာင် စုေ white  Game ေဆာင် Party</v>
      </c>
      <c r="AE574" s="10" t="str">
        <f>IFERROR(__xludf.DUMMYFUNCTION("GOOGLETRANSLATE(M574,""my"", ""en"")"),"1948")</f>
        <v>1948</v>
      </c>
      <c r="AF574" s="10" t="str">
        <f>IFERROR(__xludf.DUMMYFUNCTION("GOOGLETRANSLATE(N574,""my"", ""en"")"),"651")</f>
        <v>651</v>
      </c>
      <c r="AG574" s="10" t="str">
        <f>IFERROR(__xludf.DUMMYFUNCTION("GOOGLETRANSLATE(O574,""my"", ""en"")"),"2599")</f>
        <v>2599</v>
      </c>
      <c r="AH574" s="10" t="str">
        <f>IFERROR(__xludf.DUMMYFUNCTION("GOOGLETRANSLATE(P574,""my"", ""en"")"),"1.23%")</f>
        <v>1.23%</v>
      </c>
    </row>
    <row r="575" ht="27.75" customHeight="1">
      <c r="A575" s="14"/>
      <c r="B575" s="15" t="s">
        <v>4183</v>
      </c>
      <c r="C575" s="16" t="s">
        <v>4184</v>
      </c>
      <c r="D575" s="16" t="s">
        <v>4185</v>
      </c>
      <c r="E575" s="16" t="s">
        <v>4186</v>
      </c>
      <c r="F575" s="16" t="s">
        <v>4187</v>
      </c>
      <c r="G575" s="16" t="s">
        <v>4188</v>
      </c>
      <c r="H575" s="16" t="s">
        <v>4189</v>
      </c>
      <c r="I575" s="16" t="s">
        <v>4190</v>
      </c>
      <c r="J575" s="16" t="s">
        <v>4191</v>
      </c>
      <c r="K575" s="14"/>
      <c r="L575" s="14"/>
      <c r="M575" s="47" t="s">
        <v>4192</v>
      </c>
      <c r="N575" s="47" t="s">
        <v>4193</v>
      </c>
      <c r="O575" s="16" t="s">
        <v>4194</v>
      </c>
      <c r="P575" s="14"/>
      <c r="T575" s="10" t="str">
        <f>IFERROR(__xludf.DUMMYFUNCTION("GOOGLETRANSLATE(B575,""my"", ""en"")")," four key areas ")</f>
        <v> four key areas </v>
      </c>
      <c r="U575" s="10" t="str">
        <f>IFERROR(__xludf.DUMMYFUNCTION("GOOGLETRANSLATE(C575,""my"", ""en"")"),"5847697")</f>
        <v>5847697</v>
      </c>
      <c r="V575" s="10" t="str">
        <f>IFERROR(__xludf.DUMMYFUNCTION("GOOGLETRANSLATE(D575,""my"", ""en"")"),"3700579")</f>
        <v>3700579</v>
      </c>
      <c r="W575" s="10" t="str">
        <f>IFERROR(__xludf.DUMMYFUNCTION("GOOGLETRANSLATE(E575,""my"", ""en"")"),"856331")</f>
        <v>856331</v>
      </c>
      <c r="X575" s="10" t="str">
        <f>IFERROR(__xludf.DUMMYFUNCTION("GOOGLETRANSLATE(F575,""my"", ""en"")"),"4556910")</f>
        <v>4556910</v>
      </c>
      <c r="Y575" s="10" t="str">
        <f>IFERROR(__xludf.DUMMYFUNCTION("GOOGLETRANSLATE(G575,""my"", ""en"")"),"77.93")</f>
        <v>77.93</v>
      </c>
      <c r="Z575" s="10" t="str">
        <f>IFERROR(__xludf.DUMMYFUNCTION("GOOGLETRANSLATE(H575,""my"", ""en"")"),"89255")</f>
        <v>89255</v>
      </c>
      <c r="AA575" s="10" t="str">
        <f>IFERROR(__xludf.DUMMYFUNCTION("GOOGLETRANSLATE(I575,""my"", ""en"")"),"3716")</f>
        <v>3716</v>
      </c>
      <c r="AB575" s="10" t="str">
        <f>IFERROR(__xludf.DUMMYFUNCTION("GOOGLETRANSLATE(J575,""my"", ""en"")"),"92971")</f>
        <v>92971</v>
      </c>
      <c r="AE575" s="10" t="str">
        <f>IFERROR(__xludf.DUMMYFUNCTION("GOOGLETRANSLATE(M575,""my"", ""en"")"),"3616819")</f>
        <v>3616819</v>
      </c>
      <c r="AF575" s="10" t="str">
        <f>IFERROR(__xludf.DUMMYFUNCTION("GOOGLETRANSLATE(N575,""my"", ""en"")"),"847120")</f>
        <v>847120</v>
      </c>
      <c r="AG575" s="10" t="str">
        <f>IFERROR(__xludf.DUMMYFUNCTION("GOOGLETRANSLATE(O575,""my"", ""en"")"),"4463939")</f>
        <v>4463939</v>
      </c>
    </row>
    <row r="576" ht="24.0" customHeight="1">
      <c r="A576" s="28" t="s">
        <v>4195</v>
      </c>
      <c r="B576" s="17" t="s">
        <v>4196</v>
      </c>
      <c r="C576" s="18" t="s">
        <v>4197</v>
      </c>
      <c r="D576" s="18" t="s">
        <v>4198</v>
      </c>
      <c r="E576" s="18" t="s">
        <v>4199</v>
      </c>
      <c r="F576" s="18" t="s">
        <v>4200</v>
      </c>
      <c r="G576" s="18" t="s">
        <v>4201</v>
      </c>
      <c r="H576" s="18" t="s">
        <v>4202</v>
      </c>
      <c r="I576" s="18" t="s">
        <v>4203</v>
      </c>
      <c r="J576" s="18" t="s">
        <v>4204</v>
      </c>
      <c r="K576" s="27"/>
      <c r="L576" s="27"/>
      <c r="M576" s="18" t="s">
        <v>4205</v>
      </c>
      <c r="N576" s="18" t="s">
        <v>4206</v>
      </c>
      <c r="O576" s="18" t="s">
        <v>4207</v>
      </c>
      <c r="P576" s="27"/>
      <c r="S576" s="10" t="str">
        <f>IFERROR(__xludf.DUMMYFUNCTION("GOOGLETRANSLATE(A576,""my"", ""en"")"),"97")</f>
        <v>97</v>
      </c>
      <c r="T576" s="10" t="str">
        <f>IFERROR(__xludf.DUMMYFUNCTION("GOOGLETRANSLATE(B576,""my"", ""en"")"),"မဲဆ  No. (1)")</f>
        <v>မဲဆ  No. (1)</v>
      </c>
      <c r="U576" s="10" t="str">
        <f>IFERROR(__xludf.DUMMYFUNCTION("GOOGLETRANSLATE(C576,""my"", ""en"")"),"590278")</f>
        <v>590278</v>
      </c>
      <c r="V576" s="10" t="str">
        <f>IFERROR(__xludf.DUMMYFUNCTION("GOOGLETRANSLATE(D576,""my"", ""en"")"),"432085")</f>
        <v>432085</v>
      </c>
      <c r="W576" s="10" t="str">
        <f>IFERROR(__xludf.DUMMYFUNCTION("GOOGLETRANSLATE(E576,""my"", ""en"")"),"73722")</f>
        <v>73722</v>
      </c>
      <c r="X576" s="10" t="str">
        <f>IFERROR(__xludf.DUMMYFUNCTION("GOOGLETRANSLATE(F576,""my"", ""en"")"),"505807")</f>
        <v>505807</v>
      </c>
      <c r="Y576" s="10" t="str">
        <f>IFERROR(__xludf.DUMMYFUNCTION("GOOGLETRANSLATE(G576,""my"", ""en"")"),"85.69")</f>
        <v>85.69</v>
      </c>
      <c r="Z576" s="10" t="str">
        <f>IFERROR(__xludf.DUMMYFUNCTION("GOOGLETRANSLATE(H576,""my"", ""en"")"),"6761")</f>
        <v>6761</v>
      </c>
      <c r="AA576" s="10" t="str">
        <f>IFERROR(__xludf.DUMMYFUNCTION("GOOGLETRANSLATE(I576,""my"", ""en"")"),"129")</f>
        <v>129</v>
      </c>
      <c r="AB576" s="10" t="str">
        <f>IFERROR(__xludf.DUMMYFUNCTION("GOOGLETRANSLATE(J576,""my"", ""en"")"),"6890")</f>
        <v>6890</v>
      </c>
      <c r="AE576" s="10" t="str">
        <f>IFERROR(__xludf.DUMMYFUNCTION("GOOGLETRANSLATE(M576,""my"", ""en"")"),"425232")</f>
        <v>425232</v>
      </c>
      <c r="AF576" s="10" t="str">
        <f>IFERROR(__xludf.DUMMYFUNCTION("GOOGLETRANSLATE(N576,""my"", ""en"")"),"73685")</f>
        <v>73685</v>
      </c>
      <c r="AG576" s="10" t="str">
        <f>IFERROR(__xludf.DUMMYFUNCTION("GOOGLETRANSLATE(O576,""my"", ""en"")"),"498917")</f>
        <v>498917</v>
      </c>
    </row>
    <row r="577" ht="36.0" customHeigh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2" t="s">
        <v>4208</v>
      </c>
      <c r="L577" s="23" t="s">
        <v>4209</v>
      </c>
      <c r="M577" s="24" t="s">
        <v>4210</v>
      </c>
      <c r="N577" s="24" t="s">
        <v>4211</v>
      </c>
      <c r="O577" s="24" t="s">
        <v>4212</v>
      </c>
      <c r="P577" s="31" t="s">
        <v>4213</v>
      </c>
      <c r="AC577" s="10" t="str">
        <f>IFERROR(__xludf.DUMMYFUNCTION("GOOGLETRANSLATE(K577,""my"", ""en"")"),"Data  Hla Htay (b)
Palm ေဒ   ကည်")</f>
        <v>Data  Hla Htay (b)
Palm ေဒ   ကည်</v>
      </c>
      <c r="AD577" s="10" t="str">
        <f>IFERROR(__xludf.DUMMYFUNCTION("GOOGLETRANSLATE(L577,""my"", ""en"")")," Game Democracy group   Pop Party")</f>
        <v> Game Democracy group   Pop Party</v>
      </c>
      <c r="AE577" s="10" t="str">
        <f>IFERROR(__xludf.DUMMYFUNCTION("GOOGLETRANSLATE(M577,""my"", ""en"")"),"317113")</f>
        <v>317113</v>
      </c>
      <c r="AF577" s="10" t="str">
        <f>IFERROR(__xludf.DUMMYFUNCTION("GOOGLETRANSLATE(N577,""my"", ""en"")"),"50557")</f>
        <v>50557</v>
      </c>
      <c r="AG577" s="10" t="str">
        <f>IFERROR(__xludf.DUMMYFUNCTION("GOOGLETRANSLATE(O577,""my"", ""en"")"),"367670")</f>
        <v>367670</v>
      </c>
      <c r="AH577" s="10" t="str">
        <f>IFERROR(__xludf.DUMMYFUNCTION("GOOGLETRANSLATE(P577,""my"", ""en"")"),"73.69%")</f>
        <v>73.69%</v>
      </c>
    </row>
    <row r="578" ht="22.5" customHeigh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3" t="s">
        <v>4214</v>
      </c>
      <c r="L578" s="23" t="s">
        <v>4215</v>
      </c>
      <c r="M578" s="24" t="s">
        <v>4216</v>
      </c>
      <c r="N578" s="24" t="s">
        <v>4217</v>
      </c>
      <c r="O578" s="24" t="s">
        <v>4218</v>
      </c>
      <c r="P578" s="25" t="s">
        <v>4219</v>
      </c>
      <c r="AC578" s="10" t="str">
        <f>IFERROR(__xludf.DUMMYFUNCTION("GOOGLETRANSLATE(K578,""my"", ""en"")"),"Tin Tun")</f>
        <v>Tin Tun</v>
      </c>
      <c r="AD578" s="10" t="str">
        <f>IFERROR(__xludf.DUMMYFUNCTION("GOOGLETRANSLATE(L578,""my"", ""en"")"),"Local ေထာင် soap-stone strong ေရး  under development  Phil  ေရး Party")</f>
        <v>Local ေထာင် soap-stone strong ေရး  under development  Phil  ေရး Party</v>
      </c>
      <c r="AE578" s="10" t="str">
        <f>IFERROR(__xludf.DUMMYFUNCTION("GOOGLETRANSLATE(M578,""my"", ""en"")"),"101342")</f>
        <v>101342</v>
      </c>
      <c r="AF578" s="10" t="str">
        <f>IFERROR(__xludf.DUMMYFUNCTION("GOOGLETRANSLATE(N578,""my"", ""en"")"),"21582")</f>
        <v>21582</v>
      </c>
      <c r="AG578" s="10" t="str">
        <f>IFERROR(__xludf.DUMMYFUNCTION("GOOGLETRANSLATE(O578,""my"", ""en"")"),"122924")</f>
        <v>122924</v>
      </c>
      <c r="AH578" s="10" t="str">
        <f>IFERROR(__xludf.DUMMYFUNCTION("GOOGLETRANSLATE(P578,""my"", ""en"")"),"24.64%")</f>
        <v>24.64%</v>
      </c>
    </row>
    <row r="579" ht="25.5" customHeigh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3" t="s">
        <v>4220</v>
      </c>
      <c r="L579" s="23" t="s">
        <v>4221</v>
      </c>
      <c r="M579" s="24" t="s">
        <v>4222</v>
      </c>
      <c r="N579" s="24" t="s">
        <v>4223</v>
      </c>
      <c r="O579" s="24" t="s">
        <v>4224</v>
      </c>
      <c r="P579" s="25" t="s">
        <v>4225</v>
      </c>
      <c r="AC579" s="10" t="str">
        <f>IFERROR(__xludf.DUMMYFUNCTION("GOOGLETRANSLATE(K579,""my"", ""en"")"),"Ohn ေမာင်")</f>
        <v>Ohn ေမာင်</v>
      </c>
      <c r="AD579" s="10" t="str">
        <f>IFERROR(__xludf.DUMMYFUNCTION("GOOGLETRANSLATE(L579,""my"", ""en"")"),"Local ေထာင် စုေ white  Game ေဆာင် Party")</f>
        <v>Local ေထာင် စုေ white  Game ေဆာင် Party</v>
      </c>
      <c r="AE579" s="10" t="str">
        <f>IFERROR(__xludf.DUMMYFUNCTION("GOOGLETRANSLATE(M579,""my"", ""en"")"),"4773")</f>
        <v>4773</v>
      </c>
      <c r="AF579" s="10" t="str">
        <f>IFERROR(__xludf.DUMMYFUNCTION("GOOGLETRANSLATE(N579,""my"", ""en"")"),"974")</f>
        <v>974</v>
      </c>
      <c r="AG579" s="10" t="str">
        <f>IFERROR(__xludf.DUMMYFUNCTION("GOOGLETRANSLATE(O579,""my"", ""en"")"),"5747")</f>
        <v>5747</v>
      </c>
      <c r="AH579" s="10" t="str">
        <f>IFERROR(__xludf.DUMMYFUNCTION("GOOGLETRANSLATE(P579,""my"", ""en"")"),"1.15%")</f>
        <v>1.15%</v>
      </c>
    </row>
    <row r="580" ht="22.5" customHeigh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3" t="s">
        <v>4226</v>
      </c>
      <c r="L580" s="23" t="s">
        <v>4227</v>
      </c>
      <c r="M580" s="24" t="s">
        <v>4228</v>
      </c>
      <c r="N580" s="24" t="s">
        <v>4229</v>
      </c>
      <c r="O580" s="24" t="s">
        <v>4230</v>
      </c>
      <c r="P580" s="25" t="s">
        <v>4231</v>
      </c>
      <c r="AC580" s="10" t="str">
        <f>IFERROR(__xludf.DUMMYFUNCTION("GOOGLETRANSLATE(K580,""my"", ""en"")"),"ေဒါက် origin တာေ")</f>
        <v>ေဒါက် origin တာေ</v>
      </c>
      <c r="AD580" s="10" t="str">
        <f>IFERROR(__xludf.DUMMYFUNCTION("GOOGLETRANSLATE(L580,""my"", ""en"")"),"ပည်သူ ေရှ  ေဆာင် Party")</f>
        <v>ပည်သူ ေရှ  ေဆာင် Party</v>
      </c>
      <c r="AE580" s="10" t="str">
        <f>IFERROR(__xludf.DUMMYFUNCTION("GOOGLETRANSLATE(M580,""my"", ""en"")"),"2004")</f>
        <v>2004</v>
      </c>
      <c r="AF580" s="10" t="str">
        <f>IFERROR(__xludf.DUMMYFUNCTION("GOOGLETRANSLATE(N580,""my"", ""en"")"),"572")</f>
        <v>572</v>
      </c>
      <c r="AG580" s="10" t="str">
        <f>IFERROR(__xludf.DUMMYFUNCTION("GOOGLETRANSLATE(O580,""my"", ""en"")"),"2576")</f>
        <v>2576</v>
      </c>
      <c r="AH580" s="10" t="str">
        <f>IFERROR(__xludf.DUMMYFUNCTION("GOOGLETRANSLATE(P580,""my"", ""en"")"),"0.52%")</f>
        <v>0.52%</v>
      </c>
    </row>
    <row r="581" ht="24.0" customHeight="1">
      <c r="A581" s="28" t="s">
        <v>4232</v>
      </c>
      <c r="B581" s="17" t="s">
        <v>4233</v>
      </c>
      <c r="C581" s="18" t="s">
        <v>4234</v>
      </c>
      <c r="D581" s="18" t="s">
        <v>4235</v>
      </c>
      <c r="E581" s="18" t="s">
        <v>4236</v>
      </c>
      <c r="F581" s="18" t="s">
        <v>4237</v>
      </c>
      <c r="G581" s="18" t="s">
        <v>4238</v>
      </c>
      <c r="H581" s="18" t="s">
        <v>4239</v>
      </c>
      <c r="I581" s="18" t="s">
        <v>4240</v>
      </c>
      <c r="J581" s="18" t="s">
        <v>4241</v>
      </c>
      <c r="K581" s="27"/>
      <c r="L581" s="27"/>
      <c r="M581" s="18" t="s">
        <v>4242</v>
      </c>
      <c r="N581" s="18" t="s">
        <v>4243</v>
      </c>
      <c r="O581" s="18" t="s">
        <v>4244</v>
      </c>
      <c r="P581" s="27"/>
      <c r="S581" s="10" t="str">
        <f>IFERROR(__xludf.DUMMYFUNCTION("GOOGLETRANSLATE(A581,""my"", ""en"")"),"98")</f>
        <v>98</v>
      </c>
      <c r="T581" s="10" t="str">
        <f>IFERROR(__xludf.DUMMYFUNCTION("GOOGLETRANSLATE(B581,""my"", ""en"")"),"မဲဆ  No. (2)")</f>
        <v>မဲဆ  No. (2)</v>
      </c>
      <c r="U581" s="10" t="str">
        <f>IFERROR(__xludf.DUMMYFUNCTION("GOOGLETRANSLATE(C581,""my"", ""en"")"),"443351")</f>
        <v>443351</v>
      </c>
      <c r="V581" s="10" t="str">
        <f>IFERROR(__xludf.DUMMYFUNCTION("GOOGLETRANSLATE(D581,""my"", ""en"")"),"271000")</f>
        <v>271000</v>
      </c>
      <c r="W581" s="10" t="str">
        <f>IFERROR(__xludf.DUMMYFUNCTION("GOOGLETRANSLATE(E581,""my"", ""en"")"),"67877")</f>
        <v>67877</v>
      </c>
      <c r="X581" s="10" t="str">
        <f>IFERROR(__xludf.DUMMYFUNCTION("GOOGLETRANSLATE(F581,""my"", ""en"")"),"338877")</f>
        <v>338877</v>
      </c>
      <c r="Y581" s="10" t="str">
        <f>IFERROR(__xludf.DUMMYFUNCTION("GOOGLETRANSLATE(G581,""my"", ""en"")"),"76.44")</f>
        <v>76.44</v>
      </c>
      <c r="Z581" s="10" t="str">
        <f>IFERROR(__xludf.DUMMYFUNCTION("GOOGLETRANSLATE(H581,""my"", ""en"")"),"6175")</f>
        <v>6175</v>
      </c>
      <c r="AA581" s="10" t="str">
        <f>IFERROR(__xludf.DUMMYFUNCTION("GOOGLETRANSLATE(I581,""my"", ""en"")"),"94")</f>
        <v>94</v>
      </c>
      <c r="AB581" s="10" t="str">
        <f>IFERROR(__xludf.DUMMYFUNCTION("GOOGLETRANSLATE(J581,""my"", ""en"")"),"6269")</f>
        <v>6269</v>
      </c>
      <c r="AE581" s="10" t="str">
        <f>IFERROR(__xludf.DUMMYFUNCTION("GOOGLETRANSLATE(M581,""my"", ""en"")"),"265476")</f>
        <v>265476</v>
      </c>
      <c r="AF581" s="10" t="str">
        <f>IFERROR(__xludf.DUMMYFUNCTION("GOOGLETRANSLATE(N581,""my"", ""en"")"),"67132")</f>
        <v>67132</v>
      </c>
      <c r="AG581" s="10" t="str">
        <f>IFERROR(__xludf.DUMMYFUNCTION("GOOGLETRANSLATE(O581,""my"", ""en"")"),"332608")</f>
        <v>332608</v>
      </c>
    </row>
    <row r="582" ht="21.75" customHeigh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3" t="s">
        <v>4245</v>
      </c>
      <c r="L582" s="23" t="s">
        <v>4246</v>
      </c>
      <c r="M582" s="24" t="s">
        <v>4247</v>
      </c>
      <c r="N582" s="24" t="s">
        <v>4248</v>
      </c>
      <c r="O582" s="24" t="s">
        <v>4249</v>
      </c>
      <c r="P582" s="25" t="s">
        <v>4250</v>
      </c>
      <c r="AC582" s="10" t="str">
        <f>IFERROR(__xludf.DUMMYFUNCTION("GOOGLETRANSLATE(K582,""my"", ""en"")"),"ေကျာ Tote")</f>
        <v>ေကျာ Tote</v>
      </c>
      <c r="AD582" s="10" t="str">
        <f>IFERROR(__xludf.DUMMYFUNCTION("GOOGLETRANSLATE(L582,""my"", ""en"")")," Game Democracy group   Pop Party")</f>
        <v> Game Democracy group   Pop Party</v>
      </c>
      <c r="AE582" s="10" t="str">
        <f>IFERROR(__xludf.DUMMYFUNCTION("GOOGLETRANSLATE(M582,""my"", ""en"")"),"221687")</f>
        <v>221687</v>
      </c>
      <c r="AF582" s="10" t="str">
        <f>IFERROR(__xludf.DUMMYFUNCTION("GOOGLETRANSLATE(N582,""my"", ""en"")"),"52875")</f>
        <v>52875</v>
      </c>
      <c r="AG582" s="10" t="str">
        <f>IFERROR(__xludf.DUMMYFUNCTION("GOOGLETRANSLATE(O582,""my"", ""en"")"),"274562")</f>
        <v>274562</v>
      </c>
      <c r="AH582" s="10" t="str">
        <f>IFERROR(__xludf.DUMMYFUNCTION("GOOGLETRANSLATE(P582,""my"", ""en"")"),"82.55%")</f>
        <v>82.55%</v>
      </c>
    </row>
    <row r="583" ht="21.75" customHeigh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3" t="s">
        <v>4251</v>
      </c>
      <c r="L583" s="23" t="s">
        <v>4252</v>
      </c>
      <c r="M583" s="24" t="s">
        <v>4253</v>
      </c>
      <c r="N583" s="24" t="s">
        <v>4254</v>
      </c>
      <c r="O583" s="24" t="s">
        <v>4255</v>
      </c>
      <c r="P583" s="25" t="s">
        <v>4256</v>
      </c>
      <c r="AC583" s="10" t="str">
        <f>IFERROR(__xludf.DUMMYFUNCTION("GOOGLETRANSLATE(K583,""my"", ""en"")"),"U Tin Oo Lwin")</f>
        <v>U Tin Oo Lwin</v>
      </c>
      <c r="AD583" s="10" t="str">
        <f>IFERROR(__xludf.DUMMYFUNCTION("GOOGLETRANSLATE(L583,""my"", ""en"")"),"Local ေထာင် soap-stone strong ေရး  under development  Phil  ေရး Party")</f>
        <v>Local ေထာင် soap-stone strong ေရး  under development  Phil  ေရး Party</v>
      </c>
      <c r="AE583" s="10" t="str">
        <f>IFERROR(__xludf.DUMMYFUNCTION("GOOGLETRANSLATE(M583,""my"", ""en"")"),"41725")</f>
        <v>41725</v>
      </c>
      <c r="AF583" s="10" t="str">
        <f>IFERROR(__xludf.DUMMYFUNCTION("GOOGLETRANSLATE(N583,""my"", ""en"")"),"13370")</f>
        <v>13370</v>
      </c>
      <c r="AG583" s="10" t="str">
        <f>IFERROR(__xludf.DUMMYFUNCTION("GOOGLETRANSLATE(O583,""my"", ""en"")"),"55095")</f>
        <v>55095</v>
      </c>
      <c r="AH583" s="10" t="str">
        <f>IFERROR(__xludf.DUMMYFUNCTION("GOOGLETRANSLATE(P583,""my"", ""en"")"),"16.56%")</f>
        <v>16.56%</v>
      </c>
    </row>
    <row r="584" ht="22.5" customHeigh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3" t="s">
        <v>4257</v>
      </c>
      <c r="L584" s="23" t="s">
        <v>4258</v>
      </c>
      <c r="M584" s="24" t="s">
        <v>4259</v>
      </c>
      <c r="N584" s="24" t="s">
        <v>4260</v>
      </c>
      <c r="O584" s="24" t="s">
        <v>4261</v>
      </c>
      <c r="P584" s="25" t="s">
        <v>4262</v>
      </c>
      <c r="AC584" s="10" t="str">
        <f>IFERROR(__xludf.DUMMYFUNCTION("GOOGLETRANSLATE(K584,""my"", ""en"")"),"Htay")</f>
        <v>Htay</v>
      </c>
      <c r="AD584" s="10" t="str">
        <f>IFERROR(__xludf.DUMMYFUNCTION("GOOGLETRANSLATE(L584,""my"", ""en"")"),"Local ေထာင် စုေ white  Game ေဆာင် Party")</f>
        <v>Local ေထာင် စုေ white  Game ေဆာင် Party</v>
      </c>
      <c r="AE584" s="10" t="str">
        <f>IFERROR(__xludf.DUMMYFUNCTION("GOOGLETRANSLATE(M584,""my"", ""en"")"),"2064")</f>
        <v>2064</v>
      </c>
      <c r="AF584" s="10" t="str">
        <f>IFERROR(__xludf.DUMMYFUNCTION("GOOGLETRANSLATE(N584,""my"", ""en"")"),"887")</f>
        <v>887</v>
      </c>
      <c r="AG584" s="10" t="str">
        <f>IFERROR(__xludf.DUMMYFUNCTION("GOOGLETRANSLATE(O584,""my"", ""en"")"),"2951")</f>
        <v>2951</v>
      </c>
      <c r="AH584" s="10" t="str">
        <f>IFERROR(__xludf.DUMMYFUNCTION("GOOGLETRANSLATE(P584,""my"", ""en"")"),"0.89%")</f>
        <v>0.89%</v>
      </c>
    </row>
    <row r="585" ht="24.0" customHeight="1">
      <c r="A585" s="28" t="s">
        <v>4263</v>
      </c>
      <c r="B585" s="17" t="s">
        <v>4264</v>
      </c>
      <c r="C585" s="18" t="s">
        <v>4265</v>
      </c>
      <c r="D585" s="18" t="s">
        <v>4266</v>
      </c>
      <c r="E585" s="18" t="s">
        <v>4267</v>
      </c>
      <c r="F585" s="18" t="s">
        <v>4268</v>
      </c>
      <c r="G585" s="18" t="s">
        <v>4269</v>
      </c>
      <c r="H585" s="18" t="s">
        <v>4270</v>
      </c>
      <c r="I585" s="18" t="s">
        <v>4271</v>
      </c>
      <c r="J585" s="18" t="s">
        <v>4272</v>
      </c>
      <c r="K585" s="27"/>
      <c r="L585" s="27"/>
      <c r="M585" s="18" t="s">
        <v>4273</v>
      </c>
      <c r="N585" s="18" t="s">
        <v>4274</v>
      </c>
      <c r="O585" s="18" t="s">
        <v>4275</v>
      </c>
      <c r="P585" s="27"/>
      <c r="S585" s="10" t="str">
        <f>IFERROR(__xludf.DUMMYFUNCTION("GOOGLETRANSLATE(A585,""my"", ""en"")"),"99")</f>
        <v>99</v>
      </c>
      <c r="T585" s="10" t="str">
        <f>IFERROR(__xludf.DUMMYFUNCTION("GOOGLETRANSLATE(B585,""my"", ""en"")"),"မဲဆ  No. (3)")</f>
        <v>မဲဆ  No. (3)</v>
      </c>
      <c r="U585" s="10" t="str">
        <f>IFERROR(__xludf.DUMMYFUNCTION("GOOGLETRANSLATE(C585,""my"", ""en"")"),"377812")</f>
        <v>377812</v>
      </c>
      <c r="V585" s="10" t="str">
        <f>IFERROR(__xludf.DUMMYFUNCTION("GOOGLETRANSLATE(D585,""my"", ""en"")"),"226559")</f>
        <v>226559</v>
      </c>
      <c r="W585" s="10" t="str">
        <f>IFERROR(__xludf.DUMMYFUNCTION("GOOGLETRANSLATE(E585,""my"", ""en"")"),"46537")</f>
        <v>46537</v>
      </c>
      <c r="X585" s="10" t="str">
        <f>IFERROR(__xludf.DUMMYFUNCTION("GOOGLETRANSLATE(F585,""my"", ""en"")"),"273096")</f>
        <v>273096</v>
      </c>
      <c r="Y585" s="10" t="str">
        <f>IFERROR(__xludf.DUMMYFUNCTION("GOOGLETRANSLATE(G585,""my"", ""en"")"),"72.28")</f>
        <v>72.28</v>
      </c>
      <c r="Z585" s="10" t="str">
        <f>IFERROR(__xludf.DUMMYFUNCTION("GOOGLETRANSLATE(H585,""my"", ""en"")"),"6794")</f>
        <v>6794</v>
      </c>
      <c r="AA585" s="10" t="str">
        <f>IFERROR(__xludf.DUMMYFUNCTION("GOOGLETRANSLATE(I585,""my"", ""en"")"),"114")</f>
        <v>114</v>
      </c>
      <c r="AB585" s="10" t="str">
        <f>IFERROR(__xludf.DUMMYFUNCTION("GOOGLETRANSLATE(J585,""my"", ""en"")"),"6908")</f>
        <v>6908</v>
      </c>
      <c r="AE585" s="10" t="str">
        <f>IFERROR(__xludf.DUMMYFUNCTION("GOOGLETRANSLATE(M585,""my"", ""en"")"),"220456")</f>
        <v>220456</v>
      </c>
      <c r="AF585" s="10" t="str">
        <f>IFERROR(__xludf.DUMMYFUNCTION("GOOGLETRANSLATE(N585,""my"", ""en"")"),"45732")</f>
        <v>45732</v>
      </c>
      <c r="AG585" s="10" t="str">
        <f>IFERROR(__xludf.DUMMYFUNCTION("GOOGLETRANSLATE(O585,""my"", ""en"")"),"266188")</f>
        <v>266188</v>
      </c>
    </row>
    <row r="586" ht="22.5" customHeigh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3" t="s">
        <v>4276</v>
      </c>
      <c r="L586" s="23" t="s">
        <v>4277</v>
      </c>
      <c r="M586" s="24" t="s">
        <v>4278</v>
      </c>
      <c r="N586" s="24" t="s">
        <v>4279</v>
      </c>
      <c r="O586" s="24" t="s">
        <v>4280</v>
      </c>
      <c r="P586" s="25" t="s">
        <v>4281</v>
      </c>
      <c r="AC586" s="10" t="str">
        <f>IFERROR(__xludf.DUMMYFUNCTION("GOOGLETRANSLATE(K586,""my"", ""en"")"),"U San Win")</f>
        <v>U San Win</v>
      </c>
      <c r="AD586" s="10" t="str">
        <f>IFERROR(__xludf.DUMMYFUNCTION("GOOGLETRANSLATE(L586,""my"", ""en"")")," Game Democracy group   Pop Party")</f>
        <v> Game Democracy group   Pop Party</v>
      </c>
      <c r="AE586" s="10" t="str">
        <f>IFERROR(__xludf.DUMMYFUNCTION("GOOGLETRANSLATE(M586,""my"", ""en"")"),"174195")</f>
        <v>174195</v>
      </c>
      <c r="AF586" s="10" t="str">
        <f>IFERROR(__xludf.DUMMYFUNCTION("GOOGLETRANSLATE(N586,""my"", ""en"")"),"32653")</f>
        <v>32653</v>
      </c>
      <c r="AG586" s="10" t="str">
        <f>IFERROR(__xludf.DUMMYFUNCTION("GOOGLETRANSLATE(O586,""my"", ""en"")"),"206848")</f>
        <v>206848</v>
      </c>
      <c r="AH586" s="10" t="str">
        <f>IFERROR(__xludf.DUMMYFUNCTION("GOOGLETRANSLATE(P586,""my"", ""en"")"),"77.71%")</f>
        <v>77.71%</v>
      </c>
    </row>
    <row r="587" ht="22.5" customHeigh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3" t="s">
        <v>4282</v>
      </c>
      <c r="L587" s="23" t="s">
        <v>4283</v>
      </c>
      <c r="M587" s="24" t="s">
        <v>4284</v>
      </c>
      <c r="N587" s="24" t="s">
        <v>4285</v>
      </c>
      <c r="O587" s="24" t="s">
        <v>4286</v>
      </c>
      <c r="P587" s="25" t="s">
        <v>4287</v>
      </c>
      <c r="AC587" s="10" t="str">
        <f>IFERROR(__xludf.DUMMYFUNCTION("GOOGLETRANSLATE(K587,""my"", ""en"")"),"ေအာင်")</f>
        <v>ေအာင်</v>
      </c>
      <c r="AD587" s="10" t="str">
        <f>IFERROR(__xludf.DUMMYFUNCTION("GOOGLETRANSLATE(L587,""my"", ""en"")"),"Local ေထာင် soap-stone strong ေရး  under development  Phil  ေရး Party")</f>
        <v>Local ေထာင် soap-stone strong ေရး  under development  Phil  ေရး Party</v>
      </c>
      <c r="AE587" s="10" t="str">
        <f>IFERROR(__xludf.DUMMYFUNCTION("GOOGLETRANSLATE(M587,""my"", ""en"")"),"27922")</f>
        <v>27922</v>
      </c>
      <c r="AF587" s="10" t="str">
        <f>IFERROR(__xludf.DUMMYFUNCTION("GOOGLETRANSLATE(N587,""my"", ""en"")"),"8936")</f>
        <v>8936</v>
      </c>
      <c r="AG587" s="10" t="str">
        <f>IFERROR(__xludf.DUMMYFUNCTION("GOOGLETRANSLATE(O587,""my"", ""en"")"),"36858")</f>
        <v>36858</v>
      </c>
      <c r="AH587" s="10" t="str">
        <f>IFERROR(__xludf.DUMMYFUNCTION("GOOGLETRANSLATE(P587,""my"", ""en"")"),"13.85%")</f>
        <v>13.85%</v>
      </c>
    </row>
    <row r="588" ht="22.5" customHeigh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3" t="s">
        <v>4288</v>
      </c>
      <c r="L588" s="23" t="s">
        <v>4289</v>
      </c>
      <c r="M588" s="24" t="s">
        <v>4290</v>
      </c>
      <c r="N588" s="24" t="s">
        <v>4291</v>
      </c>
      <c r="O588" s="24" t="s">
        <v>4292</v>
      </c>
      <c r="P588" s="25" t="s">
        <v>4293</v>
      </c>
      <c r="AC588" s="10" t="str">
        <f>IFERROR(__xludf.DUMMYFUNCTION("GOOGLETRANSLATE(K588,""my"", ""en"")"),"Dr. Data  Saw  ှဲ ")</f>
        <v>Dr. Data  Saw  ှဲ </v>
      </c>
      <c r="AD588" s="10" t="str">
        <f>IFERROR(__xludf.DUMMYFUNCTION("GOOGLETRANSLATE(L588,""my"", ""en"")"),"Boiling  Game Development  increased Phil  ေရး Party")</f>
        <v>Boiling  Game Development  increased Phil  ေရး Party</v>
      </c>
      <c r="AE588" s="10" t="str">
        <f>IFERROR(__xludf.DUMMYFUNCTION("GOOGLETRANSLATE(M588,""my"", ""en"")"),"13704")</f>
        <v>13704</v>
      </c>
      <c r="AF588" s="10" t="str">
        <f>IFERROR(__xludf.DUMMYFUNCTION("GOOGLETRANSLATE(N588,""my"", ""en"")"),"2933")</f>
        <v>2933</v>
      </c>
      <c r="AG588" s="10" t="str">
        <f>IFERROR(__xludf.DUMMYFUNCTION("GOOGLETRANSLATE(O588,""my"", ""en"")"),"16637")</f>
        <v>16637</v>
      </c>
      <c r="AH588" s="10" t="str">
        <f>IFERROR(__xludf.DUMMYFUNCTION("GOOGLETRANSLATE(P588,""my"", ""en"")"),"6.25%")</f>
        <v>6.25%</v>
      </c>
    </row>
    <row r="589" ht="24.0" customHeigh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3" t="s">
        <v>4294</v>
      </c>
      <c r="L589" s="23" t="s">
        <v>4295</v>
      </c>
      <c r="M589" s="24" t="s">
        <v>4296</v>
      </c>
      <c r="N589" s="24" t="s">
        <v>4297</v>
      </c>
      <c r="O589" s="24" t="s">
        <v>4298</v>
      </c>
      <c r="P589" s="25" t="s">
        <v>4299</v>
      </c>
      <c r="AC589" s="10" t="str">
        <f>IFERROR(__xludf.DUMMYFUNCTION("GOOGLETRANSLATE(K589,""my"", ""en"")"),"Dozens")</f>
        <v>Dozens</v>
      </c>
      <c r="AD589" s="10" t="str">
        <f>IFERROR(__xludf.DUMMYFUNCTION("GOOGLETRANSLATE(L589,""my"", ""en"")"),"Local ေထာင် စုေ white  Game ေဆာင် Party")</f>
        <v>Local ေထာင် စုေ white  Game ေဆာင် Party</v>
      </c>
      <c r="AE589" s="10" t="str">
        <f>IFERROR(__xludf.DUMMYFUNCTION("GOOGLETRANSLATE(M589,""my"", ""en"")"),"2354")</f>
        <v>2354</v>
      </c>
      <c r="AF589" s="10" t="str">
        <f>IFERROR(__xludf.DUMMYFUNCTION("GOOGLETRANSLATE(N589,""my"", ""en"")"),"644")</f>
        <v>644</v>
      </c>
      <c r="AG589" s="10" t="str">
        <f>IFERROR(__xludf.DUMMYFUNCTION("GOOGLETRANSLATE(O589,""my"", ""en"")"),"2998")</f>
        <v>2998</v>
      </c>
      <c r="AH589" s="10" t="str">
        <f>IFERROR(__xludf.DUMMYFUNCTION("GOOGLETRANSLATE(P589,""my"", ""en"")"),"1.12%")</f>
        <v>1.12%</v>
      </c>
    </row>
    <row r="590" ht="22.5" customHeigh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3" t="s">
        <v>4300</v>
      </c>
      <c r="L590" s="23" t="s">
        <v>4301</v>
      </c>
      <c r="M590" s="24" t="s">
        <v>4302</v>
      </c>
      <c r="N590" s="24" t="s">
        <v>4303</v>
      </c>
      <c r="O590" s="24" t="s">
        <v>4304</v>
      </c>
      <c r="P590" s="25" t="s">
        <v>4305</v>
      </c>
      <c r="AC590" s="10" t="str">
        <f>IFERROR(__xludf.DUMMYFUNCTION("GOOGLETRANSLATE(K590,""my"", ""en"")"),"Soe ")</f>
        <v>Soe </v>
      </c>
      <c r="AD590" s="10" t="str">
        <f>IFERROR(__xludf.DUMMYFUNCTION("GOOGLETRANSLATE(L590,""my"", ""en"")"),"Ta'ang (လာင်)  Game Party")</f>
        <v>Ta'ang (လာင်)  Game Party</v>
      </c>
      <c r="AE590" s="10" t="str">
        <f>IFERROR(__xludf.DUMMYFUNCTION("GOOGLETRANSLATE(M590,""my"", ""en"")"),"2281")</f>
        <v>2281</v>
      </c>
      <c r="AF590" s="10" t="str">
        <f>IFERROR(__xludf.DUMMYFUNCTION("GOOGLETRANSLATE(N590,""my"", ""en"")"),"566")</f>
        <v>566</v>
      </c>
      <c r="AG590" s="10" t="str">
        <f>IFERROR(__xludf.DUMMYFUNCTION("GOOGLETRANSLATE(O590,""my"", ""en"")"),"2847")</f>
        <v>2847</v>
      </c>
      <c r="AH590" s="10" t="str">
        <f>IFERROR(__xludf.DUMMYFUNCTION("GOOGLETRANSLATE(P590,""my"", ""en"")"),"1.07%")</f>
        <v>1.07%</v>
      </c>
    </row>
    <row r="591" ht="21.75" customHeight="1">
      <c r="A591" s="28" t="s">
        <v>4306</v>
      </c>
      <c r="B591" s="17" t="s">
        <v>4307</v>
      </c>
      <c r="C591" s="18" t="s">
        <v>4308</v>
      </c>
      <c r="D591" s="18" t="s">
        <v>4309</v>
      </c>
      <c r="E591" s="18" t="s">
        <v>4310</v>
      </c>
      <c r="F591" s="18" t="s">
        <v>4311</v>
      </c>
      <c r="G591" s="18" t="s">
        <v>4312</v>
      </c>
      <c r="H591" s="18" t="s">
        <v>4313</v>
      </c>
      <c r="I591" s="18" t="s">
        <v>4314</v>
      </c>
      <c r="J591" s="18" t="s">
        <v>4315</v>
      </c>
      <c r="K591" s="27"/>
      <c r="L591" s="27"/>
      <c r="M591" s="46" t="s">
        <v>4316</v>
      </c>
      <c r="N591" s="46" t="s">
        <v>4317</v>
      </c>
      <c r="O591" s="18" t="s">
        <v>4318</v>
      </c>
      <c r="P591" s="27"/>
      <c r="S591" s="10" t="str">
        <f>IFERROR(__xludf.DUMMYFUNCTION("GOOGLETRANSLATE(A591,""my"", ""en"")"),"100")</f>
        <v>100</v>
      </c>
      <c r="T591" s="10" t="str">
        <f>IFERROR(__xludf.DUMMYFUNCTION("GOOGLETRANSLATE(B591,""my"", ""en"")"),"မဲဆ  No. (4)")</f>
        <v>မဲဆ  No. (4)</v>
      </c>
      <c r="U591" s="10" t="str">
        <f>IFERROR(__xludf.DUMMYFUNCTION("GOOGLETRANSLATE(C591,""my"", ""en"")"),"400744")</f>
        <v>400744</v>
      </c>
      <c r="V591" s="10" t="str">
        <f>IFERROR(__xludf.DUMMYFUNCTION("GOOGLETRANSLATE(D591,""my"", ""en"")"),"253752")</f>
        <v>253752</v>
      </c>
      <c r="W591" s="10" t="str">
        <f>IFERROR(__xludf.DUMMYFUNCTION("GOOGLETRANSLATE(E591,""my"", ""en"")"),"52810")</f>
        <v>52810</v>
      </c>
      <c r="X591" s="10" t="str">
        <f>IFERROR(__xludf.DUMMYFUNCTION("GOOGLETRANSLATE(F591,""my"", ""en"")"),"306562")</f>
        <v>306562</v>
      </c>
      <c r="Y591" s="10" t="str">
        <f>IFERROR(__xludf.DUMMYFUNCTION("GOOGLETRANSLATE(G591,""my"", ""en"")"),"76.50")</f>
        <v>76.50</v>
      </c>
      <c r="Z591" s="10" t="str">
        <f>IFERROR(__xludf.DUMMYFUNCTION("GOOGLETRANSLATE(H591,""my"", ""en"")"),"7832")</f>
        <v>7832</v>
      </c>
      <c r="AA591" s="10" t="str">
        <f>IFERROR(__xludf.DUMMYFUNCTION("GOOGLETRANSLATE(I591,""my"", ""en"")"),"189")</f>
        <v>189</v>
      </c>
      <c r="AB591" s="10" t="str">
        <f>IFERROR(__xludf.DUMMYFUNCTION("GOOGLETRANSLATE(J591,""my"", ""en"")"),"8021")</f>
        <v>8021</v>
      </c>
      <c r="AE591" s="10" t="str">
        <f>IFERROR(__xludf.DUMMYFUNCTION("GOOGLETRANSLATE(M591,""my"", ""en"")"),"246963")</f>
        <v>246963</v>
      </c>
      <c r="AF591" s="10" t="str">
        <f>IFERROR(__xludf.DUMMYFUNCTION("GOOGLETRANSLATE(N591,""my"", ""en"")"),"51578")</f>
        <v>51578</v>
      </c>
      <c r="AG591" s="10" t="str">
        <f>IFERROR(__xludf.DUMMYFUNCTION("GOOGLETRANSLATE(O591,""my"", ""en"")"),"298541")</f>
        <v>298541</v>
      </c>
    </row>
    <row r="592" ht="22.5" customHeigh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3" t="s">
        <v>4319</v>
      </c>
      <c r="L592" s="23" t="s">
        <v>4320</v>
      </c>
      <c r="M592" s="24" t="s">
        <v>4321</v>
      </c>
      <c r="N592" s="24" t="s">
        <v>4322</v>
      </c>
      <c r="O592" s="24" t="s">
        <v>4323</v>
      </c>
      <c r="P592" s="25" t="s">
        <v>4324</v>
      </c>
      <c r="AC592" s="10" t="str">
        <f>IFERROR(__xludf.DUMMYFUNCTION("GOOGLETRANSLATE(K592,""my"", ""en"")"),"Win")</f>
        <v>Win</v>
      </c>
      <c r="AD592" s="10" t="str">
        <f>IFERROR(__xludf.DUMMYFUNCTION("GOOGLETRANSLATE(L592,""my"", ""en"")")," Game Democracy group   Pop Party")</f>
        <v> Game Democracy group   Pop Party</v>
      </c>
      <c r="AE592" s="10" t="str">
        <f>IFERROR(__xludf.DUMMYFUNCTION("GOOGLETRANSLATE(M592,""my"", ""en"")"),"186069")</f>
        <v>186069</v>
      </c>
      <c r="AF592" s="10" t="str">
        <f>IFERROR(__xludf.DUMMYFUNCTION("GOOGLETRANSLATE(N592,""my"", ""en"")"),"33501")</f>
        <v>33501</v>
      </c>
      <c r="AG592" s="10" t="str">
        <f>IFERROR(__xludf.DUMMYFUNCTION("GOOGLETRANSLATE(O592,""my"", ""en"")"),"219570")</f>
        <v>219570</v>
      </c>
      <c r="AH592" s="10" t="str">
        <f>IFERROR(__xludf.DUMMYFUNCTION("GOOGLETRANSLATE(P592,""my"", ""en"")"),"73.55%")</f>
        <v>73.55%</v>
      </c>
    </row>
    <row r="593" ht="22.5" customHeigh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3" t="s">
        <v>4325</v>
      </c>
      <c r="L593" s="23" t="s">
        <v>4326</v>
      </c>
      <c r="M593" s="24" t="s">
        <v>4327</v>
      </c>
      <c r="N593" s="24" t="s">
        <v>4328</v>
      </c>
      <c r="O593" s="24" t="s">
        <v>4329</v>
      </c>
      <c r="P593" s="25" t="s">
        <v>4330</v>
      </c>
      <c r="AC593" s="10" t="str">
        <f>IFERROR(__xludf.DUMMYFUNCTION("GOOGLETRANSLATE(K593,""my"", ""en"")"),"Dozens ေဒါက် :)")</f>
        <v>Dozens ေဒါက် :)</v>
      </c>
      <c r="AD593" s="10" t="str">
        <f>IFERROR(__xludf.DUMMYFUNCTION("GOOGLETRANSLATE(L593,""my"", ""en"")"),"Local ေထာင် soap-stone strong ေရး  under development  Phil  ေရး Party")</f>
        <v>Local ေထာင် soap-stone strong ေရး  under development  Phil  ေရး Party</v>
      </c>
      <c r="AE593" s="10" t="str">
        <f>IFERROR(__xludf.DUMMYFUNCTION("GOOGLETRANSLATE(M593,""my"", ""en"")"),"53897")</f>
        <v>53897</v>
      </c>
      <c r="AF593" s="10" t="str">
        <f>IFERROR(__xludf.DUMMYFUNCTION("GOOGLETRANSLATE(N593,""my"", ""en"")"),"15944")</f>
        <v>15944</v>
      </c>
      <c r="AG593" s="10" t="str">
        <f>IFERROR(__xludf.DUMMYFUNCTION("GOOGLETRANSLATE(O593,""my"", ""en"")"),"69841")</f>
        <v>69841</v>
      </c>
      <c r="AH593" s="10" t="str">
        <f>IFERROR(__xludf.DUMMYFUNCTION("GOOGLETRANSLATE(P593,""my"", ""en"")"),"23.39%")</f>
        <v>23.39%</v>
      </c>
    </row>
    <row r="594" ht="24.0" customHeigh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3" t="s">
        <v>4331</v>
      </c>
      <c r="L594" s="23" t="s">
        <v>4332</v>
      </c>
      <c r="M594" s="24" t="s">
        <v>4333</v>
      </c>
      <c r="N594" s="24" t="s">
        <v>4334</v>
      </c>
      <c r="O594" s="24" t="s">
        <v>4335</v>
      </c>
      <c r="P594" s="25" t="s">
        <v>4336</v>
      </c>
      <c r="AC594" s="10" t="str">
        <f>IFERROR(__xludf.DUMMYFUNCTION("GOOGLETRANSLATE(K594,""my"", ""en"")"),"Data   over several")</f>
        <v>Data   over several</v>
      </c>
      <c r="AD594" s="10" t="str">
        <f>IFERROR(__xludf.DUMMYFUNCTION("GOOGLETRANSLATE(L594,""my"", ""en"")"),"Personal ")</f>
        <v>Personal </v>
      </c>
      <c r="AE594" s="10" t="str">
        <f>IFERROR(__xludf.DUMMYFUNCTION("GOOGLETRANSLATE(M594,""my"", ""en"")"),"4610")</f>
        <v>4610</v>
      </c>
      <c r="AF594" s="10" t="str">
        <f>IFERROR(__xludf.DUMMYFUNCTION("GOOGLETRANSLATE(N594,""my"", ""en"")"),"1328")</f>
        <v>1328</v>
      </c>
      <c r="AG594" s="10" t="str">
        <f>IFERROR(__xludf.DUMMYFUNCTION("GOOGLETRANSLATE(O594,""my"", ""en"")"),"5938")</f>
        <v>5938</v>
      </c>
      <c r="AH594" s="10" t="str">
        <f>IFERROR(__xludf.DUMMYFUNCTION("GOOGLETRANSLATE(P594,""my"", ""en"")"),"1.99%")</f>
        <v>1.99%</v>
      </c>
    </row>
    <row r="595" ht="22.5" customHeigh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3" t="s">
        <v>4337</v>
      </c>
      <c r="L595" s="23" t="s">
        <v>4338</v>
      </c>
      <c r="M595" s="24" t="s">
        <v>4339</v>
      </c>
      <c r="N595" s="24" t="s">
        <v>4340</v>
      </c>
      <c r="O595" s="24" t="s">
        <v>4341</v>
      </c>
      <c r="P595" s="25" t="s">
        <v>4342</v>
      </c>
      <c r="AC595" s="10" t="str">
        <f>IFERROR(__xludf.DUMMYFUNCTION("GOOGLETRANSLATE(K595,""my"", ""en"")"),"ေသာင်း ေထွး")</f>
        <v>ေသာင်း ေထွး</v>
      </c>
      <c r="AD595" s="10" t="str">
        <f>IFERROR(__xludf.DUMMYFUNCTION("GOOGLETRANSLATE(L595,""my"", ""en"")"),"Local ေထာင် စုေ white  Game ေဆာင် Party")</f>
        <v>Local ေထာင် စုေ white  Game ေဆာင် Party</v>
      </c>
      <c r="AE595" s="10" t="str">
        <f>IFERROR(__xludf.DUMMYFUNCTION("GOOGLETRANSLATE(M595,""my"", ""en"")"),"2387")</f>
        <v>2387</v>
      </c>
      <c r="AF595" s="10" t="str">
        <f>IFERROR(__xludf.DUMMYFUNCTION("GOOGLETRANSLATE(N595,""my"", ""en"")"),"805")</f>
        <v>805</v>
      </c>
      <c r="AG595" s="10" t="str">
        <f>IFERROR(__xludf.DUMMYFUNCTION("GOOGLETRANSLATE(O595,""my"", ""en"")"),"3192")</f>
        <v>3192</v>
      </c>
      <c r="AH595" s="10" t="str">
        <f>IFERROR(__xludf.DUMMYFUNCTION("GOOGLETRANSLATE(P595,""my"", ""en"")"),"1.07%")</f>
        <v>1.07%</v>
      </c>
    </row>
    <row r="596" ht="24.0" customHeight="1">
      <c r="A596" s="28" t="s">
        <v>4343</v>
      </c>
      <c r="B596" s="17" t="s">
        <v>4344</v>
      </c>
      <c r="C596" s="18" t="s">
        <v>4345</v>
      </c>
      <c r="D596" s="17" t="s">
        <v>4346</v>
      </c>
      <c r="E596" s="18" t="s">
        <v>4347</v>
      </c>
      <c r="F596" s="17" t="s">
        <v>4348</v>
      </c>
      <c r="G596" s="18" t="s">
        <v>4349</v>
      </c>
      <c r="H596" s="18" t="s">
        <v>4350</v>
      </c>
      <c r="I596" s="18" t="s">
        <v>4351</v>
      </c>
      <c r="J596" s="18" t="s">
        <v>4352</v>
      </c>
      <c r="K596" s="27"/>
      <c r="L596" s="27"/>
      <c r="M596" s="18" t="s">
        <v>4353</v>
      </c>
      <c r="N596" s="18" t="s">
        <v>4354</v>
      </c>
      <c r="O596" s="18" t="s">
        <v>4355</v>
      </c>
      <c r="P596" s="27"/>
      <c r="S596" s="10" t="str">
        <f>IFERROR(__xludf.DUMMYFUNCTION("GOOGLETRANSLATE(A596,""my"", ""en"")"),"101")</f>
        <v>101</v>
      </c>
      <c r="T596" s="10" t="str">
        <f>IFERROR(__xludf.DUMMYFUNCTION("GOOGLETRANSLATE(B596,""my"", ""en"")"),"မဲဆ  (5 points)")</f>
        <v>မဲဆ  (5 points)</v>
      </c>
      <c r="U596" s="10" t="str">
        <f>IFERROR(__xludf.DUMMYFUNCTION("GOOGLETRANSLATE(C596,""my"", ""en"")"),"595275")</f>
        <v>595275</v>
      </c>
      <c r="V596" s="10" t="str">
        <f>IFERROR(__xludf.DUMMYFUNCTION("GOOGLETRANSLATE(D596,""my"", ""en"")"),"365886")</f>
        <v>365886</v>
      </c>
      <c r="W596" s="10" t="str">
        <f>IFERROR(__xludf.DUMMYFUNCTION("GOOGLETRANSLATE(E596,""my"", ""en"")"),"73372")</f>
        <v>73372</v>
      </c>
      <c r="X596" s="10" t="str">
        <f>IFERROR(__xludf.DUMMYFUNCTION("GOOGLETRANSLATE(F596,""my"", ""en"")"),"439258")</f>
        <v>439258</v>
      </c>
      <c r="Y596" s="10" t="str">
        <f>IFERROR(__xludf.DUMMYFUNCTION("GOOGLETRANSLATE(G596,""my"", ""en"")"),"73.79")</f>
        <v>73.79</v>
      </c>
      <c r="Z596" s="10" t="str">
        <f>IFERROR(__xludf.DUMMYFUNCTION("GOOGLETRANSLATE(H596,""my"", ""en"")"),"6149")</f>
        <v>6149</v>
      </c>
      <c r="AA596" s="10" t="str">
        <f>IFERROR(__xludf.DUMMYFUNCTION("GOOGLETRANSLATE(I596,""my"", ""en"")"),"526")</f>
        <v>526</v>
      </c>
      <c r="AB596" s="10" t="str">
        <f>IFERROR(__xludf.DUMMYFUNCTION("GOOGLETRANSLATE(J596,""my"", ""en"")"),"6675")</f>
        <v>6675</v>
      </c>
      <c r="AE596" s="10" t="str">
        <f>IFERROR(__xludf.DUMMYFUNCTION("GOOGLETRANSLATE(M596,""my"", ""en"")"),"360089")</f>
        <v>360089</v>
      </c>
      <c r="AF596" s="10" t="str">
        <f>IFERROR(__xludf.DUMMYFUNCTION("GOOGLETRANSLATE(N596,""my"", ""en"")"),"72494")</f>
        <v>72494</v>
      </c>
      <c r="AG596" s="10" t="str">
        <f>IFERROR(__xludf.DUMMYFUNCTION("GOOGLETRANSLATE(O596,""my"", ""en"")"),"432583")</f>
        <v>432583</v>
      </c>
    </row>
    <row r="597" ht="24.75" customHeigh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3" t="s">
        <v>4356</v>
      </c>
      <c r="L597" s="23" t="s">
        <v>4357</v>
      </c>
      <c r="M597" s="24" t="s">
        <v>4358</v>
      </c>
      <c r="N597" s="24" t="s">
        <v>4359</v>
      </c>
      <c r="O597" s="24" t="s">
        <v>4360</v>
      </c>
      <c r="P597" s="25" t="s">
        <v>4361</v>
      </c>
      <c r="AC597" s="10" t="str">
        <f>IFERROR(__xludf.DUMMYFUNCTION("GOOGLETRANSLATE(K597,""my"", ""en"")"),"U Tun Tun Oo")</f>
        <v>U Tun Tun Oo</v>
      </c>
      <c r="AD597" s="10" t="str">
        <f>IFERROR(__xludf.DUMMYFUNCTION("GOOGLETRANSLATE(L597,""my"", ""en"")")," Game Democracy group   Pop Party")</f>
        <v> Game Democracy group   Pop Party</v>
      </c>
      <c r="AE597" s="10" t="str">
        <f>IFERROR(__xludf.DUMMYFUNCTION("GOOGLETRANSLATE(M597,""my"", ""en"")"),"319698")</f>
        <v>319698</v>
      </c>
      <c r="AF597" s="10" t="str">
        <f>IFERROR(__xludf.DUMMYFUNCTION("GOOGLETRANSLATE(N597,""my"", ""en"")"),"59114")</f>
        <v>59114</v>
      </c>
      <c r="AG597" s="10" t="str">
        <f>IFERROR(__xludf.DUMMYFUNCTION("GOOGLETRANSLATE(O597,""my"", ""en"")"),"378812")</f>
        <v>378812</v>
      </c>
      <c r="AH597" s="10" t="str">
        <f>IFERROR(__xludf.DUMMYFUNCTION("GOOGLETRANSLATE(P597,""my"", ""en"")"),"87.57%")</f>
        <v>87.57%</v>
      </c>
    </row>
    <row r="598" ht="24.0" customHeigh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3" t="s">
        <v>4362</v>
      </c>
      <c r="L598" s="23" t="s">
        <v>4363</v>
      </c>
      <c r="M598" s="24" t="s">
        <v>4364</v>
      </c>
      <c r="N598" s="24" t="s">
        <v>4365</v>
      </c>
      <c r="O598" s="24" t="s">
        <v>4366</v>
      </c>
      <c r="P598" s="25" t="s">
        <v>4367</v>
      </c>
      <c r="AC598" s="10" t="str">
        <f>IFERROR(__xludf.DUMMYFUNCTION("GOOGLETRANSLATE(K598,""my"", ""en"")"),"ေဒ  yellow ")</f>
        <v>ေဒ  yellow </v>
      </c>
      <c r="AD598" s="10" t="str">
        <f>IFERROR(__xludf.DUMMYFUNCTION("GOOGLETRANSLATE(L598,""my"", ""en"")"),"Local ေထာင် soap-stone strong ေရး  under development  Phil  ေရး Party")</f>
        <v>Local ေထာင် soap-stone strong ေရး  under development  Phil  ေရး Party</v>
      </c>
      <c r="AE598" s="10" t="str">
        <f>IFERROR(__xludf.DUMMYFUNCTION("GOOGLETRANSLATE(M598,""my"", ""en"")"),"36182")</f>
        <v>36182</v>
      </c>
      <c r="AF598" s="10" t="str">
        <f>IFERROR(__xludf.DUMMYFUNCTION("GOOGLETRANSLATE(N598,""my"", ""en"")"),"11972")</f>
        <v>11972</v>
      </c>
      <c r="AG598" s="10" t="str">
        <f>IFERROR(__xludf.DUMMYFUNCTION("GOOGLETRANSLATE(O598,""my"", ""en"")"),"48154")</f>
        <v>48154</v>
      </c>
      <c r="AH598" s="10" t="str">
        <f>IFERROR(__xludf.DUMMYFUNCTION("GOOGLETRANSLATE(P598,""my"", ""en"")"),"11.13%")</f>
        <v>11.13%</v>
      </c>
    </row>
    <row r="599" ht="34.5" customHeigh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3" t="s">
        <v>4368</v>
      </c>
      <c r="L599" s="23" t="s">
        <v>4369</v>
      </c>
      <c r="M599" s="24" t="s">
        <v>4370</v>
      </c>
      <c r="N599" s="24" t="s">
        <v>4371</v>
      </c>
      <c r="O599" s="24" t="s">
        <v>4372</v>
      </c>
      <c r="P599" s="31" t="s">
        <v>4373</v>
      </c>
      <c r="AC599" s="10" t="str">
        <f>IFERROR(__xludf.DUMMYFUNCTION("GOOGLETRANSLATE(K599,""my"", ""en"")"),"U Tint Lwin Soe (b) new ေဇာ")</f>
        <v>U Tint Lwin Soe (b) new ေဇာ</v>
      </c>
      <c r="AD599" s="10" t="str">
        <f>IFERROR(__xludf.DUMMYFUNCTION("GOOGLETRANSLATE(L599,""my"", ""en"")"),"ပည်သူ ေရှ  ေဆာင် Party")</f>
        <v>ပည်သူ ေရှ  ေဆာင် Party</v>
      </c>
      <c r="AE599" s="10" t="str">
        <f>IFERROR(__xludf.DUMMYFUNCTION("GOOGLETRANSLATE(M599,""my"", ""en"")"),"2244")</f>
        <v>2244</v>
      </c>
      <c r="AF599" s="10" t="str">
        <f>IFERROR(__xludf.DUMMYFUNCTION("GOOGLETRANSLATE(N599,""my"", ""en"")"),"578")</f>
        <v>578</v>
      </c>
      <c r="AG599" s="10" t="str">
        <f>IFERROR(__xludf.DUMMYFUNCTION("GOOGLETRANSLATE(O599,""my"", ""en"")"),"2822")</f>
        <v>2822</v>
      </c>
      <c r="AH599" s="10" t="str">
        <f>IFERROR(__xludf.DUMMYFUNCTION("GOOGLETRANSLATE(P599,""my"", ""en"")"),"0.65%")</f>
        <v>0.65%</v>
      </c>
    </row>
    <row r="600" ht="22.5" customHeigh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3" t="s">
        <v>4374</v>
      </c>
      <c r="L600" s="23" t="s">
        <v>4375</v>
      </c>
      <c r="M600" s="24" t="s">
        <v>4376</v>
      </c>
      <c r="N600" s="24" t="s">
        <v>4377</v>
      </c>
      <c r="O600" s="24" t="s">
        <v>4378</v>
      </c>
      <c r="P600" s="25" t="s">
        <v>4379</v>
      </c>
      <c r="AC600" s="10" t="str">
        <f>IFERROR(__xludf.DUMMYFUNCTION("GOOGLETRANSLATE(K600,""my"", ""en"")")," Game ေဝ")</f>
        <v> Game ေဝ</v>
      </c>
      <c r="AD600" s="10" t="str">
        <f>IFERROR(__xludf.DUMMYFUNCTION("GOOGLETRANSLATE(L600,""my"", ""en"")"),"Local ေထာင် စုေ white  Game ေဆာင် Party")</f>
        <v>Local ေထာင် စုေ white  Game ေဆာင် Party</v>
      </c>
      <c r="AE600" s="10" t="str">
        <f>IFERROR(__xludf.DUMMYFUNCTION("GOOGLETRANSLATE(M600,""my"", ""en"")"),"1170")</f>
        <v>1170</v>
      </c>
      <c r="AF600" s="10" t="str">
        <f>IFERROR(__xludf.DUMMYFUNCTION("GOOGLETRANSLATE(N600,""my"", ""en"")"),"605")</f>
        <v>605</v>
      </c>
      <c r="AG600" s="10" t="str">
        <f>IFERROR(__xludf.DUMMYFUNCTION("GOOGLETRANSLATE(O600,""my"", ""en"")"),"1775")</f>
        <v>1775</v>
      </c>
      <c r="AH600" s="10" t="str">
        <f>IFERROR(__xludf.DUMMYFUNCTION("GOOGLETRANSLATE(P600,""my"", ""en"")"),"0.41%")</f>
        <v>0.41%</v>
      </c>
    </row>
    <row r="601" ht="22.5" customHeigh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3" t="s">
        <v>4380</v>
      </c>
      <c r="L601" s="23" t="s">
        <v>4381</v>
      </c>
      <c r="M601" s="24" t="s">
        <v>4382</v>
      </c>
      <c r="N601" s="24" t="s">
        <v>4383</v>
      </c>
      <c r="O601" s="24" t="s">
        <v>4384</v>
      </c>
      <c r="P601" s="25" t="s">
        <v>4385</v>
      </c>
      <c r="AC601" s="10" t="str">
        <f>IFERROR(__xludf.DUMMYFUNCTION("GOOGLETRANSLATE(K601,""my"", ""en"")"),"Win Htein")</f>
        <v>Win Htein</v>
      </c>
      <c r="AD601" s="10" t="str">
        <f>IFERROR(__xludf.DUMMYFUNCTION("GOOGLETRANSLATE(L601,""my"", ""en"")")," Game  Democratic Party political-Fi")</f>
        <v> Game  Democratic Party political-Fi</v>
      </c>
      <c r="AE601" s="10" t="str">
        <f>IFERROR(__xludf.DUMMYFUNCTION("GOOGLETRANSLATE(M601,""my"", ""en"")"),"795")</f>
        <v>795</v>
      </c>
      <c r="AF601" s="10" t="str">
        <f>IFERROR(__xludf.DUMMYFUNCTION("GOOGLETRANSLATE(N601,""my"", ""en"")"),"225")</f>
        <v>225</v>
      </c>
      <c r="AG601" s="10" t="str">
        <f>IFERROR(__xludf.DUMMYFUNCTION("GOOGLETRANSLATE(O601,""my"", ""en"")"),"1020")</f>
        <v>1020</v>
      </c>
      <c r="AH601" s="10" t="str">
        <f>IFERROR(__xludf.DUMMYFUNCTION("GOOGLETRANSLATE(P601,""my"", ""en"")"),"0.24%")</f>
        <v>0.24%</v>
      </c>
    </row>
    <row r="602" ht="21.75" customHeight="1">
      <c r="A602" s="28" t="s">
        <v>4386</v>
      </c>
      <c r="B602" s="17" t="s">
        <v>4387</v>
      </c>
      <c r="C602" s="18" t="s">
        <v>4388</v>
      </c>
      <c r="D602" s="17" t="s">
        <v>4389</v>
      </c>
      <c r="E602" s="18" t="s">
        <v>4390</v>
      </c>
      <c r="F602" s="17" t="s">
        <v>4391</v>
      </c>
      <c r="G602" s="18" t="s">
        <v>4392</v>
      </c>
      <c r="H602" s="18" t="s">
        <v>4393</v>
      </c>
      <c r="I602" s="18" t="s">
        <v>4394</v>
      </c>
      <c r="J602" s="18" t="s">
        <v>4395</v>
      </c>
      <c r="K602" s="27"/>
      <c r="L602" s="27"/>
      <c r="M602" s="18" t="s">
        <v>4396</v>
      </c>
      <c r="N602" s="18" t="s">
        <v>4397</v>
      </c>
      <c r="O602" s="18" t="s">
        <v>4398</v>
      </c>
      <c r="P602" s="27"/>
      <c r="S602" s="10" t="str">
        <f>IFERROR(__xludf.DUMMYFUNCTION("GOOGLETRANSLATE(A602,""my"", ""en"")"),"102")</f>
        <v>102</v>
      </c>
      <c r="T602" s="10" t="str">
        <f>IFERROR(__xludf.DUMMYFUNCTION("GOOGLETRANSLATE(B602,""my"", ""en"")"),"မဲဆ  No. (6)")</f>
        <v>မဲဆ  No. (6)</v>
      </c>
      <c r="U602" s="10" t="str">
        <f>IFERROR(__xludf.DUMMYFUNCTION("GOOGLETRANSLATE(C602,""my"", ""en"")"),"680095")</f>
        <v>680095</v>
      </c>
      <c r="V602" s="10" t="str">
        <f>IFERROR(__xludf.DUMMYFUNCTION("GOOGLETRANSLATE(D602,""my"", ""en"")"),"425475")</f>
        <v>425475</v>
      </c>
      <c r="W602" s="10" t="str">
        <f>IFERROR(__xludf.DUMMYFUNCTION("GOOGLETRANSLATE(E602,""my"", ""en"")"),"96144")</f>
        <v>96144</v>
      </c>
      <c r="X602" s="10" t="str">
        <f>IFERROR(__xludf.DUMMYFUNCTION("GOOGLETRANSLATE(F602,""my"", ""en"")"),"521619")</f>
        <v>521619</v>
      </c>
      <c r="Y602" s="10" t="str">
        <f>IFERROR(__xludf.DUMMYFUNCTION("GOOGLETRANSLATE(G602,""my"", ""en"")"),"76.70")</f>
        <v>76.70</v>
      </c>
      <c r="Z602" s="10" t="str">
        <f>IFERROR(__xludf.DUMMYFUNCTION("GOOGLETRANSLATE(H602,""my"", ""en"")"),"4236")</f>
        <v>4236</v>
      </c>
      <c r="AA602" s="10" t="str">
        <f>IFERROR(__xludf.DUMMYFUNCTION("GOOGLETRANSLATE(I602,""my"", ""en"")"),"292")</f>
        <v>292</v>
      </c>
      <c r="AB602" s="10" t="str">
        <f>IFERROR(__xludf.DUMMYFUNCTION("GOOGLETRANSLATE(J602,""my"", ""en"")"),"4528")</f>
        <v>4528</v>
      </c>
      <c r="AE602" s="10" t="str">
        <f>IFERROR(__xludf.DUMMYFUNCTION("GOOGLETRANSLATE(M602,""my"", ""en"")"),"421304")</f>
        <v>421304</v>
      </c>
      <c r="AF602" s="10" t="str">
        <f>IFERROR(__xludf.DUMMYFUNCTION("GOOGLETRANSLATE(N602,""my"", ""en"")"),"95787")</f>
        <v>95787</v>
      </c>
      <c r="AG602" s="10" t="str">
        <f>IFERROR(__xludf.DUMMYFUNCTION("GOOGLETRANSLATE(O602,""my"", ""en"")"),"517091")</f>
        <v>517091</v>
      </c>
    </row>
    <row r="603" ht="25.5" customHeigh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48" t="s">
        <v>4399</v>
      </c>
      <c r="L603" s="23" t="s">
        <v>4400</v>
      </c>
      <c r="M603" s="24" t="s">
        <v>4401</v>
      </c>
      <c r="N603" s="24" t="s">
        <v>4402</v>
      </c>
      <c r="O603" s="24" t="s">
        <v>4403</v>
      </c>
      <c r="P603" s="25" t="s">
        <v>4404</v>
      </c>
      <c r="AC603" s="10" t="str">
        <f>IFERROR(__xludf.DUMMYFUNCTION("GOOGLETRANSLATE(K603,""my"", ""en"")"),"ပါေ  ေဒါက် Than Win")</f>
        <v>ပါေ  ေဒါက် Than Win</v>
      </c>
      <c r="AD603" s="10" t="str">
        <f>IFERROR(__xludf.DUMMYFUNCTION("GOOGLETRANSLATE(L603,""my"", ""en"")")," Game Democracy group   Pop Party")</f>
        <v> Game Democracy group   Pop Party</v>
      </c>
      <c r="AE603" s="10" t="str">
        <f>IFERROR(__xludf.DUMMYFUNCTION("GOOGLETRANSLATE(M603,""my"", ""en"")"),"371326")</f>
        <v>371326</v>
      </c>
      <c r="AF603" s="10" t="str">
        <f>IFERROR(__xludf.DUMMYFUNCTION("GOOGLETRANSLATE(N603,""my"", ""en"")"),"79363")</f>
        <v>79363</v>
      </c>
      <c r="AG603" s="10" t="str">
        <f>IFERROR(__xludf.DUMMYFUNCTION("GOOGLETRANSLATE(O603,""my"", ""en"")"),"450689")</f>
        <v>450689</v>
      </c>
      <c r="AH603" s="10" t="str">
        <f>IFERROR(__xludf.DUMMYFUNCTION("GOOGLETRANSLATE(P603,""my"", ""en"")"),"87.16%")</f>
        <v>87.16%</v>
      </c>
    </row>
    <row r="604" ht="24.75" customHeigh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3" t="s">
        <v>4405</v>
      </c>
      <c r="L604" s="23" t="s">
        <v>4406</v>
      </c>
      <c r="M604" s="24" t="s">
        <v>4407</v>
      </c>
      <c r="N604" s="24" t="s">
        <v>4408</v>
      </c>
      <c r="O604" s="24" t="s">
        <v>4409</v>
      </c>
      <c r="P604" s="25" t="s">
        <v>4410</v>
      </c>
      <c r="AC604" s="10" t="str">
        <f>IFERROR(__xludf.DUMMYFUNCTION("GOOGLETRANSLATE(K604,""my"", ""en"")"),"ေသာင်း  Union")</f>
        <v>ေသာင်း  Union</v>
      </c>
      <c r="AD604" s="10" t="str">
        <f>IFERROR(__xludf.DUMMYFUNCTION("GOOGLETRANSLATE(L604,""my"", ""en"")"),"Local ေထာင် soap-stone strong ေရး  under development  Phil  ေရး Party")</f>
        <v>Local ေထာင် soap-stone strong ေရး  under development  Phil  ေရး Party</v>
      </c>
      <c r="AE604" s="10" t="str">
        <f>IFERROR(__xludf.DUMMYFUNCTION("GOOGLETRANSLATE(M604,""my"", ""en"")"),"45558")</f>
        <v>45558</v>
      </c>
      <c r="AF604" s="10" t="str">
        <f>IFERROR(__xludf.DUMMYFUNCTION("GOOGLETRANSLATE(N604,""my"", ""en"")"),"14778")</f>
        <v>14778</v>
      </c>
      <c r="AG604" s="10" t="str">
        <f>IFERROR(__xludf.DUMMYFUNCTION("GOOGLETRANSLATE(O604,""my"", ""en"")"),"60336")</f>
        <v>60336</v>
      </c>
      <c r="AH604" s="10" t="str">
        <f>IFERROR(__xludf.DUMMYFUNCTION("GOOGLETRANSLATE(P604,""my"", ""en"")"),"11.67%")</f>
        <v>11.67%</v>
      </c>
    </row>
    <row r="605" ht="24.0" customHeigh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3" t="s">
        <v>4411</v>
      </c>
      <c r="L605" s="23" t="s">
        <v>4412</v>
      </c>
      <c r="M605" s="24" t="s">
        <v>4413</v>
      </c>
      <c r="N605" s="24" t="s">
        <v>4414</v>
      </c>
      <c r="O605" s="24" t="s">
        <v>4415</v>
      </c>
      <c r="P605" s="25" t="s">
        <v>4416</v>
      </c>
      <c r="AC605" s="10" t="str">
        <f>IFERROR(__xludf.DUMMYFUNCTION("GOOGLETRANSLATE(K605,""my"", ""en"")"),"Show ေကျာ")</f>
        <v>Show ေကျာ</v>
      </c>
      <c r="AD605" s="10" t="str">
        <f>IFERROR(__xludf.DUMMYFUNCTION("GOOGLETRANSLATE(L605,""my"", ""en"")"),"ပည်သူ ေရှ  ေဆာင် Party")</f>
        <v>ပည်သူ ေရှ  ေဆာင် Party</v>
      </c>
      <c r="AE605" s="10" t="str">
        <f>IFERROR(__xludf.DUMMYFUNCTION("GOOGLETRANSLATE(M605,""my"", ""en"")"),"2244")</f>
        <v>2244</v>
      </c>
      <c r="AF605" s="10" t="str">
        <f>IFERROR(__xludf.DUMMYFUNCTION("GOOGLETRANSLATE(N605,""my"", ""en"")"),"665")</f>
        <v>665</v>
      </c>
      <c r="AG605" s="10" t="str">
        <f>IFERROR(__xludf.DUMMYFUNCTION("GOOGLETRANSLATE(O605,""my"", ""en"")"),"2909")</f>
        <v>2909</v>
      </c>
      <c r="AH605" s="10" t="str">
        <f>IFERROR(__xludf.DUMMYFUNCTION("GOOGLETRANSLATE(P605,""my"", ""en"")"),"0.56%")</f>
        <v>0.56%</v>
      </c>
    </row>
    <row r="606" ht="24.0" customHeigh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3" t="s">
        <v>4417</v>
      </c>
      <c r="L606" s="23" t="s">
        <v>4418</v>
      </c>
      <c r="M606" s="24" t="s">
        <v>4419</v>
      </c>
      <c r="N606" s="24" t="s">
        <v>4420</v>
      </c>
      <c r="O606" s="24" t="s">
        <v>4421</v>
      </c>
      <c r="P606" s="25" t="s">
        <v>4422</v>
      </c>
      <c r="AC606" s="10" t="str">
        <f>IFERROR(__xludf.DUMMYFUNCTION("GOOGLETRANSLATE(K606,""my"", ""en"")"),"ေဒ  March Mon Khine")</f>
        <v>ေဒ  March Mon Khine</v>
      </c>
      <c r="AD606" s="10" t="str">
        <f>IFERROR(__xludf.DUMMYFUNCTION("GOOGLETRANSLATE(L606,""my"", ""en"")"),"Local ေထာင် စုေ white  Game ေဆာင် Party")</f>
        <v>Local ေထာင် စုေ white  Game ေဆာင် Party</v>
      </c>
      <c r="AE606" s="10" t="str">
        <f>IFERROR(__xludf.DUMMYFUNCTION("GOOGLETRANSLATE(M606,""my"", ""en"")"),"1730")</f>
        <v>1730</v>
      </c>
      <c r="AF606" s="10" t="str">
        <f>IFERROR(__xludf.DUMMYFUNCTION("GOOGLETRANSLATE(N606,""my"", ""en"")"),"781")</f>
        <v>781</v>
      </c>
      <c r="AG606" s="10" t="str">
        <f>IFERROR(__xludf.DUMMYFUNCTION("GOOGLETRANSLATE(O606,""my"", ""en"")"),"2511")</f>
        <v>2511</v>
      </c>
      <c r="AH606" s="10" t="str">
        <f>IFERROR(__xludf.DUMMYFUNCTION("GOOGLETRANSLATE(P606,""my"", ""en"")"),"0.49%")</f>
        <v>0.49%</v>
      </c>
    </row>
    <row r="607" ht="22.5" customHeigh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3" t="s">
        <v>4423</v>
      </c>
      <c r="L607" s="23" t="s">
        <v>4424</v>
      </c>
      <c r="M607" s="24" t="s">
        <v>4425</v>
      </c>
      <c r="N607" s="24" t="s">
        <v>4426</v>
      </c>
      <c r="O607" s="24" t="s">
        <v>4427</v>
      </c>
      <c r="P607" s="25" t="s">
        <v>4428</v>
      </c>
      <c r="AC607" s="10" t="str">
        <f>IFERROR(__xludf.DUMMYFUNCTION("GOOGLETRANSLATE(K607,""my"", ""en"")"),"ေစာ Win  Cashier")</f>
        <v>ေစာ Win  Cashier</v>
      </c>
      <c r="AD607" s="10" t="str">
        <f>IFERROR(__xludf.DUMMYFUNCTION("GOOGLETRANSLATE(L607,""my"", ""en"")"),"Personal ")</f>
        <v>Personal </v>
      </c>
      <c r="AE607" s="10" t="str">
        <f>IFERROR(__xludf.DUMMYFUNCTION("GOOGLETRANSLATE(M607,""my"", ""en"")"),"446")</f>
        <v>446</v>
      </c>
      <c r="AF607" s="10" t="str">
        <f>IFERROR(__xludf.DUMMYFUNCTION("GOOGLETRANSLATE(N607,""my"", ""en"")"),"200")</f>
        <v>200</v>
      </c>
      <c r="AG607" s="10" t="str">
        <f>IFERROR(__xludf.DUMMYFUNCTION("GOOGLETRANSLATE(O607,""my"", ""en"")"),"646")</f>
        <v>646</v>
      </c>
      <c r="AH607" s="10" t="str">
        <f>IFERROR(__xludf.DUMMYFUNCTION("GOOGLETRANSLATE(P607,""my"", ""en"")"),"0.12%")</f>
        <v>0.12%</v>
      </c>
    </row>
    <row r="608" ht="21.0" customHeight="1">
      <c r="A608" s="28" t="s">
        <v>4429</v>
      </c>
      <c r="B608" s="17" t="s">
        <v>4430</v>
      </c>
      <c r="C608" s="18" t="s">
        <v>4431</v>
      </c>
      <c r="D608" s="17" t="s">
        <v>4432</v>
      </c>
      <c r="E608" s="18" t="s">
        <v>4433</v>
      </c>
      <c r="F608" s="17" t="s">
        <v>4434</v>
      </c>
      <c r="G608" s="18" t="s">
        <v>4435</v>
      </c>
      <c r="H608" s="18" t="s">
        <v>4436</v>
      </c>
      <c r="I608" s="18" t="s">
        <v>4437</v>
      </c>
      <c r="J608" s="18" t="s">
        <v>4438</v>
      </c>
      <c r="K608" s="27"/>
      <c r="L608" s="27"/>
      <c r="M608" s="46" t="s">
        <v>4439</v>
      </c>
      <c r="N608" s="46" t="s">
        <v>4440</v>
      </c>
      <c r="O608" s="46" t="s">
        <v>4441</v>
      </c>
      <c r="P608" s="27"/>
      <c r="S608" s="10" t="str">
        <f>IFERROR(__xludf.DUMMYFUNCTION("GOOGLETRANSLATE(A608,""my"", ""en"")"),"103")</f>
        <v>103</v>
      </c>
      <c r="T608" s="10" t="str">
        <f>IFERROR(__xludf.DUMMYFUNCTION("GOOGLETRANSLATE(B608,""my"", ""en"")"),"မဲဆ  No. (7)")</f>
        <v>မဲဆ  No. (7)</v>
      </c>
      <c r="U608" s="10" t="str">
        <f>IFERROR(__xludf.DUMMYFUNCTION("GOOGLETRANSLATE(C608,""my"", ""en"")"),"381221")</f>
        <v>381221</v>
      </c>
      <c r="V608" s="10" t="str">
        <f>IFERROR(__xludf.DUMMYFUNCTION("GOOGLETRANSLATE(D608,""my"", ""en"")"),"244636")</f>
        <v>244636</v>
      </c>
      <c r="W608" s="10" t="str">
        <f>IFERROR(__xludf.DUMMYFUNCTION("GOOGLETRANSLATE(E608,""my"", ""en"")"),"55564")</f>
        <v>55564</v>
      </c>
      <c r="X608" s="10" t="str">
        <f>IFERROR(__xludf.DUMMYFUNCTION("GOOGLETRANSLATE(F608,""my"", ""en"")"),"300200")</f>
        <v>300200</v>
      </c>
      <c r="Y608" s="10" t="str">
        <f>IFERROR(__xludf.DUMMYFUNCTION("GOOGLETRANSLATE(G608,""my"", ""en"")"),"78.75")</f>
        <v>78.75</v>
      </c>
      <c r="Z608" s="10" t="str">
        <f>IFERROR(__xludf.DUMMYFUNCTION("GOOGLETRANSLATE(H608,""my"", ""en"")"),"6185")</f>
        <v>6185</v>
      </c>
      <c r="AA608" s="10" t="str">
        <f>IFERROR(__xludf.DUMMYFUNCTION("GOOGLETRANSLATE(I608,""my"", ""en"")"),"405")</f>
        <v>405</v>
      </c>
      <c r="AB608" s="10" t="str">
        <f>IFERROR(__xludf.DUMMYFUNCTION("GOOGLETRANSLATE(J608,""my"", ""en"")"),"6590")</f>
        <v>6590</v>
      </c>
      <c r="AE608" s="10" t="str">
        <f>IFERROR(__xludf.DUMMYFUNCTION("GOOGLETRANSLATE(M608,""my"", ""en"")"),"238477")</f>
        <v>238477</v>
      </c>
      <c r="AF608" s="10" t="str">
        <f>IFERROR(__xludf.DUMMYFUNCTION("GOOGLETRANSLATE(N608,""my"", ""en"")"),"55133")</f>
        <v>55133</v>
      </c>
      <c r="AG608" s="10" t="str">
        <f>IFERROR(__xludf.DUMMYFUNCTION("GOOGLETRANSLATE(O608,""my"", ""en"")"),"293610")</f>
        <v>293610</v>
      </c>
    </row>
    <row r="609" ht="24.75" customHeigh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3" t="s">
        <v>4442</v>
      </c>
      <c r="L609" s="23" t="s">
        <v>4443</v>
      </c>
      <c r="M609" s="24" t="s">
        <v>4444</v>
      </c>
      <c r="N609" s="24" t="s">
        <v>4445</v>
      </c>
      <c r="O609" s="24" t="s">
        <v>4446</v>
      </c>
      <c r="P609" s="25" t="s">
        <v>4447</v>
      </c>
      <c r="AC609" s="10" t="str">
        <f>IFERROR(__xludf.DUMMYFUNCTION("GOOGLETRANSLATE(K609,""my"", ""en"")"),"Phone ေကျာ")</f>
        <v>Phone ေကျာ</v>
      </c>
      <c r="AD609" s="10" t="str">
        <f>IFERROR(__xludf.DUMMYFUNCTION("GOOGLETRANSLATE(L609,""my"", ""en"")")," Game Democracy group   Pop Party")</f>
        <v> Game Democracy group   Pop Party</v>
      </c>
      <c r="AE609" s="10" t="str">
        <f>IFERROR(__xludf.DUMMYFUNCTION("GOOGLETRANSLATE(M609,""my"", ""en"")"),"140501")</f>
        <v>140501</v>
      </c>
      <c r="AF609" s="10" t="str">
        <f>IFERROR(__xludf.DUMMYFUNCTION("GOOGLETRANSLATE(N609,""my"", ""en"")"),"29134")</f>
        <v>29134</v>
      </c>
      <c r="AG609" s="10" t="str">
        <f>IFERROR(__xludf.DUMMYFUNCTION("GOOGLETRANSLATE(O609,""my"", ""en"")"),"169635")</f>
        <v>169635</v>
      </c>
      <c r="AH609" s="10" t="str">
        <f>IFERROR(__xludf.DUMMYFUNCTION("GOOGLETRANSLATE(P609,""my"", ""en"")"),"57.78%")</f>
        <v>57.78%</v>
      </c>
    </row>
    <row r="610" ht="24.0" customHeigh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3" t="s">
        <v>4448</v>
      </c>
      <c r="L610" s="23" t="s">
        <v>4449</v>
      </c>
      <c r="M610" s="24" t="s">
        <v>4450</v>
      </c>
      <c r="N610" s="24" t="s">
        <v>4451</v>
      </c>
      <c r="O610" s="24" t="s">
        <v>4452</v>
      </c>
      <c r="P610" s="25" t="s">
        <v>4453</v>
      </c>
      <c r="AC610" s="10" t="str">
        <f>IFERROR(__xludf.DUMMYFUNCTION("GOOGLETRANSLATE(K610,""my"", ""en"")"),"U Ye Tun  Cashier")</f>
        <v>U Ye Tun  Cashier</v>
      </c>
      <c r="AD610" s="10" t="str">
        <f>IFERROR(__xludf.DUMMYFUNCTION("GOOGLETRANSLATE(L610,""my"", ""en"")"),"Local ေထာင် soap-stone strong ေရး  under development  Phil  ေရး Party")</f>
        <v>Local ေထာင် soap-stone strong ေရး  under development  Phil  ေရး Party</v>
      </c>
      <c r="AE610" s="10" t="str">
        <f>IFERROR(__xludf.DUMMYFUNCTION("GOOGLETRANSLATE(M610,""my"", ""en"")"),"95623")</f>
        <v>95623</v>
      </c>
      <c r="AF610" s="10" t="str">
        <f>IFERROR(__xludf.DUMMYFUNCTION("GOOGLETRANSLATE(N610,""my"", ""en"")"),"25178")</f>
        <v>25178</v>
      </c>
      <c r="AG610" s="10" t="str">
        <f>IFERROR(__xludf.DUMMYFUNCTION("GOOGLETRANSLATE(O610,""my"", ""en"")"),"120801")</f>
        <v>120801</v>
      </c>
      <c r="AH610" s="10" t="str">
        <f>IFERROR(__xludf.DUMMYFUNCTION("GOOGLETRANSLATE(P610,""my"", ""en"")"),"41.14%")</f>
        <v>41.14%</v>
      </c>
    </row>
    <row r="611" ht="24.0" customHeigh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3" t="s">
        <v>4454</v>
      </c>
      <c r="L611" s="23" t="s">
        <v>4455</v>
      </c>
      <c r="M611" s="24" t="s">
        <v>4456</v>
      </c>
      <c r="N611" s="24" t="s">
        <v>4457</v>
      </c>
      <c r="O611" s="24" t="s">
        <v>4458</v>
      </c>
      <c r="P611" s="25" t="s">
        <v>4459</v>
      </c>
      <c r="AC611" s="10" t="str">
        <f>IFERROR(__xludf.DUMMYFUNCTION("GOOGLETRANSLATE(K611,""my"", ""en"")"),"ေအာင်")</f>
        <v>ေအာင်</v>
      </c>
      <c r="AD611" s="10" t="str">
        <f>IFERROR(__xludf.DUMMYFUNCTION("GOOGLETRANSLATE(L611,""my"", ""en"")"),"Local ေထာင် စုေ white  Game ေဆာင် Party")</f>
        <v>Local ေထာင် စုေ white  Game ေဆာင် Party</v>
      </c>
      <c r="AE611" s="10" t="str">
        <f>IFERROR(__xludf.DUMMYFUNCTION("GOOGLETRANSLATE(M611,""my"", ""en"")"),"1833")</f>
        <v>1833</v>
      </c>
      <c r="AF611" s="10" t="str">
        <f>IFERROR(__xludf.DUMMYFUNCTION("GOOGLETRANSLATE(N611,""my"", ""en"")"),"599")</f>
        <v>599</v>
      </c>
      <c r="AG611" s="10" t="str">
        <f>IFERROR(__xludf.DUMMYFUNCTION("GOOGLETRANSLATE(O611,""my"", ""en"")"),"2432")</f>
        <v>2432</v>
      </c>
      <c r="AH611" s="10" t="str">
        <f>IFERROR(__xludf.DUMMYFUNCTION("GOOGLETRANSLATE(P611,""my"", ""en"")"),"0.83%")</f>
        <v>0.83%</v>
      </c>
    </row>
    <row r="612" ht="24.0" customHeigh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3" t="s">
        <v>4460</v>
      </c>
      <c r="L612" s="23" t="s">
        <v>4461</v>
      </c>
      <c r="M612" s="24" t="s">
        <v>4462</v>
      </c>
      <c r="N612" s="24" t="s">
        <v>4463</v>
      </c>
      <c r="O612" s="24" t="s">
        <v>4464</v>
      </c>
      <c r="P612" s="25" t="s">
        <v>4465</v>
      </c>
      <c r="AC612" s="10" t="str">
        <f>IFERROR(__xludf.DUMMYFUNCTION("GOOGLETRANSLATE(K612,""my"", ""en"")"),"ေဒ   several million")</f>
        <v>ေဒ   several million</v>
      </c>
      <c r="AD612" s="10" t="str">
        <f>IFERROR(__xludf.DUMMYFUNCTION("GOOGLETRANSLATE(L612,""my"", ""en"")"),"B class life's big party ေရး")</f>
        <v>B class life's big party ေရး</v>
      </c>
      <c r="AE612" s="10" t="str">
        <f>IFERROR(__xludf.DUMMYFUNCTION("GOOGLETRANSLATE(M612,""my"", ""en"")"),"520")</f>
        <v>520</v>
      </c>
      <c r="AF612" s="10" t="str">
        <f>IFERROR(__xludf.DUMMYFUNCTION("GOOGLETRANSLATE(N612,""my"", ""en"")"),"222")</f>
        <v>222</v>
      </c>
      <c r="AG612" s="10" t="str">
        <f>IFERROR(__xludf.DUMMYFUNCTION("GOOGLETRANSLATE(O612,""my"", ""en"")"),"742")</f>
        <v>742</v>
      </c>
      <c r="AH612" s="10" t="str">
        <f>IFERROR(__xludf.DUMMYFUNCTION("GOOGLETRANSLATE(P612,""my"", ""en"")"),"0.25%")</f>
        <v>0.25%</v>
      </c>
    </row>
    <row r="613" ht="19.5" customHeight="1">
      <c r="A613" s="28" t="s">
        <v>4466</v>
      </c>
      <c r="B613" s="17" t="s">
        <v>4467</v>
      </c>
      <c r="C613" s="18" t="s">
        <v>4468</v>
      </c>
      <c r="D613" s="17" t="s">
        <v>4469</v>
      </c>
      <c r="E613" s="18" t="s">
        <v>4470</v>
      </c>
      <c r="F613" s="17" t="s">
        <v>4471</v>
      </c>
      <c r="G613" s="18" t="s">
        <v>4472</v>
      </c>
      <c r="H613" s="18" t="s">
        <v>4473</v>
      </c>
      <c r="I613" s="18" t="s">
        <v>4474</v>
      </c>
      <c r="J613" s="18" t="s">
        <v>4475</v>
      </c>
      <c r="K613" s="27"/>
      <c r="L613" s="27"/>
      <c r="M613" s="18" t="s">
        <v>4476</v>
      </c>
      <c r="N613" s="18" t="s">
        <v>4477</v>
      </c>
      <c r="O613" s="18" t="s">
        <v>4478</v>
      </c>
      <c r="P613" s="27"/>
      <c r="S613" s="10" t="str">
        <f>IFERROR(__xludf.DUMMYFUNCTION("GOOGLETRANSLATE(A613,""my"", ""en"")"),"104")</f>
        <v>104</v>
      </c>
      <c r="T613" s="10" t="str">
        <f>IFERROR(__xludf.DUMMYFUNCTION("GOOGLETRANSLATE(B613,""my"", ""en"")"),"မဲဆ  No. (8)")</f>
        <v>မဲဆ  No. (8)</v>
      </c>
      <c r="U613" s="10" t="str">
        <f>IFERROR(__xludf.DUMMYFUNCTION("GOOGLETRANSLATE(C613,""my"", ""en"")"),"352219")</f>
        <v>352219</v>
      </c>
      <c r="V613" s="10" t="str">
        <f>IFERROR(__xludf.DUMMYFUNCTION("GOOGLETRANSLATE(D613,""my"", ""en"")"),"246751")</f>
        <v>246751</v>
      </c>
      <c r="W613" s="10" t="str">
        <f>IFERROR(__xludf.DUMMYFUNCTION("GOOGLETRANSLATE(E613,""my"", ""en"")"),"54486")</f>
        <v>54486</v>
      </c>
      <c r="X613" s="10" t="str">
        <f>IFERROR(__xludf.DUMMYFUNCTION("GOOGLETRANSLATE(F613,""my"", ""en"")"),"301237")</f>
        <v>301237</v>
      </c>
      <c r="Y613" s="10" t="str">
        <f>IFERROR(__xludf.DUMMYFUNCTION("GOOGLETRANSLATE(G613,""my"", ""en"")"),"85.53")</f>
        <v>85.53</v>
      </c>
      <c r="Z613" s="10" t="str">
        <f>IFERROR(__xludf.DUMMYFUNCTION("GOOGLETRANSLATE(H613,""my"", ""en"")"),"13668")</f>
        <v>13668</v>
      </c>
      <c r="AA613" s="10" t="str">
        <f>IFERROR(__xludf.DUMMYFUNCTION("GOOGLETRANSLATE(I613,""my"", ""en"")"),"426")</f>
        <v>426</v>
      </c>
      <c r="AB613" s="10" t="str">
        <f>IFERROR(__xludf.DUMMYFUNCTION("GOOGLETRANSLATE(J613,""my"", ""en"")"),"14094")</f>
        <v>14094</v>
      </c>
      <c r="AE613" s="10" t="str">
        <f>IFERROR(__xludf.DUMMYFUNCTION("GOOGLETRANSLATE(M613,""my"", ""en"")"),"232908")</f>
        <v>232908</v>
      </c>
      <c r="AF613" s="10" t="str">
        <f>IFERROR(__xludf.DUMMYFUNCTION("GOOGLETRANSLATE(N613,""my"", ""en"")"),"54235")</f>
        <v>54235</v>
      </c>
      <c r="AG613" s="10" t="str">
        <f>IFERROR(__xludf.DUMMYFUNCTION("GOOGLETRANSLATE(O613,""my"", ""en"")"),"287143")</f>
        <v>287143</v>
      </c>
    </row>
    <row r="614" ht="24.75" customHeigh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3" t="s">
        <v>4479</v>
      </c>
      <c r="L614" s="23" t="s">
        <v>4480</v>
      </c>
      <c r="M614" s="24" t="s">
        <v>4481</v>
      </c>
      <c r="N614" s="24" t="s">
        <v>4482</v>
      </c>
      <c r="O614" s="24" t="s">
        <v>4483</v>
      </c>
      <c r="P614" s="25" t="s">
        <v>4484</v>
      </c>
      <c r="AC614" s="10" t="str">
        <f>IFERROR(__xludf.DUMMYFUNCTION("GOOGLETRANSLATE(K614,""my"", ""en"")"),"ေအာင်")</f>
        <v>ေအာင်</v>
      </c>
      <c r="AD614" s="10" t="str">
        <f>IFERROR(__xludf.DUMMYFUNCTION("GOOGLETRANSLATE(L614,""my"", ""en"")")," Game Democracy group   Pop Party")</f>
        <v> Game Democracy group   Pop Party</v>
      </c>
      <c r="AE614" s="10" t="str">
        <f>IFERROR(__xludf.DUMMYFUNCTION("GOOGLETRANSLATE(M614,""my"", ""en"")"),"150533")</f>
        <v>150533</v>
      </c>
      <c r="AF614" s="10" t="str">
        <f>IFERROR(__xludf.DUMMYFUNCTION("GOOGLETRANSLATE(N614,""my"", ""en"")"),"34546")</f>
        <v>34546</v>
      </c>
      <c r="AG614" s="10" t="str">
        <f>IFERROR(__xludf.DUMMYFUNCTION("GOOGLETRANSLATE(O614,""my"", ""en"")"),"185079")</f>
        <v>185079</v>
      </c>
      <c r="AH614" s="10" t="str">
        <f>IFERROR(__xludf.DUMMYFUNCTION("GOOGLETRANSLATE(P614,""my"", ""en"")"),"64.45%")</f>
        <v>64.45%</v>
      </c>
    </row>
    <row r="615" ht="24.0" customHeigh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3" t="s">
        <v>4485</v>
      </c>
      <c r="L615" s="23" t="s">
        <v>4486</v>
      </c>
      <c r="M615" s="24" t="s">
        <v>4487</v>
      </c>
      <c r="N615" s="24" t="s">
        <v>4488</v>
      </c>
      <c r="O615" s="24" t="s">
        <v>4489</v>
      </c>
      <c r="P615" s="25" t="s">
        <v>4490</v>
      </c>
      <c r="AC615" s="10" t="str">
        <f>IFERROR(__xludf.DUMMYFUNCTION("GOOGLETRANSLATE(K615,""my"", ""en"")"),"U Tun Tun Oo")</f>
        <v>U Tun Tun Oo</v>
      </c>
      <c r="AD615" s="10" t="str">
        <f>IFERROR(__xludf.DUMMYFUNCTION("GOOGLETRANSLATE(L615,""my"", ""en"")"),"Local ေထာင် soap-stone strong ေရး  under development  Phil  ေရး Party")</f>
        <v>Local ေထာင် soap-stone strong ေရး  under development  Phil  ေရး Party</v>
      </c>
      <c r="AE615" s="10" t="str">
        <f>IFERROR(__xludf.DUMMYFUNCTION("GOOGLETRANSLATE(M615,""my"", ""en"")"),"77314")</f>
        <v>77314</v>
      </c>
      <c r="AF615" s="10" t="str">
        <f>IFERROR(__xludf.DUMMYFUNCTION("GOOGLETRANSLATE(N615,""my"", ""en"")"),"18157")</f>
        <v>18157</v>
      </c>
      <c r="AG615" s="10" t="str">
        <f>IFERROR(__xludf.DUMMYFUNCTION("GOOGLETRANSLATE(O615,""my"", ""en"")"),"95471")</f>
        <v>95471</v>
      </c>
      <c r="AH615" s="10" t="str">
        <f>IFERROR(__xludf.DUMMYFUNCTION("GOOGLETRANSLATE(P615,""my"", ""en"")"),"33.25%")</f>
        <v>33.25%</v>
      </c>
    </row>
    <row r="616" ht="24.75" customHeigh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3" t="s">
        <v>4491</v>
      </c>
      <c r="L616" s="23" t="s">
        <v>4492</v>
      </c>
      <c r="M616" s="24" t="s">
        <v>4493</v>
      </c>
      <c r="N616" s="24" t="s">
        <v>4494</v>
      </c>
      <c r="O616" s="24" t="s">
        <v>4495</v>
      </c>
      <c r="P616" s="25" t="s">
        <v>4496</v>
      </c>
      <c r="AC616" s="10" t="str">
        <f>IFERROR(__xludf.DUMMYFUNCTION("GOOGLETRANSLATE(K616,""my"", ""en"")"),"ေကျာ")</f>
        <v>ေကျာ</v>
      </c>
      <c r="AD616" s="10" t="str">
        <f>IFERROR(__xludf.DUMMYFUNCTION("GOOGLETRANSLATE(L616,""my"", ""en"")"),"Ethnic unity  working party ေရး")</f>
        <v>Ethnic unity  working party ေရး</v>
      </c>
      <c r="AE616" s="10" t="str">
        <f>IFERROR(__xludf.DUMMYFUNCTION("GOOGLETRANSLATE(M616,""my"", ""en"")"),"2945")</f>
        <v>2945</v>
      </c>
      <c r="AF616" s="10" t="str">
        <f>IFERROR(__xludf.DUMMYFUNCTION("GOOGLETRANSLATE(N616,""my"", ""en"")"),"986")</f>
        <v>986</v>
      </c>
      <c r="AG616" s="10" t="str">
        <f>IFERROR(__xludf.DUMMYFUNCTION("GOOGLETRANSLATE(O616,""my"", ""en"")"),"3931")</f>
        <v>3931</v>
      </c>
      <c r="AH616" s="10" t="str">
        <f>IFERROR(__xludf.DUMMYFUNCTION("GOOGLETRANSLATE(P616,""my"", ""en"")"),"1.37%")</f>
        <v>1.37%</v>
      </c>
    </row>
    <row r="617" ht="24.75" customHeigh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3" t="s">
        <v>4497</v>
      </c>
      <c r="L617" s="23" t="s">
        <v>4498</v>
      </c>
      <c r="M617" s="24" t="s">
        <v>4499</v>
      </c>
      <c r="N617" s="24" t="s">
        <v>4500</v>
      </c>
      <c r="O617" s="24" t="s">
        <v>4501</v>
      </c>
      <c r="P617" s="25" t="s">
        <v>4502</v>
      </c>
      <c r="AC617" s="10" t="str">
        <f>IFERROR(__xludf.DUMMYFUNCTION("GOOGLETRANSLATE(K617,""my"", ""en"")"),"ေဒ  fee")</f>
        <v>ေဒ  fee</v>
      </c>
      <c r="AD617" s="10" t="str">
        <f>IFERROR(__xludf.DUMMYFUNCTION("GOOGLETRANSLATE(L617,""my"", ""en"")"),"Local ေထာင် စုေ white  Game ေဆာင် Party")</f>
        <v>Local ေထာင် စုေ white  Game ေဆာင် Party</v>
      </c>
      <c r="AE617" s="10" t="str">
        <f>IFERROR(__xludf.DUMMYFUNCTION("GOOGLETRANSLATE(M617,""my"", ""en"")"),"2116")</f>
        <v>2116</v>
      </c>
      <c r="AF617" s="10" t="str">
        <f>IFERROR(__xludf.DUMMYFUNCTION("GOOGLETRANSLATE(N617,""my"", ""en"")"),"546")</f>
        <v>546</v>
      </c>
      <c r="AG617" s="10" t="str">
        <f>IFERROR(__xludf.DUMMYFUNCTION("GOOGLETRANSLATE(O617,""my"", ""en"")"),"2662")</f>
        <v>2662</v>
      </c>
      <c r="AH617" s="10" t="str">
        <f>IFERROR(__xludf.DUMMYFUNCTION("GOOGLETRANSLATE(P617,""my"", ""en"")"),"0.93%")</f>
        <v>0.93%</v>
      </c>
    </row>
    <row r="618" ht="22.5" customHeight="1">
      <c r="A618" s="28" t="s">
        <v>4503</v>
      </c>
      <c r="B618" s="17" t="s">
        <v>4504</v>
      </c>
      <c r="C618" s="18" t="s">
        <v>4505</v>
      </c>
      <c r="D618" s="18" t="s">
        <v>4506</v>
      </c>
      <c r="E618" s="18" t="s">
        <v>4507</v>
      </c>
      <c r="F618" s="17" t="s">
        <v>4508</v>
      </c>
      <c r="G618" s="18" t="s">
        <v>4509</v>
      </c>
      <c r="H618" s="18" t="s">
        <v>4510</v>
      </c>
      <c r="I618" s="18" t="s">
        <v>4511</v>
      </c>
      <c r="J618" s="18" t="s">
        <v>4512</v>
      </c>
      <c r="K618" s="27"/>
      <c r="L618" s="27"/>
      <c r="M618" s="18" t="s">
        <v>4513</v>
      </c>
      <c r="N618" s="18" t="s">
        <v>4514</v>
      </c>
      <c r="O618" s="18" t="s">
        <v>4515</v>
      </c>
      <c r="P618" s="27"/>
      <c r="S618" s="10" t="str">
        <f>IFERROR(__xludf.DUMMYFUNCTION("GOOGLETRANSLATE(A618,""my"", ""en"")"),"105")</f>
        <v>105</v>
      </c>
      <c r="T618" s="10" t="str">
        <f>IFERROR(__xludf.DUMMYFUNCTION("GOOGLETRANSLATE(B618,""my"", ""en"")"),"မဲဆ  No. (9)")</f>
        <v>မဲဆ  No. (9)</v>
      </c>
      <c r="U618" s="10" t="str">
        <f>IFERROR(__xludf.DUMMYFUNCTION("GOOGLETRANSLATE(C618,""my"", ""en"")"),"705347")</f>
        <v>705347</v>
      </c>
      <c r="V618" s="10" t="str">
        <f>IFERROR(__xludf.DUMMYFUNCTION("GOOGLETRANSLATE(D618,""my"", ""en"")"),"431126")</f>
        <v>431126</v>
      </c>
      <c r="W618" s="10" t="str">
        <f>IFERROR(__xludf.DUMMYFUNCTION("GOOGLETRANSLATE(E618,""my"", ""en"")"),"111291")</f>
        <v>111291</v>
      </c>
      <c r="X618" s="10" t="str">
        <f>IFERROR(__xludf.DUMMYFUNCTION("GOOGLETRANSLATE(F618,""my"", ""en"")"),"542417")</f>
        <v>542417</v>
      </c>
      <c r="Y618" s="10" t="str">
        <f>IFERROR(__xludf.DUMMYFUNCTION("GOOGLETRANSLATE(G618,""my"", ""en"")"),"76.90")</f>
        <v>76.90</v>
      </c>
      <c r="Z618" s="10" t="str">
        <f>IFERROR(__xludf.DUMMYFUNCTION("GOOGLETRANSLATE(H618,""my"", ""en"")"),"10379")</f>
        <v>10379</v>
      </c>
      <c r="AA618" s="10" t="str">
        <f>IFERROR(__xludf.DUMMYFUNCTION("GOOGLETRANSLATE(I618,""my"", ""en"")"),"1266")</f>
        <v>1266</v>
      </c>
      <c r="AB618" s="10" t="str">
        <f>IFERROR(__xludf.DUMMYFUNCTION("GOOGLETRANSLATE(J618,""my"", ""en"")"),"11645")</f>
        <v>11645</v>
      </c>
      <c r="AE618" s="10" t="str">
        <f>IFERROR(__xludf.DUMMYFUNCTION("GOOGLETRANSLATE(M618,""my"", ""en"")"),"422020")</f>
        <v>422020</v>
      </c>
      <c r="AF618" s="10" t="str">
        <f>IFERROR(__xludf.DUMMYFUNCTION("GOOGLETRANSLATE(N618,""my"", ""en"")"),"108752")</f>
        <v>108752</v>
      </c>
      <c r="AG618" s="10" t="str">
        <f>IFERROR(__xludf.DUMMYFUNCTION("GOOGLETRANSLATE(O618,""my"", ""en"")"),"530772")</f>
        <v>530772</v>
      </c>
    </row>
    <row r="619" ht="22.5" customHeigh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3" t="s">
        <v>4516</v>
      </c>
      <c r="L619" s="23" t="s">
        <v>4517</v>
      </c>
      <c r="M619" s="24" t="s">
        <v>4518</v>
      </c>
      <c r="N619" s="24" t="s">
        <v>4519</v>
      </c>
      <c r="O619" s="24" t="s">
        <v>4520</v>
      </c>
      <c r="P619" s="25" t="s">
        <v>4521</v>
      </c>
      <c r="AC619" s="10" t="str">
        <f>IFERROR(__xludf.DUMMYFUNCTION("GOOGLETRANSLATE(K619,""my"", ""en"")"),"ေအာင် -shaped medium")</f>
        <v>ေအာင် -shaped medium</v>
      </c>
      <c r="AD619" s="10" t="str">
        <f>IFERROR(__xludf.DUMMYFUNCTION("GOOGLETRANSLATE(L619,""my"", ""en"")")," Game Democracy group   Pop Party")</f>
        <v> Game Democracy group   Pop Party</v>
      </c>
      <c r="AE619" s="10" t="str">
        <f>IFERROR(__xludf.DUMMYFUNCTION("GOOGLETRANSLATE(M619,""my"", ""en"")"),"335559")</f>
        <v>335559</v>
      </c>
      <c r="AF619" s="10" t="str">
        <f>IFERROR(__xludf.DUMMYFUNCTION("GOOGLETRANSLATE(N619,""my"", ""en"")"),"80851")</f>
        <v>80851</v>
      </c>
      <c r="AG619" s="10" t="str">
        <f>IFERROR(__xludf.DUMMYFUNCTION("GOOGLETRANSLATE(O619,""my"", ""en"")"),"416410")</f>
        <v>416410</v>
      </c>
      <c r="AH619" s="10" t="str">
        <f>IFERROR(__xludf.DUMMYFUNCTION("GOOGLETRANSLATE(P619,""my"", ""en"")"),"78.45%")</f>
        <v>78.45%</v>
      </c>
    </row>
    <row r="620" ht="22.5" customHeigh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3" t="s">
        <v>4522</v>
      </c>
      <c r="L620" s="23" t="s">
        <v>4523</v>
      </c>
      <c r="M620" s="24" t="s">
        <v>4524</v>
      </c>
      <c r="N620" s="24" t="s">
        <v>4525</v>
      </c>
      <c r="O620" s="24" t="s">
        <v>4526</v>
      </c>
      <c r="P620" s="25" t="s">
        <v>4527</v>
      </c>
      <c r="AC620" s="10" t="str">
        <f>IFERROR(__xludf.DUMMYFUNCTION("GOOGLETRANSLATE(K620,""my"", ""en"")"),"ေကျာ")</f>
        <v>ေကျာ</v>
      </c>
      <c r="AD620" s="10" t="str">
        <f>IFERROR(__xludf.DUMMYFUNCTION("GOOGLETRANSLATE(L620,""my"", ""en"")"),"Local ေထာင် soap-stone strong ေရး  under development  Phil  ေရး Party")</f>
        <v>Local ေထာင် soap-stone strong ေရး  under development  Phil  ေရး Party</v>
      </c>
      <c r="AE620" s="10" t="str">
        <f>IFERROR(__xludf.DUMMYFUNCTION("GOOGLETRANSLATE(M620,""my"", ""en"")"),"80214")</f>
        <v>80214</v>
      </c>
      <c r="AF620" s="10" t="str">
        <f>IFERROR(__xludf.DUMMYFUNCTION("GOOGLETRANSLATE(N620,""my"", ""en"")"),"25596")</f>
        <v>25596</v>
      </c>
      <c r="AG620" s="10" t="str">
        <f>IFERROR(__xludf.DUMMYFUNCTION("GOOGLETRANSLATE(O620,""my"", ""en"")"),"105810")</f>
        <v>105810</v>
      </c>
      <c r="AH620" s="10" t="str">
        <f>IFERROR(__xludf.DUMMYFUNCTION("GOOGLETRANSLATE(P620,""my"", ""en"")"),"19.94%")</f>
        <v>19.94%</v>
      </c>
    </row>
    <row r="621" ht="22.5" customHeigh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3" t="s">
        <v>4528</v>
      </c>
      <c r="L621" s="23" t="s">
        <v>4529</v>
      </c>
      <c r="M621" s="24" t="s">
        <v>4530</v>
      </c>
      <c r="N621" s="24" t="s">
        <v>4531</v>
      </c>
      <c r="O621" s="24" t="s">
        <v>4532</v>
      </c>
      <c r="P621" s="25" t="s">
        <v>4533</v>
      </c>
      <c r="AC621" s="10" t="str">
        <f>IFERROR(__xludf.DUMMYFUNCTION("GOOGLETRANSLATE(K621,""my"", ""en"")")," not-Fi")</f>
        <v> not-Fi</v>
      </c>
      <c r="AD621" s="10" t="str">
        <f>IFERROR(__xludf.DUMMYFUNCTION("GOOGLETRANSLATE(L621,""my"", ""en"")"),"Local ေထာင် စုေ white  Game ေဆာင် Party")</f>
        <v>Local ေထာင် စုေ white  Game ေဆာင် Party</v>
      </c>
      <c r="AE621" s="10" t="str">
        <f>IFERROR(__xludf.DUMMYFUNCTION("GOOGLETRANSLATE(M621,""my"", ""en"")"),"3710")</f>
        <v>3710</v>
      </c>
      <c r="AF621" s="10" t="str">
        <f>IFERROR(__xludf.DUMMYFUNCTION("GOOGLETRANSLATE(N621,""my"", ""en"")"),"1232")</f>
        <v>1232</v>
      </c>
      <c r="AG621" s="10" t="str">
        <f>IFERROR(__xludf.DUMMYFUNCTION("GOOGLETRANSLATE(O621,""my"", ""en"")"),"4942")</f>
        <v>4942</v>
      </c>
      <c r="AH621" s="10" t="str">
        <f>IFERROR(__xludf.DUMMYFUNCTION("GOOGLETRANSLATE(P621,""my"", ""en"")"),"0.93%")</f>
        <v>0.93%</v>
      </c>
    </row>
    <row r="622" ht="22.5" customHeigh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3" t="s">
        <v>4534</v>
      </c>
      <c r="L622" s="23" t="s">
        <v>4535</v>
      </c>
      <c r="M622" s="24" t="s">
        <v>4536</v>
      </c>
      <c r="N622" s="24" t="s">
        <v>4537</v>
      </c>
      <c r="O622" s="24" t="s">
        <v>4538</v>
      </c>
      <c r="P622" s="25" t="s">
        <v>4539</v>
      </c>
      <c r="AC622" s="10" t="str">
        <f>IFERROR(__xludf.DUMMYFUNCTION("GOOGLETRANSLATE(K622,""my"", ""en"")"),"ေအာင် million")</f>
        <v>ေအာင် million</v>
      </c>
      <c r="AD622" s="10" t="str">
        <f>IFERROR(__xludf.DUMMYFUNCTION("GOOGLETRANSLATE(L622,""my"", ""en"")"),"Ethnic unity  working party ေရး")</f>
        <v>Ethnic unity  working party ေရး</v>
      </c>
      <c r="AE622" s="10" t="str">
        <f>IFERROR(__xludf.DUMMYFUNCTION("GOOGLETRANSLATE(M622,""my"", ""en"")"),"2537")</f>
        <v>2537</v>
      </c>
      <c r="AF622" s="10" t="str">
        <f>IFERROR(__xludf.DUMMYFUNCTION("GOOGLETRANSLATE(N622,""my"", ""en"")"),"1073")</f>
        <v>1073</v>
      </c>
      <c r="AG622" s="10" t="str">
        <f>IFERROR(__xludf.DUMMYFUNCTION("GOOGLETRANSLATE(O622,""my"", ""en"")"),"3610")</f>
        <v>3610</v>
      </c>
      <c r="AH622" s="10" t="str">
        <f>IFERROR(__xludf.DUMMYFUNCTION("GOOGLETRANSLATE(P622,""my"", ""en"")"),"0.68%")</f>
        <v>0.68%</v>
      </c>
    </row>
    <row r="623" ht="22.5" customHeight="1">
      <c r="A623" s="28" t="s">
        <v>4540</v>
      </c>
      <c r="B623" s="17" t="s">
        <v>4541</v>
      </c>
      <c r="C623" s="18" t="s">
        <v>4542</v>
      </c>
      <c r="D623" s="18" t="s">
        <v>4543</v>
      </c>
      <c r="E623" s="18" t="s">
        <v>4544</v>
      </c>
      <c r="F623" s="17" t="s">
        <v>4545</v>
      </c>
      <c r="G623" s="18" t="s">
        <v>4546</v>
      </c>
      <c r="H623" s="18" t="s">
        <v>4547</v>
      </c>
      <c r="I623" s="18" t="s">
        <v>4548</v>
      </c>
      <c r="J623" s="18" t="s">
        <v>4549</v>
      </c>
      <c r="K623" s="27"/>
      <c r="L623" s="27"/>
      <c r="M623" s="18" t="s">
        <v>4550</v>
      </c>
      <c r="N623" s="18" t="s">
        <v>4551</v>
      </c>
      <c r="O623" s="18" t="s">
        <v>4552</v>
      </c>
      <c r="P623" s="27"/>
      <c r="S623" s="10" t="str">
        <f>IFERROR(__xludf.DUMMYFUNCTION("GOOGLETRANSLATE(A623,""my"", ""en"")"),"106")</f>
        <v>106</v>
      </c>
      <c r="T623" s="10" t="str">
        <f>IFERROR(__xludf.DUMMYFUNCTION("GOOGLETRANSLATE(B623,""my"", ""en"")"),"မဲဆ  No. (10)")</f>
        <v>မဲဆ  No. (10)</v>
      </c>
      <c r="U623" s="10" t="str">
        <f>IFERROR(__xludf.DUMMYFUNCTION("GOOGLETRANSLATE(C623,""my"", ""en"")"),"415129")</f>
        <v>415129</v>
      </c>
      <c r="V623" s="10" t="str">
        <f>IFERROR(__xludf.DUMMYFUNCTION("GOOGLETRANSLATE(D623,""my"", ""en"")"),"273496")</f>
        <v>273496</v>
      </c>
      <c r="W623" s="10" t="str">
        <f>IFERROR(__xludf.DUMMYFUNCTION("GOOGLETRANSLATE(E623,""my"", ""en"")"),"64044")</f>
        <v>64044</v>
      </c>
      <c r="X623" s="10" t="str">
        <f>IFERROR(__xludf.DUMMYFUNCTION("GOOGLETRANSLATE(F623,""my"", ""en"")"),"337540")</f>
        <v>337540</v>
      </c>
      <c r="Y623" s="10" t="str">
        <f>IFERROR(__xludf.DUMMYFUNCTION("GOOGLETRANSLATE(G623,""my"", ""en"")"),"81.31")</f>
        <v>81.31</v>
      </c>
      <c r="Z623" s="10" t="str">
        <f>IFERROR(__xludf.DUMMYFUNCTION("GOOGLETRANSLATE(H623,""my"", ""en"")"),"7571")</f>
        <v>7571</v>
      </c>
      <c r="AA623" s="10" t="str">
        <f>IFERROR(__xludf.DUMMYFUNCTION("GOOGLETRANSLATE(I623,""my"", ""en"")"),"130")</f>
        <v>130</v>
      </c>
      <c r="AB623" s="10" t="str">
        <f>IFERROR(__xludf.DUMMYFUNCTION("GOOGLETRANSLATE(J623,""my"", ""en"")"),"7701")</f>
        <v>7701</v>
      </c>
      <c r="AE623" s="10" t="str">
        <f>IFERROR(__xludf.DUMMYFUNCTION("GOOGLETRANSLATE(M623,""my"", ""en"")"),"265810")</f>
        <v>265810</v>
      </c>
      <c r="AF623" s="10" t="str">
        <f>IFERROR(__xludf.DUMMYFUNCTION("GOOGLETRANSLATE(N623,""my"", ""en"")"),"64029")</f>
        <v>64029</v>
      </c>
      <c r="AG623" s="10" t="str">
        <f>IFERROR(__xludf.DUMMYFUNCTION("GOOGLETRANSLATE(O623,""my"", ""en"")"),"329839")</f>
        <v>329839</v>
      </c>
    </row>
    <row r="624" ht="21.75" customHeigh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3" t="s">
        <v>4553</v>
      </c>
      <c r="L624" s="23" t="s">
        <v>4554</v>
      </c>
      <c r="M624" s="24" t="s">
        <v>4555</v>
      </c>
      <c r="N624" s="24" t="s">
        <v>4556</v>
      </c>
      <c r="O624" s="24" t="s">
        <v>4557</v>
      </c>
      <c r="P624" s="25" t="s">
        <v>4558</v>
      </c>
      <c r="AC624" s="10" t="str">
        <f>IFERROR(__xludf.DUMMYFUNCTION("GOOGLETRANSLATE(K624,""my"", ""en"")"),"U Nyi Nyi Lwin")</f>
        <v>U Nyi Nyi Lwin</v>
      </c>
      <c r="AD624" s="10" t="str">
        <f>IFERROR(__xludf.DUMMYFUNCTION("GOOGLETRANSLATE(L624,""my"", ""en"")")," Game Democracy group   Pop Party")</f>
        <v> Game Democracy group   Pop Party</v>
      </c>
      <c r="AE624" s="10" t="str">
        <f>IFERROR(__xludf.DUMMYFUNCTION("GOOGLETRANSLATE(M624,""my"", ""en"")"),"144733")</f>
        <v>144733</v>
      </c>
      <c r="AF624" s="10" t="str">
        <f>IFERROR(__xludf.DUMMYFUNCTION("GOOGLETRANSLATE(N624,""my"", ""en"")"),"33975")</f>
        <v>33975</v>
      </c>
      <c r="AG624" s="10" t="str">
        <f>IFERROR(__xludf.DUMMYFUNCTION("GOOGLETRANSLATE(O624,""my"", ""en"")"),"178708")</f>
        <v>178708</v>
      </c>
      <c r="AH624" s="10" t="str">
        <f>IFERROR(__xludf.DUMMYFUNCTION("GOOGLETRANSLATE(P624,""my"", ""en"")"),"54.18%")</f>
        <v>54.18%</v>
      </c>
    </row>
    <row r="625" ht="22.5" customHeigh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3" t="s">
        <v>4559</v>
      </c>
      <c r="L625" s="23" t="s">
        <v>4560</v>
      </c>
      <c r="M625" s="24" t="s">
        <v>4561</v>
      </c>
      <c r="N625" s="24" t="s">
        <v>4562</v>
      </c>
      <c r="O625" s="24" t="s">
        <v>4563</v>
      </c>
      <c r="P625" s="25" t="s">
        <v>4564</v>
      </c>
      <c r="AC625" s="10" t="str">
        <f>IFERROR(__xludf.DUMMYFUNCTION("GOOGLETRANSLATE(K625,""my"", ""en"")"),"Show ေမာင် ေမာင်")</f>
        <v>Show ေမာင် ေမာင်</v>
      </c>
      <c r="AD625" s="10" t="str">
        <f>IFERROR(__xludf.DUMMYFUNCTION("GOOGLETRANSLATE(L625,""my"", ""en"")"),"Local ေထာင် soap-stone strong ေရး  under development  Phil  ေရး Party")</f>
        <v>Local ေထာင် soap-stone strong ေရး  under development  Phil  ေရး Party</v>
      </c>
      <c r="AE625" s="10" t="str">
        <f>IFERROR(__xludf.DUMMYFUNCTION("GOOGLETRANSLATE(M625,""my"", ""en"")"),"118934")</f>
        <v>118934</v>
      </c>
      <c r="AF625" s="10" t="str">
        <f>IFERROR(__xludf.DUMMYFUNCTION("GOOGLETRANSLATE(N625,""my"", ""en"")"),"29436")</f>
        <v>29436</v>
      </c>
      <c r="AG625" s="10" t="str">
        <f>IFERROR(__xludf.DUMMYFUNCTION("GOOGLETRANSLATE(O625,""my"", ""en"")"),"148370")</f>
        <v>148370</v>
      </c>
      <c r="AH625" s="10" t="str">
        <f>IFERROR(__xludf.DUMMYFUNCTION("GOOGLETRANSLATE(P625,""my"", ""en"")"),"44.98%")</f>
        <v>44.98%</v>
      </c>
    </row>
    <row r="626" ht="21.75" customHeigh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3" t="s">
        <v>4565</v>
      </c>
      <c r="L626" s="23" t="s">
        <v>4566</v>
      </c>
      <c r="M626" s="24" t="s">
        <v>4567</v>
      </c>
      <c r="N626" s="24" t="s">
        <v>4568</v>
      </c>
      <c r="O626" s="24" t="s">
        <v>4569</v>
      </c>
      <c r="P626" s="25" t="s">
        <v>4570</v>
      </c>
      <c r="AC626" s="10" t="str">
        <f>IFERROR(__xludf.DUMMYFUNCTION("GOOGLETRANSLATE(K626,""my"", ""en"")"),"ေမာင် ေမာင်")</f>
        <v>ေမာင် ေမာင်</v>
      </c>
      <c r="AD626" s="10" t="str">
        <f>IFERROR(__xludf.DUMMYFUNCTION("GOOGLETRANSLATE(L626,""my"", ""en"")"),"Local ေထာင် စုေ white  Game ေဆာင် Party")</f>
        <v>Local ေထာင် စုေ white  Game ေဆာင် Party</v>
      </c>
      <c r="AE626" s="10" t="str">
        <f>IFERROR(__xludf.DUMMYFUNCTION("GOOGLETRANSLATE(M626,""my"", ""en"")"),"2143")</f>
        <v>2143</v>
      </c>
      <c r="AF626" s="10" t="str">
        <f>IFERROR(__xludf.DUMMYFUNCTION("GOOGLETRANSLATE(N626,""my"", ""en"")"),"618")</f>
        <v>618</v>
      </c>
      <c r="AG626" s="10" t="str">
        <f>IFERROR(__xludf.DUMMYFUNCTION("GOOGLETRANSLATE(O626,""my"", ""en"")"),"2761")</f>
        <v>2761</v>
      </c>
      <c r="AH626" s="10" t="str">
        <f>IFERROR(__xludf.DUMMYFUNCTION("GOOGLETRANSLATE(P626,""my"", ""en"")"),"0.84%")</f>
        <v>0.84%</v>
      </c>
    </row>
    <row r="627" ht="21.0" customHeight="1">
      <c r="A627" s="28" t="s">
        <v>4571</v>
      </c>
      <c r="B627" s="17" t="s">
        <v>4572</v>
      </c>
      <c r="C627" s="18" t="s">
        <v>4573</v>
      </c>
      <c r="D627" s="18" t="s">
        <v>4574</v>
      </c>
      <c r="E627" s="18" t="s">
        <v>4575</v>
      </c>
      <c r="F627" s="17" t="s">
        <v>4576</v>
      </c>
      <c r="G627" s="18" t="s">
        <v>4577</v>
      </c>
      <c r="H627" s="18" t="s">
        <v>4578</v>
      </c>
      <c r="I627" s="18" t="s">
        <v>4579</v>
      </c>
      <c r="J627" s="18" t="s">
        <v>4580</v>
      </c>
      <c r="K627" s="27"/>
      <c r="L627" s="27"/>
      <c r="M627" s="18" t="s">
        <v>4581</v>
      </c>
      <c r="N627" s="18" t="s">
        <v>4582</v>
      </c>
      <c r="O627" s="18" t="s">
        <v>4583</v>
      </c>
      <c r="P627" s="27"/>
      <c r="S627" s="10" t="str">
        <f>IFERROR(__xludf.DUMMYFUNCTION("GOOGLETRANSLATE(A627,""my"", ""en"")"),"107")</f>
        <v>107</v>
      </c>
      <c r="T627" s="10" t="str">
        <f>IFERROR(__xludf.DUMMYFUNCTION("GOOGLETRANSLATE(B627,""my"", ""en"")"),"မဲဆ  No. (11)")</f>
        <v>မဲဆ  No. (11)</v>
      </c>
      <c r="U627" s="10" t="str">
        <f>IFERROR(__xludf.DUMMYFUNCTION("GOOGLETRANSLATE(C627,""my"", ""en"")"),"486448")</f>
        <v>486448</v>
      </c>
      <c r="V627" s="10" t="str">
        <f>IFERROR(__xludf.DUMMYFUNCTION("GOOGLETRANSLATE(D627,""my"", ""en"")"),"277389")</f>
        <v>277389</v>
      </c>
      <c r="W627" s="10" t="str">
        <f>IFERROR(__xludf.DUMMYFUNCTION("GOOGLETRANSLATE(E627,""my"", ""en"")"),"83170")</f>
        <v>83170</v>
      </c>
      <c r="X627" s="10" t="str">
        <f>IFERROR(__xludf.DUMMYFUNCTION("GOOGLETRANSLATE(F627,""my"", ""en"")"),"360559")</f>
        <v>360559</v>
      </c>
      <c r="Y627" s="10" t="str">
        <f>IFERROR(__xludf.DUMMYFUNCTION("GOOGLETRANSLATE(G627,""my"", ""en"")"),"74.12")</f>
        <v>74.12</v>
      </c>
      <c r="Z627" s="10" t="str">
        <f>IFERROR(__xludf.DUMMYFUNCTION("GOOGLETRANSLATE(H627,""my"", ""en"")"),"7190")</f>
        <v>7190</v>
      </c>
      <c r="AA627" s="10" t="str">
        <f>IFERROR(__xludf.DUMMYFUNCTION("GOOGLETRANSLATE(I627,""my"", ""en"")"),"74")</f>
        <v>74</v>
      </c>
      <c r="AB627" s="10" t="str">
        <f>IFERROR(__xludf.DUMMYFUNCTION("GOOGLETRANSLATE(J627,""my"", ""en"")"),"7264")</f>
        <v>7264</v>
      </c>
      <c r="AE627" s="10" t="str">
        <f>IFERROR(__xludf.DUMMYFUNCTION("GOOGLETRANSLATE(M627,""my"", ""en"")"),"271285")</f>
        <v>271285</v>
      </c>
      <c r="AF627" s="10" t="str">
        <f>IFERROR(__xludf.DUMMYFUNCTION("GOOGLETRANSLATE(N627,""my"", ""en"")"),"82010")</f>
        <v>82010</v>
      </c>
      <c r="AG627" s="10" t="str">
        <f>IFERROR(__xludf.DUMMYFUNCTION("GOOGLETRANSLATE(O627,""my"", ""en"")"),"353295")</f>
        <v>353295</v>
      </c>
    </row>
    <row r="628" ht="21.75" customHeigh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3" t="s">
        <v>4584</v>
      </c>
      <c r="L628" s="23" t="s">
        <v>4585</v>
      </c>
      <c r="M628" s="24" t="s">
        <v>4586</v>
      </c>
      <c r="N628" s="24" t="s">
        <v>4587</v>
      </c>
      <c r="O628" s="24" t="s">
        <v>4588</v>
      </c>
      <c r="P628" s="25" t="s">
        <v>4589</v>
      </c>
      <c r="AC628" s="10" t="str">
        <f>IFERROR(__xludf.DUMMYFUNCTION("GOOGLETRANSLATE(K628,""my"", ""en"")"),"Show ေကျာ")</f>
        <v>Show ေကျာ</v>
      </c>
      <c r="AD628" s="10" t="str">
        <f>IFERROR(__xludf.DUMMYFUNCTION("GOOGLETRANSLATE(L628,""my"", ""en"")")," Game Democracy group   Pop Party")</f>
        <v> Game Democracy group   Pop Party</v>
      </c>
      <c r="AE628" s="10" t="str">
        <f>IFERROR(__xludf.DUMMYFUNCTION("GOOGLETRANSLATE(M628,""my"", ""en"")"),"194212")</f>
        <v>194212</v>
      </c>
      <c r="AF628" s="10" t="str">
        <f>IFERROR(__xludf.DUMMYFUNCTION("GOOGLETRANSLATE(N628,""my"", ""en"")"),"52593")</f>
        <v>52593</v>
      </c>
      <c r="AG628" s="10" t="str">
        <f>IFERROR(__xludf.DUMMYFUNCTION("GOOGLETRANSLATE(O628,""my"", ""en"")"),"246805")</f>
        <v>246805</v>
      </c>
      <c r="AH628" s="10" t="str">
        <f>IFERROR(__xludf.DUMMYFUNCTION("GOOGLETRANSLATE(P628,""my"", ""en"")"),"69.86%")</f>
        <v>69.86%</v>
      </c>
    </row>
    <row r="629" ht="21.0" customHeigh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3" t="s">
        <v>4590</v>
      </c>
      <c r="L629" s="23" t="s">
        <v>4591</v>
      </c>
      <c r="M629" s="24" t="s">
        <v>4592</v>
      </c>
      <c r="N629" s="24" t="s">
        <v>4593</v>
      </c>
      <c r="O629" s="24" t="s">
        <v>4594</v>
      </c>
      <c r="P629" s="25" t="s">
        <v>4595</v>
      </c>
      <c r="AC629" s="10" t="str">
        <f>IFERROR(__xludf.DUMMYFUNCTION("GOOGLETRANSLATE(K629,""my"", ""en"")"),"ေဒ  Win Win")</f>
        <v>ေဒ  Win Win</v>
      </c>
      <c r="AD629" s="10" t="str">
        <f>IFERROR(__xludf.DUMMYFUNCTION("GOOGLETRANSLATE(L629,""my"", ""en"")"),"Local ေထာင် soap-stone strong ေရး  under development  Phil  ေရး Party")</f>
        <v>Local ေထာင် soap-stone strong ေရး  under development  Phil  ေရး Party</v>
      </c>
      <c r="AE629" s="10" t="str">
        <f>IFERROR(__xludf.DUMMYFUNCTION("GOOGLETRANSLATE(M629,""my"", ""en"")"),"70226")</f>
        <v>70226</v>
      </c>
      <c r="AF629" s="10" t="str">
        <f>IFERROR(__xludf.DUMMYFUNCTION("GOOGLETRANSLATE(N629,""my"", ""en"")"),"26099")</f>
        <v>26099</v>
      </c>
      <c r="AG629" s="10" t="str">
        <f>IFERROR(__xludf.DUMMYFUNCTION("GOOGLETRANSLATE(O629,""my"", ""en"")"),"96325")</f>
        <v>96325</v>
      </c>
      <c r="AH629" s="10" t="str">
        <f>IFERROR(__xludf.DUMMYFUNCTION("GOOGLETRANSLATE(P629,""my"", ""en"")"),"27.26%")</f>
        <v>27.26%</v>
      </c>
    </row>
    <row r="630" ht="21.75" customHeigh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3" t="s">
        <v>4596</v>
      </c>
      <c r="L630" s="23" t="s">
        <v>4597</v>
      </c>
      <c r="M630" s="24" t="s">
        <v>4598</v>
      </c>
      <c r="N630" s="24" t="s">
        <v>4599</v>
      </c>
      <c r="O630" s="24" t="s">
        <v>4600</v>
      </c>
      <c r="P630" s="25" t="s">
        <v>4601</v>
      </c>
      <c r="AC630" s="10" t="str">
        <f>IFERROR(__xludf.DUMMYFUNCTION("GOOGLETRANSLATE(K630,""my"", ""en"")"),"ေဇာ ေအာင်")</f>
        <v>ေဇာ ေအာင်</v>
      </c>
      <c r="AD630" s="10" t="str">
        <f>IFERROR(__xludf.DUMMYFUNCTION("GOOGLETRANSLATE(L630,""my"", ""en"")"),"Local ေထာင် စုေ white  Game ေဆာင် Party")</f>
        <v>Local ေထာင် စုေ white  Game ေဆာင် Party</v>
      </c>
      <c r="AE630" s="10" t="str">
        <f>IFERROR(__xludf.DUMMYFUNCTION("GOOGLETRANSLATE(M630,""my"", ""en"")"),"3073")</f>
        <v>3073</v>
      </c>
      <c r="AF630" s="10" t="str">
        <f>IFERROR(__xludf.DUMMYFUNCTION("GOOGLETRANSLATE(N630,""my"", ""en"")"),"1504")</f>
        <v>1504</v>
      </c>
      <c r="AG630" s="10" t="str">
        <f>IFERROR(__xludf.DUMMYFUNCTION("GOOGLETRANSLATE(O630,""my"", ""en"")"),"4577")</f>
        <v>4577</v>
      </c>
      <c r="AH630" s="10" t="str">
        <f>IFERROR(__xludf.DUMMYFUNCTION("GOOGLETRANSLATE(P630,""my"", ""en"")"),"1.30%")</f>
        <v>1.30%</v>
      </c>
    </row>
    <row r="631" ht="21.75" customHeigh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3" t="s">
        <v>4602</v>
      </c>
      <c r="L631" s="29" t="s">
        <v>4603</v>
      </c>
      <c r="M631" s="30" t="s">
        <v>4604</v>
      </c>
      <c r="N631" s="30" t="s">
        <v>4605</v>
      </c>
      <c r="O631" s="24" t="s">
        <v>4606</v>
      </c>
      <c r="P631" s="25" t="s">
        <v>4607</v>
      </c>
      <c r="AC631" s="10" t="str">
        <f>IFERROR(__xludf.DUMMYFUNCTION("GOOGLETRANSLATE(K631,""my"", ""en"")"),"The rule ေကျာ")</f>
        <v>The rule ေကျာ</v>
      </c>
      <c r="AD631" s="10" t="str">
        <f>IFERROR(__xludf.DUMMYFUNCTION("GOOGLETRANSLATE(L631,""my"", ""en"")")," participants  Union Democratic Party ေသာ")</f>
        <v> participants  Union Democratic Party ေသာ</v>
      </c>
      <c r="AE631" s="10" t="str">
        <f>IFERROR(__xludf.DUMMYFUNCTION("GOOGLETRANSLATE(M631,""my"", ""en"")"),"2022")</f>
        <v>2022</v>
      </c>
      <c r="AF631" s="10" t="str">
        <f>IFERROR(__xludf.DUMMYFUNCTION("GOOGLETRANSLATE(N631,""my"", ""en"")"),"775")</f>
        <v>775</v>
      </c>
      <c r="AG631" s="10" t="str">
        <f>IFERROR(__xludf.DUMMYFUNCTION("GOOGLETRANSLATE(O631,""my"", ""en"")"),"2797")</f>
        <v>2797</v>
      </c>
      <c r="AH631" s="10" t="str">
        <f>IFERROR(__xludf.DUMMYFUNCTION("GOOGLETRANSLATE(P631,""my"", ""en"")"),"0.79%")</f>
        <v>0.79%</v>
      </c>
    </row>
    <row r="632" ht="21.75" customHeigh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3" t="s">
        <v>4608</v>
      </c>
      <c r="L632" s="23" t="s">
        <v>4609</v>
      </c>
      <c r="M632" s="24" t="s">
        <v>4610</v>
      </c>
      <c r="N632" s="24" t="s">
        <v>4611</v>
      </c>
      <c r="O632" s="24" t="s">
        <v>4612</v>
      </c>
      <c r="P632" s="25" t="s">
        <v>4613</v>
      </c>
      <c r="AC632" s="10" t="str">
        <f>IFERROR(__xludf.DUMMYFUNCTION("GOOGLETRANSLATE(K632,""my"", ""en"")"),"ေဇာ ")</f>
        <v>ေဇာ </v>
      </c>
      <c r="AD632" s="10" t="str">
        <f>IFERROR(__xludf.DUMMYFUNCTION("GOOGLETRANSLATE(L632,""my"", ""en"")"),"ပည်သူ Party")</f>
        <v>ပည်သူ Party</v>
      </c>
      <c r="AE632" s="10" t="str">
        <f>IFERROR(__xludf.DUMMYFUNCTION("GOOGLETRANSLATE(M632,""my"", ""en"")"),"1021")</f>
        <v>1021</v>
      </c>
      <c r="AF632" s="10" t="str">
        <f>IFERROR(__xludf.DUMMYFUNCTION("GOOGLETRANSLATE(N632,""my"", ""en"")"),"520")</f>
        <v>520</v>
      </c>
      <c r="AG632" s="10" t="str">
        <f>IFERROR(__xludf.DUMMYFUNCTION("GOOGLETRANSLATE(O632,""my"", ""en"")"),"1541")</f>
        <v>1541</v>
      </c>
      <c r="AH632" s="10" t="str">
        <f>IFERROR(__xludf.DUMMYFUNCTION("GOOGLETRANSLATE(P632,""my"", ""en"")"),"0.44%")</f>
        <v>0.44%</v>
      </c>
    </row>
    <row r="633" ht="21.0" customHeigh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3" t="s">
        <v>4614</v>
      </c>
      <c r="L633" s="23" t="s">
        <v>4615</v>
      </c>
      <c r="M633" s="24" t="s">
        <v>4616</v>
      </c>
      <c r="N633" s="24" t="s">
        <v>4617</v>
      </c>
      <c r="O633" s="24" t="s">
        <v>4618</v>
      </c>
      <c r="P633" s="25" t="s">
        <v>4619</v>
      </c>
      <c r="AC633" s="10" t="str">
        <f>IFERROR(__xludf.DUMMYFUNCTION("GOOGLETRANSLATE(K633,""my"", ""en"")"),"ေကျာ Win Khaing")</f>
        <v>ေကျာ Win Khaing</v>
      </c>
      <c r="AD633" s="10" t="str">
        <f>IFERROR(__xludf.DUMMYFUNCTION("GOOGLETRANSLATE(L633,""my"", ""en"")")," Game  Democratic Party political-Fi")</f>
        <v> Game  Democratic Party political-Fi</v>
      </c>
      <c r="AE633" s="10" t="str">
        <f>IFERROR(__xludf.DUMMYFUNCTION("GOOGLETRANSLATE(M633,""my"", ""en"")"),"731")</f>
        <v>731</v>
      </c>
      <c r="AF633" s="10" t="str">
        <f>IFERROR(__xludf.DUMMYFUNCTION("GOOGLETRANSLATE(N633,""my"", ""en"")"),"519")</f>
        <v>519</v>
      </c>
      <c r="AG633" s="10" t="str">
        <f>IFERROR(__xludf.DUMMYFUNCTION("GOOGLETRANSLATE(O633,""my"", ""en"")"),"1250")</f>
        <v>1250</v>
      </c>
      <c r="AH633" s="10" t="str">
        <f>IFERROR(__xludf.DUMMYFUNCTION("GOOGLETRANSLATE(P633,""my"", ""en"")"),"0.35%")</f>
        <v>0.35%</v>
      </c>
    </row>
    <row r="634" ht="22.5" customHeight="1">
      <c r="A634" s="28" t="s">
        <v>4620</v>
      </c>
      <c r="B634" s="17" t="s">
        <v>4621</v>
      </c>
      <c r="C634" s="18" t="s">
        <v>4622</v>
      </c>
      <c r="D634" s="18" t="s">
        <v>4623</v>
      </c>
      <c r="E634" s="18" t="s">
        <v>4624</v>
      </c>
      <c r="F634" s="17" t="s">
        <v>4625</v>
      </c>
      <c r="G634" s="18" t="s">
        <v>4626</v>
      </c>
      <c r="H634" s="18" t="s">
        <v>4627</v>
      </c>
      <c r="I634" s="18" t="s">
        <v>4628</v>
      </c>
      <c r="J634" s="18" t="s">
        <v>4629</v>
      </c>
      <c r="K634" s="27"/>
      <c r="L634" s="27"/>
      <c r="M634" s="46" t="s">
        <v>4630</v>
      </c>
      <c r="N634" s="46" t="s">
        <v>4631</v>
      </c>
      <c r="O634" s="18" t="s">
        <v>4632</v>
      </c>
      <c r="P634" s="27"/>
      <c r="S634" s="10" t="str">
        <f>IFERROR(__xludf.DUMMYFUNCTION("GOOGLETRANSLATE(A634,""my"", ""en"")"),"108")</f>
        <v>108</v>
      </c>
      <c r="T634" s="10" t="str">
        <f>IFERROR(__xludf.DUMMYFUNCTION("GOOGLETRANSLATE(B634,""my"", ""en"")"),"မဲဆ  No. (12)")</f>
        <v>မဲဆ  No. (12)</v>
      </c>
      <c r="U634" s="10" t="str">
        <f>IFERROR(__xludf.DUMMYFUNCTION("GOOGLETRANSLATE(C634,""my"", ""en"")"),"419778")</f>
        <v>419778</v>
      </c>
      <c r="V634" s="10" t="str">
        <f>IFERROR(__xludf.DUMMYFUNCTION("GOOGLETRANSLATE(D634,""my"", ""en"")"),"252424")</f>
        <v>252424</v>
      </c>
      <c r="W634" s="10" t="str">
        <f>IFERROR(__xludf.DUMMYFUNCTION("GOOGLETRANSLATE(E634,""my"", ""en"")"),"77314")</f>
        <v>77314</v>
      </c>
      <c r="X634" s="10" t="str">
        <f>IFERROR(__xludf.DUMMYFUNCTION("GOOGLETRANSLATE(F634,""my"", ""en"")"),"329738")</f>
        <v>329738</v>
      </c>
      <c r="Y634" s="10" t="str">
        <f>IFERROR(__xludf.DUMMYFUNCTION("GOOGLETRANSLATE(G634,""my"", ""en"")"),"78.55")</f>
        <v>78.55</v>
      </c>
      <c r="Z634" s="10" t="str">
        <f>IFERROR(__xludf.DUMMYFUNCTION("GOOGLETRANSLATE(H634,""my"", ""en"")"),"6315")</f>
        <v>6315</v>
      </c>
      <c r="AA634" s="10" t="str">
        <f>IFERROR(__xludf.DUMMYFUNCTION("GOOGLETRANSLATE(I634,""my"", ""en"")"),"71")</f>
        <v>71</v>
      </c>
      <c r="AB634" s="10" t="str">
        <f>IFERROR(__xludf.DUMMYFUNCTION("GOOGLETRANSLATE(J634,""my"", ""en"")"),"6386")</f>
        <v>6386</v>
      </c>
      <c r="AE634" s="10" t="str">
        <f>IFERROR(__xludf.DUMMYFUNCTION("GOOGLETRANSLATE(M634,""my"", ""en"")"),"246799")</f>
        <v>246799</v>
      </c>
      <c r="AF634" s="10" t="str">
        <f>IFERROR(__xludf.DUMMYFUNCTION("GOOGLETRANSLATE(N634,""my"", ""en"")"),"76553")</f>
        <v>76553</v>
      </c>
      <c r="AG634" s="10" t="str">
        <f>IFERROR(__xludf.DUMMYFUNCTION("GOOGLETRANSLATE(O634,""my"", ""en"")"),"323352")</f>
        <v>323352</v>
      </c>
    </row>
    <row r="635" ht="21.75" customHeigh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3" t="s">
        <v>4633</v>
      </c>
      <c r="L635" s="23" t="s">
        <v>4634</v>
      </c>
      <c r="M635" s="24" t="s">
        <v>4635</v>
      </c>
      <c r="N635" s="24" t="s">
        <v>4636</v>
      </c>
      <c r="O635" s="24" t="s">
        <v>4637</v>
      </c>
      <c r="P635" s="25" t="s">
        <v>4638</v>
      </c>
      <c r="AC635" s="10" t="str">
        <f>IFERROR(__xludf.DUMMYFUNCTION("GOOGLETRANSLATE(K635,""my"", ""en"")"),"U Maung Maung Friend")</f>
        <v>U Maung Maung Friend</v>
      </c>
      <c r="AD635" s="10" t="str">
        <f>IFERROR(__xludf.DUMMYFUNCTION("GOOGLETRANSLATE(L635,""my"", ""en"")")," Game Democracy group   Pop Party")</f>
        <v> Game Democracy group   Pop Party</v>
      </c>
      <c r="AE635" s="10" t="str">
        <f>IFERROR(__xludf.DUMMYFUNCTION("GOOGLETRANSLATE(M635,""my"", ""en"")"),"148185")</f>
        <v>148185</v>
      </c>
      <c r="AF635" s="10" t="str">
        <f>IFERROR(__xludf.DUMMYFUNCTION("GOOGLETRANSLATE(N635,""my"", ""en"")"),"35694")</f>
        <v>35694</v>
      </c>
      <c r="AG635" s="10" t="str">
        <f>IFERROR(__xludf.DUMMYFUNCTION("GOOGLETRANSLATE(O635,""my"", ""en"")"),"183879")</f>
        <v>183879</v>
      </c>
      <c r="AH635" s="10" t="str">
        <f>IFERROR(__xludf.DUMMYFUNCTION("GOOGLETRANSLATE(P635,""my"", ""en"")"),"56.87%")</f>
        <v>56.87%</v>
      </c>
    </row>
    <row r="636" ht="22.5" customHeigh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3" t="s">
        <v>4639</v>
      </c>
      <c r="L636" s="23" t="s">
        <v>4640</v>
      </c>
      <c r="M636" s="24" t="s">
        <v>4641</v>
      </c>
      <c r="N636" s="24" t="s">
        <v>4642</v>
      </c>
      <c r="O636" s="24" t="s">
        <v>4643</v>
      </c>
      <c r="P636" s="25" t="s">
        <v>4644</v>
      </c>
      <c r="AC636" s="10" t="str">
        <f>IFERROR(__xludf.DUMMYFUNCTION("GOOGLETRANSLATE(K636,""my"", ""en"")"),"Khin ေမာင် ေဌး")</f>
        <v>Khin ေမာင် ေဌး</v>
      </c>
      <c r="AD636" s="10" t="str">
        <f>IFERROR(__xludf.DUMMYFUNCTION("GOOGLETRANSLATE(L636,""my"", ""en"")"),"Local ေထာင် soap-stone strong ေရး  under development  Phil  ေရး Party")</f>
        <v>Local ေထာင် soap-stone strong ေရး  under development  Phil  ေရး Party</v>
      </c>
      <c r="AE636" s="10" t="str">
        <f>IFERROR(__xludf.DUMMYFUNCTION("GOOGLETRANSLATE(M636,""my"", ""en"")"),"91945")</f>
        <v>91945</v>
      </c>
      <c r="AF636" s="10" t="str">
        <f>IFERROR(__xludf.DUMMYFUNCTION("GOOGLETRANSLATE(N636,""my"", ""en"")"),"37509")</f>
        <v>37509</v>
      </c>
      <c r="AG636" s="10" t="str">
        <f>IFERROR(__xludf.DUMMYFUNCTION("GOOGLETRANSLATE(O636,""my"", ""en"")"),"129454")</f>
        <v>129454</v>
      </c>
      <c r="AH636" s="10" t="str">
        <f>IFERROR(__xludf.DUMMYFUNCTION("GOOGLETRANSLATE(P636,""my"", ""en"")"),"40.04%")</f>
        <v>40.04%</v>
      </c>
    </row>
    <row r="637" ht="21.75" customHeigh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3" t="s">
        <v>4645</v>
      </c>
      <c r="L637" s="23" t="s">
        <v>4646</v>
      </c>
      <c r="M637" s="24" t="s">
        <v>4647</v>
      </c>
      <c r="N637" s="24" t="s">
        <v>4648</v>
      </c>
      <c r="O637" s="24" t="s">
        <v>4649</v>
      </c>
      <c r="P637" s="25" t="s">
        <v>4650</v>
      </c>
      <c r="AC637" s="10" t="str">
        <f>IFERROR(__xludf.DUMMYFUNCTION("GOOGLETRANSLATE(K637,""my"", ""en"")"),"ေဒါက် million  Union")</f>
        <v>ေဒါက် million  Union</v>
      </c>
      <c r="AD637" s="10" t="str">
        <f>IFERROR(__xludf.DUMMYFUNCTION("GOOGLETRANSLATE(L637,""my"", ""en"")"),"Local ေထာင် စုေ white  Game ေဆာင် Party")</f>
        <v>Local ေထာင် စုေ white  Game ေဆာင် Party</v>
      </c>
      <c r="AE637" s="10" t="str">
        <f>IFERROR(__xludf.DUMMYFUNCTION("GOOGLETRANSLATE(M637,""my"", ""en"")"),"4311")</f>
        <v>4311</v>
      </c>
      <c r="AF637" s="10" t="str">
        <f>IFERROR(__xludf.DUMMYFUNCTION("GOOGLETRANSLATE(N637,""my"", ""en"")"),"2262")</f>
        <v>2262</v>
      </c>
      <c r="AG637" s="10" t="str">
        <f>IFERROR(__xludf.DUMMYFUNCTION("GOOGLETRANSLATE(O637,""my"", ""en"")"),"6573")</f>
        <v>6573</v>
      </c>
      <c r="AH637" s="10" t="str">
        <f>IFERROR(__xludf.DUMMYFUNCTION("GOOGLETRANSLATE(P637,""my"", ""en"")"),"2.03%")</f>
        <v>2.03%</v>
      </c>
    </row>
    <row r="638" ht="22.5" customHeigh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3" t="s">
        <v>4651</v>
      </c>
      <c r="L638" s="23" t="s">
        <v>4652</v>
      </c>
      <c r="M638" s="24" t="s">
        <v>4653</v>
      </c>
      <c r="N638" s="24" t="s">
        <v>4654</v>
      </c>
      <c r="O638" s="24" t="s">
        <v>4655</v>
      </c>
      <c r="P638" s="25" t="s">
        <v>4656</v>
      </c>
      <c r="AC638" s="10" t="str">
        <f>IFERROR(__xludf.DUMMYFUNCTION("GOOGLETRANSLATE(K638,""my"", ""en"")"),"Million over March")</f>
        <v>Million over March</v>
      </c>
      <c r="AD638" s="10" t="str">
        <f>IFERROR(__xludf.DUMMYFUNCTION("GOOGLETRANSLATE(L638,""my"", ""en"")"),"ပည်သူ ေရှ  ေဆာင် Party")</f>
        <v>ပည်သူ ေရှ  ေဆာင် Party</v>
      </c>
      <c r="AE638" s="10" t="str">
        <f>IFERROR(__xludf.DUMMYFUNCTION("GOOGLETRANSLATE(M638,""my"", ""en"")"),"1666")</f>
        <v>1666</v>
      </c>
      <c r="AF638" s="10" t="str">
        <f>IFERROR(__xludf.DUMMYFUNCTION("GOOGLETRANSLATE(N638,""my"", ""en"")"),"796")</f>
        <v>796</v>
      </c>
      <c r="AG638" s="10" t="str">
        <f>IFERROR(__xludf.DUMMYFUNCTION("GOOGLETRANSLATE(O638,""my"", ""en"")"),"2462")</f>
        <v>2462</v>
      </c>
      <c r="AH638" s="10" t="str">
        <f>IFERROR(__xludf.DUMMYFUNCTION("GOOGLETRANSLATE(P638,""my"", ""en"")"),"0.76%")</f>
        <v>0.76%</v>
      </c>
    </row>
    <row r="639" ht="22.5" customHeigh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3" t="s">
        <v>4657</v>
      </c>
      <c r="L639" s="23" t="s">
        <v>4658</v>
      </c>
      <c r="M639" s="24" t="s">
        <v>4659</v>
      </c>
      <c r="N639" s="24" t="s">
        <v>4660</v>
      </c>
      <c r="O639" s="24" t="s">
        <v>4661</v>
      </c>
      <c r="P639" s="25" t="s">
        <v>4662</v>
      </c>
      <c r="AC639" s="10" t="str">
        <f>IFERROR(__xludf.DUMMYFUNCTION("GOOGLETRANSLATE(K639,""my"", ""en"")")," Key")</f>
        <v> Key</v>
      </c>
      <c r="AD639" s="10" t="str">
        <f>IFERROR(__xludf.DUMMYFUNCTION("GOOGLETRANSLATE(L639,""my"", ""en"")"),"B class life's big party ေရး")</f>
        <v>B class life's big party ေရး</v>
      </c>
      <c r="AE639" s="10" t="str">
        <f>IFERROR(__xludf.DUMMYFUNCTION("GOOGLETRANSLATE(M639,""my"", ""en"")"),"692")</f>
        <v>692</v>
      </c>
      <c r="AF639" s="10" t="str">
        <f>IFERROR(__xludf.DUMMYFUNCTION("GOOGLETRANSLATE(N639,""my"", ""en"")"),"292")</f>
        <v>292</v>
      </c>
      <c r="AG639" s="10" t="str">
        <f>IFERROR(__xludf.DUMMYFUNCTION("GOOGLETRANSLATE(O639,""my"", ""en"")"),"984")</f>
        <v>984</v>
      </c>
      <c r="AH639" s="10" t="str">
        <f>IFERROR(__xludf.DUMMYFUNCTION("GOOGLETRANSLATE(P639,""my"", ""en"")"),"0.30%")</f>
        <v>0.30%</v>
      </c>
    </row>
    <row r="640" ht="21.75" customHeight="1">
      <c r="A640" s="14"/>
      <c r="B640" s="15" t="s">
        <v>4663</v>
      </c>
      <c r="C640" s="16" t="s">
        <v>4664</v>
      </c>
      <c r="D640" s="16" t="s">
        <v>4665</v>
      </c>
      <c r="E640" s="16" t="s">
        <v>4666</v>
      </c>
      <c r="F640" s="16" t="s">
        <v>4667</v>
      </c>
      <c r="G640" s="16" t="s">
        <v>4668</v>
      </c>
      <c r="H640" s="16" t="s">
        <v>4669</v>
      </c>
      <c r="I640" s="16" t="s">
        <v>4670</v>
      </c>
      <c r="J640" s="16" t="s">
        <v>4671</v>
      </c>
      <c r="K640" s="14"/>
      <c r="L640" s="14"/>
      <c r="M640" s="47" t="s">
        <v>4672</v>
      </c>
      <c r="N640" s="47" t="s">
        <v>4673</v>
      </c>
      <c r="O640" s="16" t="s">
        <v>4674</v>
      </c>
      <c r="P640" s="14"/>
      <c r="T640" s="10" t="str">
        <f>IFERROR(__xludf.DUMMYFUNCTION("GOOGLETRANSLATE(B640,""my"", ""en"")"),"Mon State")</f>
        <v>Mon State</v>
      </c>
      <c r="U640" s="10" t="str">
        <f>IFERROR(__xludf.DUMMYFUNCTION("GOOGLETRANSLATE(C640,""my"", ""en"")"),"1847780")</f>
        <v>1847780</v>
      </c>
      <c r="V640" s="10" t="str">
        <f>IFERROR(__xludf.DUMMYFUNCTION("GOOGLETRANSLATE(D640,""my"", ""en"")"),"785140")</f>
        <v>785140</v>
      </c>
      <c r="W640" s="10" t="str">
        <f>IFERROR(__xludf.DUMMYFUNCTION("GOOGLETRANSLATE(E640,""my"", ""en"")"),"282715")</f>
        <v>282715</v>
      </c>
      <c r="X640" s="10" t="str">
        <f>IFERROR(__xludf.DUMMYFUNCTION("GOOGLETRANSLATE(F640,""my"", ""en"")"),"1067855")</f>
        <v>1067855</v>
      </c>
      <c r="Y640" s="10" t="str">
        <f>IFERROR(__xludf.DUMMYFUNCTION("GOOGLETRANSLATE(G640,""my"", ""en"")"),"57.79")</f>
        <v>57.79</v>
      </c>
      <c r="Z640" s="10" t="str">
        <f>IFERROR(__xludf.DUMMYFUNCTION("GOOGLETRANSLATE(H640,""my"", ""en"")"),"32625")</f>
        <v>32625</v>
      </c>
      <c r="AA640" s="10" t="str">
        <f>IFERROR(__xludf.DUMMYFUNCTION("GOOGLETRANSLATE(I640,""my"", ""en"")"),"3831")</f>
        <v>3831</v>
      </c>
      <c r="AB640" s="10" t="str">
        <f>IFERROR(__xludf.DUMMYFUNCTION("GOOGLETRANSLATE(J640,""my"", ""en"")"),"36456")</f>
        <v>36456</v>
      </c>
      <c r="AE640" s="10" t="str">
        <f>IFERROR(__xludf.DUMMYFUNCTION("GOOGLETRANSLATE(M640,""my"", ""en"")"),"753777")</f>
        <v>753777</v>
      </c>
      <c r="AF640" s="10" t="str">
        <f>IFERROR(__xludf.DUMMYFUNCTION("GOOGLETRANSLATE(N640,""my"", ""en"")"),"277622")</f>
        <v>277622</v>
      </c>
      <c r="AG640" s="10" t="str">
        <f>IFERROR(__xludf.DUMMYFUNCTION("GOOGLETRANSLATE(O640,""my"", ""en"")"),"1031399")</f>
        <v>1031399</v>
      </c>
    </row>
    <row r="641" ht="22.5" customHeight="1">
      <c r="A641" s="28" t="s">
        <v>4675</v>
      </c>
      <c r="B641" s="17" t="s">
        <v>4676</v>
      </c>
      <c r="C641" s="18" t="s">
        <v>4677</v>
      </c>
      <c r="D641" s="18" t="s">
        <v>4678</v>
      </c>
      <c r="E641" s="18" t="s">
        <v>4679</v>
      </c>
      <c r="F641" s="18" t="s">
        <v>4680</v>
      </c>
      <c r="G641" s="18" t="s">
        <v>4681</v>
      </c>
      <c r="H641" s="18" t="s">
        <v>4682</v>
      </c>
      <c r="I641" s="18" t="s">
        <v>4683</v>
      </c>
      <c r="J641" s="18" t="s">
        <v>4684</v>
      </c>
      <c r="K641" s="27"/>
      <c r="L641" s="27"/>
      <c r="M641" s="18" t="s">
        <v>4685</v>
      </c>
      <c r="N641" s="18" t="s">
        <v>4686</v>
      </c>
      <c r="O641" s="18" t="s">
        <v>4687</v>
      </c>
      <c r="P641" s="27"/>
      <c r="S641" s="10" t="str">
        <f>IFERROR(__xludf.DUMMYFUNCTION("GOOGLETRANSLATE(A641,""my"", ""en"")"),"109")</f>
        <v>109</v>
      </c>
      <c r="T641" s="10" t="str">
        <f>IFERROR(__xludf.DUMMYFUNCTION("GOOGLETRANSLATE(B641,""my"", ""en"")"),"မဲဆ  No. (1)")</f>
        <v>မဲဆ  No. (1)</v>
      </c>
      <c r="U641" s="10" t="str">
        <f>IFERROR(__xludf.DUMMYFUNCTION("GOOGLETRANSLATE(C641,""my"", ""en"")"),"183685")</f>
        <v>183685</v>
      </c>
      <c r="V641" s="10" t="str">
        <f>IFERROR(__xludf.DUMMYFUNCTION("GOOGLETRANSLATE(D641,""my"", ""en"")"),"66177")</f>
        <v>66177</v>
      </c>
      <c r="W641" s="10" t="str">
        <f>IFERROR(__xludf.DUMMYFUNCTION("GOOGLETRANSLATE(E641,""my"", ""en"")"),"26848")</f>
        <v>26848</v>
      </c>
      <c r="X641" s="10" t="str">
        <f>IFERROR(__xludf.DUMMYFUNCTION("GOOGLETRANSLATE(F641,""my"", ""en"")"),"93025")</f>
        <v>93025</v>
      </c>
      <c r="Y641" s="10" t="str">
        <f>IFERROR(__xludf.DUMMYFUNCTION("GOOGLETRANSLATE(G641,""my"", ""en"")"),"50.64")</f>
        <v>50.64</v>
      </c>
      <c r="Z641" s="10" t="str">
        <f>IFERROR(__xludf.DUMMYFUNCTION("GOOGLETRANSLATE(H641,""my"", ""en"")"),"5461")</f>
        <v>5461</v>
      </c>
      <c r="AA641" s="10" t="str">
        <f>IFERROR(__xludf.DUMMYFUNCTION("GOOGLETRANSLATE(I641,""my"", ""en"")"),"1493")</f>
        <v>1493</v>
      </c>
      <c r="AB641" s="10" t="str">
        <f>IFERROR(__xludf.DUMMYFUNCTION("GOOGLETRANSLATE(J641,""my"", ""en"")"),"6954")</f>
        <v>6954</v>
      </c>
      <c r="AE641" s="10" t="str">
        <f>IFERROR(__xludf.DUMMYFUNCTION("GOOGLETRANSLATE(M641,""my"", ""en"")"),"60317")</f>
        <v>60317</v>
      </c>
      <c r="AF641" s="10" t="str">
        <f>IFERROR(__xludf.DUMMYFUNCTION("GOOGLETRANSLATE(N641,""my"", ""en"")"),"25754")</f>
        <v>25754</v>
      </c>
      <c r="AG641" s="10" t="str">
        <f>IFERROR(__xludf.DUMMYFUNCTION("GOOGLETRANSLATE(O641,""my"", ""en"")"),"86071")</f>
        <v>86071</v>
      </c>
    </row>
    <row r="642" ht="21.0" customHeigh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3" t="s">
        <v>4688</v>
      </c>
      <c r="L642" s="23" t="s">
        <v>4689</v>
      </c>
      <c r="M642" s="24" t="s">
        <v>4690</v>
      </c>
      <c r="N642" s="24" t="s">
        <v>4691</v>
      </c>
      <c r="O642" s="24" t="s">
        <v>4692</v>
      </c>
      <c r="P642" s="25" t="s">
        <v>4693</v>
      </c>
      <c r="AC642" s="10" t="str">
        <f>IFERROR(__xludf.DUMMYFUNCTION("GOOGLETRANSLATE(K642,""my"", ""en"")"),"Khin ေဇာ")</f>
        <v>Khin ေဇာ</v>
      </c>
      <c r="AD642" s="10" t="str">
        <f>IFERROR(__xludf.DUMMYFUNCTION("GOOGLETRANSLATE(L642,""my"", ""en"")")," Game Democracy group   Pop Party")</f>
        <v> Game Democracy group   Pop Party</v>
      </c>
      <c r="AE642" s="10" t="str">
        <f>IFERROR(__xludf.DUMMYFUNCTION("GOOGLETRANSLATE(M642,""my"", ""en"")"),"30069")</f>
        <v>30069</v>
      </c>
      <c r="AF642" s="10" t="str">
        <f>IFERROR(__xludf.DUMMYFUNCTION("GOOGLETRANSLATE(N642,""my"", ""en"")"),"10262")</f>
        <v>10262</v>
      </c>
      <c r="AG642" s="10" t="str">
        <f>IFERROR(__xludf.DUMMYFUNCTION("GOOGLETRANSLATE(O642,""my"", ""en"")"),"40331")</f>
        <v>40331</v>
      </c>
      <c r="AH642" s="10" t="str">
        <f>IFERROR(__xludf.DUMMYFUNCTION("GOOGLETRANSLATE(P642,""my"", ""en"")"),"46.86%")</f>
        <v>46.86%</v>
      </c>
    </row>
    <row r="643" ht="21.0" customHeigh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3" t="s">
        <v>4694</v>
      </c>
      <c r="L643" s="23" t="s">
        <v>4695</v>
      </c>
      <c r="M643" s="24" t="s">
        <v>4696</v>
      </c>
      <c r="N643" s="24" t="s">
        <v>4697</v>
      </c>
      <c r="O643" s="24" t="s">
        <v>4698</v>
      </c>
      <c r="P643" s="25" t="s">
        <v>4699</v>
      </c>
      <c r="AC643" s="10" t="str">
        <f>IFERROR(__xludf.DUMMYFUNCTION("GOOGLETRANSLATE(K643,""my"", ""en"")"),"Sein Tun")</f>
        <v>Sein Tun</v>
      </c>
      <c r="AD643" s="10" t="str">
        <f>IFERROR(__xludf.DUMMYFUNCTION("GOOGLETRANSLATE(L643,""my"", ""en"")"),"Mon  working party ေရး")</f>
        <v>Mon  working party ေရး</v>
      </c>
      <c r="AE643" s="10" t="str">
        <f>IFERROR(__xludf.DUMMYFUNCTION("GOOGLETRANSLATE(M643,""my"", ""en"")"),"18470")</f>
        <v>18470</v>
      </c>
      <c r="AF643" s="10" t="str">
        <f>IFERROR(__xludf.DUMMYFUNCTION("GOOGLETRANSLATE(N643,""my"", ""en"")"),"8454")</f>
        <v>8454</v>
      </c>
      <c r="AG643" s="10" t="str">
        <f>IFERROR(__xludf.DUMMYFUNCTION("GOOGLETRANSLATE(O643,""my"", ""en"")"),"26924")</f>
        <v>26924</v>
      </c>
      <c r="AH643" s="10" t="str">
        <f>IFERROR(__xludf.DUMMYFUNCTION("GOOGLETRANSLATE(P643,""my"", ""en"")"),"31.28%")</f>
        <v>31.28%</v>
      </c>
    </row>
    <row r="644" ht="21.0" customHeigh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3" t="s">
        <v>4700</v>
      </c>
      <c r="L644" s="23" t="s">
        <v>4701</v>
      </c>
      <c r="M644" s="24" t="s">
        <v>4702</v>
      </c>
      <c r="N644" s="24" t="s">
        <v>4703</v>
      </c>
      <c r="O644" s="24" t="s">
        <v>4704</v>
      </c>
      <c r="P644" s="25" t="s">
        <v>4705</v>
      </c>
      <c r="AC644" s="10" t="str">
        <f>IFERROR(__xludf.DUMMYFUNCTION("GOOGLETRANSLATE(K644,""my"", ""en"")"),"ေအာင် Mon")</f>
        <v>ေအာင် Mon</v>
      </c>
      <c r="AD644" s="10" t="str">
        <f>IFERROR(__xludf.DUMMYFUNCTION("GOOGLETRANSLATE(L644,""my"", ""en"")"),"Local ေထာင် soap-stone strong ေရး  under development  Phil  ေရး Party")</f>
        <v>Local ေထာင် soap-stone strong ေရး  under development  Phil  ေရး Party</v>
      </c>
      <c r="AE644" s="10" t="str">
        <f>IFERROR(__xludf.DUMMYFUNCTION("GOOGLETRANSLATE(M644,""my"", ""en"")"),"10980")</f>
        <v>10980</v>
      </c>
      <c r="AF644" s="10" t="str">
        <f>IFERROR(__xludf.DUMMYFUNCTION("GOOGLETRANSLATE(N644,""my"", ""en"")"),"6479")</f>
        <v>6479</v>
      </c>
      <c r="AG644" s="10" t="str">
        <f>IFERROR(__xludf.DUMMYFUNCTION("GOOGLETRANSLATE(O644,""my"", ""en"")"),"17459")</f>
        <v>17459</v>
      </c>
      <c r="AH644" s="10" t="str">
        <f>IFERROR(__xludf.DUMMYFUNCTION("GOOGLETRANSLATE(P644,""my"", ""en"")"),"20.28%")</f>
        <v>20.28%</v>
      </c>
    </row>
    <row r="645" ht="21.0" customHeigh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3" t="s">
        <v>4706</v>
      </c>
      <c r="L645" s="23" t="s">
        <v>4707</v>
      </c>
      <c r="M645" s="24" t="s">
        <v>4708</v>
      </c>
      <c r="N645" s="24" t="s">
        <v>4709</v>
      </c>
      <c r="O645" s="24" t="s">
        <v>4710</v>
      </c>
      <c r="P645" s="25" t="s">
        <v>4711</v>
      </c>
      <c r="AC645" s="10" t="str">
        <f>IFERROR(__xludf.DUMMYFUNCTION("GOOGLETRANSLATE(K645,""my"", ""en"")"),"A wholesaler of data ")</f>
        <v>A wholesaler of data </v>
      </c>
      <c r="AD645" s="10" t="str">
        <f>IFERROR(__xludf.DUMMYFUNCTION("GOOGLETRANSLATE(L645,""my"", ""en"")"),"Local ေထာင် စုေ white  Game ေဆာင် Party")</f>
        <v>Local ေထာင် စုေ white  Game ေဆာင် Party</v>
      </c>
      <c r="AE645" s="10" t="str">
        <f>IFERROR(__xludf.DUMMYFUNCTION("GOOGLETRANSLATE(M645,""my"", ""en"")"),"798")</f>
        <v>798</v>
      </c>
      <c r="AF645" s="10" t="str">
        <f>IFERROR(__xludf.DUMMYFUNCTION("GOOGLETRANSLATE(N645,""my"", ""en"")"),"559")</f>
        <v>559</v>
      </c>
      <c r="AG645" s="10" t="str">
        <f>IFERROR(__xludf.DUMMYFUNCTION("GOOGLETRANSLATE(O645,""my"", ""en"")"),"1357")</f>
        <v>1357</v>
      </c>
      <c r="AH645" s="10" t="str">
        <f>IFERROR(__xludf.DUMMYFUNCTION("GOOGLETRANSLATE(P645,""my"", ""en"")"),"1.58%")</f>
        <v>1.58%</v>
      </c>
    </row>
    <row r="646" ht="19.5" customHeight="1">
      <c r="A646" s="28" t="s">
        <v>4712</v>
      </c>
      <c r="B646" s="17" t="s">
        <v>4713</v>
      </c>
      <c r="C646" s="18" t="s">
        <v>4714</v>
      </c>
      <c r="D646" s="18" t="s">
        <v>4715</v>
      </c>
      <c r="E646" s="18" t="s">
        <v>4716</v>
      </c>
      <c r="F646" s="18" t="s">
        <v>4717</v>
      </c>
      <c r="G646" s="18" t="s">
        <v>4718</v>
      </c>
      <c r="H646" s="18" t="s">
        <v>4719</v>
      </c>
      <c r="I646" s="18" t="s">
        <v>4720</v>
      </c>
      <c r="J646" s="18" t="s">
        <v>4721</v>
      </c>
      <c r="K646" s="27"/>
      <c r="L646" s="27"/>
      <c r="M646" s="18" t="s">
        <v>4722</v>
      </c>
      <c r="N646" s="18" t="s">
        <v>4723</v>
      </c>
      <c r="O646" s="18" t="s">
        <v>4724</v>
      </c>
      <c r="P646" s="27"/>
      <c r="S646" s="10" t="str">
        <f>IFERROR(__xludf.DUMMYFUNCTION("GOOGLETRANSLATE(A646,""my"", ""en"")"),"110")</f>
        <v>110</v>
      </c>
      <c r="T646" s="10" t="str">
        <f>IFERROR(__xludf.DUMMYFUNCTION("GOOGLETRANSLATE(B646,""my"", ""en"")"),"မဲဆ  No. (2)")</f>
        <v>မဲဆ  No. (2)</v>
      </c>
      <c r="U646" s="10" t="str">
        <f>IFERROR(__xludf.DUMMYFUNCTION("GOOGLETRANSLATE(C646,""my"", ""en"")"),"132552")</f>
        <v>132552</v>
      </c>
      <c r="V646" s="10" t="str">
        <f>IFERROR(__xludf.DUMMYFUNCTION("GOOGLETRANSLATE(D646,""my"", ""en"")"),"51299")</f>
        <v>51299</v>
      </c>
      <c r="W646" s="10" t="str">
        <f>IFERROR(__xludf.DUMMYFUNCTION("GOOGLETRANSLATE(E646,""my"", ""en"")"),"22690")</f>
        <v>22690</v>
      </c>
      <c r="X646" s="10" t="str">
        <f>IFERROR(__xludf.DUMMYFUNCTION("GOOGLETRANSLATE(F646,""my"", ""en"")"),"73989")</f>
        <v>73989</v>
      </c>
      <c r="Y646" s="10" t="str">
        <f>IFERROR(__xludf.DUMMYFUNCTION("GOOGLETRANSLATE(G646,""my"", ""en"")"),"55.82")</f>
        <v>55.82</v>
      </c>
      <c r="Z646" s="10" t="str">
        <f>IFERROR(__xludf.DUMMYFUNCTION("GOOGLETRANSLATE(H646,""my"", ""en"")"),"1009")</f>
        <v>1009</v>
      </c>
      <c r="AA646" s="10" t="str">
        <f>IFERROR(__xludf.DUMMYFUNCTION("GOOGLETRANSLATE(I646,""my"", ""en"")"),"-")</f>
        <v>-</v>
      </c>
      <c r="AB646" s="10" t="str">
        <f>IFERROR(__xludf.DUMMYFUNCTION("GOOGLETRANSLATE(J646,""my"", ""en"")"),"1009")</f>
        <v>1009</v>
      </c>
      <c r="AE646" s="10" t="str">
        <f>IFERROR(__xludf.DUMMYFUNCTION("GOOGLETRANSLATE(M646,""my"", ""en"")"),"50357")</f>
        <v>50357</v>
      </c>
      <c r="AF646" s="10" t="str">
        <f>IFERROR(__xludf.DUMMYFUNCTION("GOOGLETRANSLATE(N646,""my"", ""en"")"),"22623")</f>
        <v>22623</v>
      </c>
      <c r="AG646" s="10" t="str">
        <f>IFERROR(__xludf.DUMMYFUNCTION("GOOGLETRANSLATE(O646,""my"", ""en"")"),"72980")</f>
        <v>72980</v>
      </c>
    </row>
    <row r="647" ht="21.75" customHeigh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3" t="s">
        <v>4725</v>
      </c>
      <c r="L647" s="23" t="s">
        <v>4726</v>
      </c>
      <c r="M647" s="24" t="s">
        <v>4727</v>
      </c>
      <c r="N647" s="24" t="s">
        <v>4728</v>
      </c>
      <c r="O647" s="24" t="s">
        <v>4729</v>
      </c>
      <c r="P647" s="25" t="s">
        <v>4730</v>
      </c>
      <c r="AC647" s="10" t="str">
        <f>IFERROR(__xludf.DUMMYFUNCTION("GOOGLETRANSLATE(K647,""my"", ""en"")"),"ေဌး")</f>
        <v>ေဌး</v>
      </c>
      <c r="AD647" s="10" t="str">
        <f>IFERROR(__xludf.DUMMYFUNCTION("GOOGLETRANSLATE(L647,""my"", ""en"")")," Game Democracy group   Pop Party")</f>
        <v> Game Democracy group   Pop Party</v>
      </c>
      <c r="AE647" s="10" t="str">
        <f>IFERROR(__xludf.DUMMYFUNCTION("GOOGLETRANSLATE(M647,""my"", ""en"")"),"26730")</f>
        <v>26730</v>
      </c>
      <c r="AF647" s="10" t="str">
        <f>IFERROR(__xludf.DUMMYFUNCTION("GOOGLETRANSLATE(N647,""my"", ""en"")"),"11453")</f>
        <v>11453</v>
      </c>
      <c r="AG647" s="10" t="str">
        <f>IFERROR(__xludf.DUMMYFUNCTION("GOOGLETRANSLATE(O647,""my"", ""en"")"),"38183")</f>
        <v>38183</v>
      </c>
      <c r="AH647" s="10" t="str">
        <f>IFERROR(__xludf.DUMMYFUNCTION("GOOGLETRANSLATE(P647,""my"", ""en"")"),"52.32%")</f>
        <v>52.32%</v>
      </c>
    </row>
    <row r="648" ht="21.0" customHeigh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3" t="s">
        <v>4731</v>
      </c>
      <c r="L648" s="23" t="s">
        <v>4732</v>
      </c>
      <c r="M648" s="24" t="s">
        <v>4733</v>
      </c>
      <c r="N648" s="24" t="s">
        <v>4734</v>
      </c>
      <c r="O648" s="24" t="s">
        <v>4735</v>
      </c>
      <c r="P648" s="25" t="s">
        <v>4736</v>
      </c>
      <c r="AC648" s="10" t="str">
        <f>IFERROR(__xludf.DUMMYFUNCTION("GOOGLETRANSLATE(K648,""my"", ""en"")")," million Cashier")</f>
        <v> million Cashier</v>
      </c>
      <c r="AD648" s="10" t="str">
        <f>IFERROR(__xludf.DUMMYFUNCTION("GOOGLETRANSLATE(L648,""my"", ""en"")"),"Mon  working party ေရး")</f>
        <v>Mon  working party ေရး</v>
      </c>
      <c r="AE648" s="10" t="str">
        <f>IFERROR(__xludf.DUMMYFUNCTION("GOOGLETRANSLATE(M648,""my"", ""en"")"),"13271")</f>
        <v>13271</v>
      </c>
      <c r="AF648" s="10" t="str">
        <f>IFERROR(__xludf.DUMMYFUNCTION("GOOGLETRANSLATE(N648,""my"", ""en"")"),"5062")</f>
        <v>5062</v>
      </c>
      <c r="AG648" s="10" t="str">
        <f>IFERROR(__xludf.DUMMYFUNCTION("GOOGLETRANSLATE(O648,""my"", ""en"")"),"18333")</f>
        <v>18333</v>
      </c>
      <c r="AH648" s="10" t="str">
        <f>IFERROR(__xludf.DUMMYFUNCTION("GOOGLETRANSLATE(P648,""my"", ""en"")"),"25.12%")</f>
        <v>25.12%</v>
      </c>
    </row>
    <row r="649" ht="21.75" customHeigh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3" t="s">
        <v>4737</v>
      </c>
      <c r="L649" s="23" t="s">
        <v>4738</v>
      </c>
      <c r="M649" s="24" t="s">
        <v>4739</v>
      </c>
      <c r="N649" s="24" t="s">
        <v>4740</v>
      </c>
      <c r="O649" s="24" t="s">
        <v>4741</v>
      </c>
      <c r="P649" s="25" t="s">
        <v>4742</v>
      </c>
      <c r="AC649" s="10" t="str">
        <f>IFERROR(__xludf.DUMMYFUNCTION("GOOGLETRANSLATE(K649,""my"", ""en"")"),"Data  ဝေဝေ")</f>
        <v>Data  ဝေဝေ</v>
      </c>
      <c r="AD649" s="10" t="str">
        <f>IFERROR(__xludf.DUMMYFUNCTION("GOOGLETRANSLATE(L649,""my"", ""en"")"),"Local ေထာင် soap-stone strong ေရး  under development  Phil  ေရး Party")</f>
        <v>Local ေထာင် soap-stone strong ေရး  under development  Phil  ေရး Party</v>
      </c>
      <c r="AE649" s="10" t="str">
        <f>IFERROR(__xludf.DUMMYFUNCTION("GOOGLETRANSLATE(M649,""my"", ""en"")"),"9761")</f>
        <v>9761</v>
      </c>
      <c r="AF649" s="10" t="str">
        <f>IFERROR(__xludf.DUMMYFUNCTION("GOOGLETRANSLATE(N649,""my"", ""en"")"),"5613")</f>
        <v>5613</v>
      </c>
      <c r="AG649" s="10" t="str">
        <f>IFERROR(__xludf.DUMMYFUNCTION("GOOGLETRANSLATE(O649,""my"", ""en"")"),"15374")</f>
        <v>15374</v>
      </c>
      <c r="AH649" s="10" t="str">
        <f>IFERROR(__xludf.DUMMYFUNCTION("GOOGLETRANSLATE(P649,""my"", ""en"")"),"21.07%")</f>
        <v>21.07%</v>
      </c>
    </row>
    <row r="650" ht="21.75" customHeigh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3" t="s">
        <v>4743</v>
      </c>
      <c r="L650" s="23" t="s">
        <v>4744</v>
      </c>
      <c r="M650" s="24" t="s">
        <v>4745</v>
      </c>
      <c r="N650" s="24" t="s">
        <v>4746</v>
      </c>
      <c r="O650" s="24" t="s">
        <v>4747</v>
      </c>
      <c r="P650" s="25" t="s">
        <v>4748</v>
      </c>
      <c r="AC650" s="10" t="str">
        <f>IFERROR(__xludf.DUMMYFUNCTION("GOOGLETRANSLATE(K650,""my"", ""en"")"),"ေဌး million")</f>
        <v>ေဌး million</v>
      </c>
      <c r="AD650" s="10" t="str">
        <f>IFERROR(__xludf.DUMMYFUNCTION("GOOGLETRANSLATE(L650,""my"", ""en"")"),"Local ေထာင် စုေ white  Game ေဆာင် Party")</f>
        <v>Local ေထာင် စုေ white  Game ေဆာင် Party</v>
      </c>
      <c r="AE650" s="10" t="str">
        <f>IFERROR(__xludf.DUMMYFUNCTION("GOOGLETRANSLATE(M650,""my"", ""en"")"),"444")</f>
        <v>444</v>
      </c>
      <c r="AF650" s="10" t="str">
        <f>IFERROR(__xludf.DUMMYFUNCTION("GOOGLETRANSLATE(N650,""my"", ""en"")"),"372")</f>
        <v>372</v>
      </c>
      <c r="AG650" s="10" t="str">
        <f>IFERROR(__xludf.DUMMYFUNCTION("GOOGLETRANSLATE(O650,""my"", ""en"")"),"816")</f>
        <v>816</v>
      </c>
      <c r="AH650" s="10" t="str">
        <f>IFERROR(__xludf.DUMMYFUNCTION("GOOGLETRANSLATE(P650,""my"", ""en"")"),"1.11%")</f>
        <v>1.11%</v>
      </c>
    </row>
    <row r="651" ht="21.75" customHeigh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3" t="s">
        <v>4749</v>
      </c>
      <c r="L651" s="23" t="s">
        <v>4750</v>
      </c>
      <c r="M651" s="24" t="s">
        <v>4751</v>
      </c>
      <c r="N651" s="24" t="s">
        <v>4752</v>
      </c>
      <c r="O651" s="24" t="s">
        <v>4753</v>
      </c>
      <c r="P651" s="25" t="s">
        <v>4754</v>
      </c>
      <c r="AC651" s="10" t="str">
        <f>IFERROR(__xludf.DUMMYFUNCTION("GOOGLETRANSLATE(K651,""my"", ""en"")"),"(B) the court ဝင်းထွဋ်")</f>
        <v>(B) the court ဝင်းထွဋ်</v>
      </c>
      <c r="AD651" s="10" t="str">
        <f>IFERROR(__xludf.DUMMYFUNCTION("GOOGLETRANSLATE(L651,""my"", ""en"")"),"Personal ")</f>
        <v>Personal </v>
      </c>
      <c r="AE651" s="10" t="str">
        <f>IFERROR(__xludf.DUMMYFUNCTION("GOOGLETRANSLATE(M651,""my"", ""en"")"),"151")</f>
        <v>151</v>
      </c>
      <c r="AF651" s="10" t="str">
        <f>IFERROR(__xludf.DUMMYFUNCTION("GOOGLETRANSLATE(N651,""my"", ""en"")"),"123")</f>
        <v>123</v>
      </c>
      <c r="AG651" s="10" t="str">
        <f>IFERROR(__xludf.DUMMYFUNCTION("GOOGLETRANSLATE(O651,""my"", ""en"")"),"274")</f>
        <v>274</v>
      </c>
      <c r="AH651" s="10" t="str">
        <f>IFERROR(__xludf.DUMMYFUNCTION("GOOGLETRANSLATE(P651,""my"", ""en"")"),"0.38%")</f>
        <v>0.38%</v>
      </c>
    </row>
    <row r="652" ht="19.5" customHeight="1">
      <c r="A652" s="28" t="s">
        <v>4755</v>
      </c>
      <c r="B652" s="17" t="s">
        <v>4756</v>
      </c>
      <c r="C652" s="18" t="s">
        <v>4757</v>
      </c>
      <c r="D652" s="18" t="s">
        <v>4758</v>
      </c>
      <c r="E652" s="18" t="s">
        <v>4759</v>
      </c>
      <c r="F652" s="18" t="s">
        <v>4760</v>
      </c>
      <c r="G652" s="18" t="s">
        <v>4761</v>
      </c>
      <c r="H652" s="18" t="s">
        <v>4762</v>
      </c>
      <c r="I652" s="18" t="s">
        <v>4763</v>
      </c>
      <c r="J652" s="18" t="s">
        <v>4764</v>
      </c>
      <c r="K652" s="27"/>
      <c r="L652" s="27"/>
      <c r="M652" s="18" t="s">
        <v>4765</v>
      </c>
      <c r="N652" s="18" t="s">
        <v>4766</v>
      </c>
      <c r="O652" s="18" t="s">
        <v>4767</v>
      </c>
      <c r="P652" s="27"/>
      <c r="S652" s="10" t="str">
        <f>IFERROR(__xludf.DUMMYFUNCTION("GOOGLETRANSLATE(A652,""my"", ""en"")"),"111")</f>
        <v>111</v>
      </c>
      <c r="T652" s="10" t="str">
        <f>IFERROR(__xludf.DUMMYFUNCTION("GOOGLETRANSLATE(B652,""my"", ""en"")"),"မဲဆ  No. (3)")</f>
        <v>မဲဆ  No. (3)</v>
      </c>
      <c r="U652" s="10" t="str">
        <f>IFERROR(__xludf.DUMMYFUNCTION("GOOGLETRANSLATE(C652,""my"", ""en"")"),"182302")</f>
        <v>182302</v>
      </c>
      <c r="V652" s="10" t="str">
        <f>IFERROR(__xludf.DUMMYFUNCTION("GOOGLETRANSLATE(D652,""my"", ""en"")"),"72348")</f>
        <v>72348</v>
      </c>
      <c r="W652" s="10" t="str">
        <f>IFERROR(__xludf.DUMMYFUNCTION("GOOGLETRANSLATE(E652,""my"", ""en"")"),"31332")</f>
        <v>31332</v>
      </c>
      <c r="X652" s="10" t="str">
        <f>IFERROR(__xludf.DUMMYFUNCTION("GOOGLETRANSLATE(F652,""my"", ""en"")"),"103680")</f>
        <v>103680</v>
      </c>
      <c r="Y652" s="10" t="str">
        <f>IFERROR(__xludf.DUMMYFUNCTION("GOOGLETRANSLATE(G652,""my"", ""en"")"),"56.87")</f>
        <v>56.87</v>
      </c>
      <c r="Z652" s="10" t="str">
        <f>IFERROR(__xludf.DUMMYFUNCTION("GOOGLETRANSLATE(H652,""my"", ""en"")"),"2064")</f>
        <v>2064</v>
      </c>
      <c r="AA652" s="10" t="str">
        <f>IFERROR(__xludf.DUMMYFUNCTION("GOOGLETRANSLATE(I652,""my"", ""en"")"),"24")</f>
        <v>24</v>
      </c>
      <c r="AB652" s="10" t="str">
        <f>IFERROR(__xludf.DUMMYFUNCTION("GOOGLETRANSLATE(J652,""my"", ""en"")"),"2088")</f>
        <v>2088</v>
      </c>
      <c r="AE652" s="10" t="str">
        <f>IFERROR(__xludf.DUMMYFUNCTION("GOOGLETRANSLATE(M652,""my"", ""en"")"),"70861")</f>
        <v>70861</v>
      </c>
      <c r="AF652" s="10" t="str">
        <f>IFERROR(__xludf.DUMMYFUNCTION("GOOGLETRANSLATE(N652,""my"", ""en"")"),"30731")</f>
        <v>30731</v>
      </c>
      <c r="AG652" s="10" t="str">
        <f>IFERROR(__xludf.DUMMYFUNCTION("GOOGLETRANSLATE(O652,""my"", ""en"")"),"101592")</f>
        <v>101592</v>
      </c>
    </row>
    <row r="653" ht="21.0" customHeigh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3" t="s">
        <v>4768</v>
      </c>
      <c r="L653" s="23" t="s">
        <v>4769</v>
      </c>
      <c r="M653" s="24" t="s">
        <v>4770</v>
      </c>
      <c r="N653" s="24" t="s">
        <v>4771</v>
      </c>
      <c r="O653" s="24" t="s">
        <v>4772</v>
      </c>
      <c r="P653" s="25" t="s">
        <v>4773</v>
      </c>
      <c r="AC653" s="10" t="str">
        <f>IFERROR(__xludf.DUMMYFUNCTION("GOOGLETRANSLATE(K653,""my"", ""en"")"),"ေဌး  treated (b) နာဲ M. သဝ်")</f>
        <v>ေဌး  treated (b) နာဲ M. သဝ်</v>
      </c>
      <c r="AD653" s="10" t="str">
        <f>IFERROR(__xludf.DUMMYFUNCTION("GOOGLETRANSLATE(L653,""my"", ""en"")"),"Mon  working party ေရး")</f>
        <v>Mon  working party ေရး</v>
      </c>
      <c r="AE653" s="10" t="str">
        <f>IFERROR(__xludf.DUMMYFUNCTION("GOOGLETRANSLATE(M653,""my"", ""en"")"),"31377")</f>
        <v>31377</v>
      </c>
      <c r="AF653" s="10" t="str">
        <f>IFERROR(__xludf.DUMMYFUNCTION("GOOGLETRANSLATE(N653,""my"", ""en"")"),"13541")</f>
        <v>13541</v>
      </c>
      <c r="AG653" s="10" t="str">
        <f>IFERROR(__xludf.DUMMYFUNCTION("GOOGLETRANSLATE(O653,""my"", ""en"")"),"44918")</f>
        <v>44918</v>
      </c>
      <c r="AH653" s="10" t="str">
        <f>IFERROR(__xludf.DUMMYFUNCTION("GOOGLETRANSLATE(P653,""my"", ""en"")"),"44.21%")</f>
        <v>44.21%</v>
      </c>
    </row>
    <row r="654" ht="21.0" customHeigh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3" t="s">
        <v>4774</v>
      </c>
      <c r="L654" s="23" t="s">
        <v>4775</v>
      </c>
      <c r="M654" s="24" t="s">
        <v>4776</v>
      </c>
      <c r="N654" s="24" t="s">
        <v>4777</v>
      </c>
      <c r="O654" s="24" t="s">
        <v>4778</v>
      </c>
      <c r="P654" s="25" t="s">
        <v>4779</v>
      </c>
      <c r="AC654" s="10" t="str">
        <f>IFERROR(__xludf.DUMMYFUNCTION("GOOGLETRANSLATE(K654,""my"", ""en"")"),"ေဒ  Mon")</f>
        <v>ေဒ  Mon</v>
      </c>
      <c r="AD654" s="10" t="str">
        <f>IFERROR(__xludf.DUMMYFUNCTION("GOOGLETRANSLATE(L654,""my"", ""en"")")," Game Democracy group   Pop Party")</f>
        <v> Game Democracy group   Pop Party</v>
      </c>
      <c r="AE654" s="10" t="str">
        <f>IFERROR(__xludf.DUMMYFUNCTION("GOOGLETRANSLATE(M654,""my"", ""en"")"),"31158")</f>
        <v>31158</v>
      </c>
      <c r="AF654" s="10" t="str">
        <f>IFERROR(__xludf.DUMMYFUNCTION("GOOGLETRANSLATE(N654,""my"", ""en"")"),"11861")</f>
        <v>11861</v>
      </c>
      <c r="AG654" s="10" t="str">
        <f>IFERROR(__xludf.DUMMYFUNCTION("GOOGLETRANSLATE(O654,""my"", ""en"")"),"43019")</f>
        <v>43019</v>
      </c>
      <c r="AH654" s="10" t="str">
        <f>IFERROR(__xludf.DUMMYFUNCTION("GOOGLETRANSLATE(P654,""my"", ""en"")"),"42.35%")</f>
        <v>42.35%</v>
      </c>
    </row>
    <row r="655" ht="21.0" customHeigh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3" t="s">
        <v>4780</v>
      </c>
      <c r="L655" s="23" t="s">
        <v>4781</v>
      </c>
      <c r="M655" s="24" t="s">
        <v>4782</v>
      </c>
      <c r="N655" s="24" t="s">
        <v>4783</v>
      </c>
      <c r="O655" s="24" t="s">
        <v>4784</v>
      </c>
      <c r="P655" s="25" t="s">
        <v>4785</v>
      </c>
      <c r="AC655" s="10" t="str">
        <f>IFERROR(__xludf.DUMMYFUNCTION("GOOGLETRANSLATE(K655,""my"", ""en"")"),"Show ေဇာ")</f>
        <v>Show ေဇာ</v>
      </c>
      <c r="AD655" s="10" t="str">
        <f>IFERROR(__xludf.DUMMYFUNCTION("GOOGLETRANSLATE(L655,""my"", ""en"")"),"Local ေထာင် soap-stone strong ေရး  under development  Phil  ေရး Party")</f>
        <v>Local ေထာင် soap-stone strong ေရး  under development  Phil  ေရး Party</v>
      </c>
      <c r="AE655" s="10" t="str">
        <f>IFERROR(__xludf.DUMMYFUNCTION("GOOGLETRANSLATE(M655,""my"", ""en"")"),"7866")</f>
        <v>7866</v>
      </c>
      <c r="AF655" s="10" t="str">
        <f>IFERROR(__xludf.DUMMYFUNCTION("GOOGLETRANSLATE(N655,""my"", ""en"")"),"4926")</f>
        <v>4926</v>
      </c>
      <c r="AG655" s="10" t="str">
        <f>IFERROR(__xludf.DUMMYFUNCTION("GOOGLETRANSLATE(O655,""my"", ""en"")"),"12792")</f>
        <v>12792</v>
      </c>
      <c r="AH655" s="10" t="str">
        <f>IFERROR(__xludf.DUMMYFUNCTION("GOOGLETRANSLATE(P655,""my"", ""en"")"),"12.59%")</f>
        <v>12.59%</v>
      </c>
    </row>
    <row r="656" ht="21.0" customHeigh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3" t="s">
        <v>4786</v>
      </c>
      <c r="L656" s="23" t="s">
        <v>4787</v>
      </c>
      <c r="M656" s="24" t="s">
        <v>4788</v>
      </c>
      <c r="N656" s="24" t="s">
        <v>4789</v>
      </c>
      <c r="O656" s="24" t="s">
        <v>4790</v>
      </c>
      <c r="P656" s="25" t="s">
        <v>4791</v>
      </c>
      <c r="AC656" s="10" t="str">
        <f>IFERROR(__xludf.DUMMYFUNCTION("GOOGLETRANSLATE(K656,""my"", ""en"")")," ာဏ် Tun")</f>
        <v> ာဏ် Tun</v>
      </c>
      <c r="AD656" s="10" t="str">
        <f>IFERROR(__xludf.DUMMYFUNCTION("GOOGLETRANSLATE(L656,""my"", ""en"")"),"Ethnic unity  working party ေရး")</f>
        <v>Ethnic unity  working party ေရး</v>
      </c>
      <c r="AE656" s="10" t="str">
        <f>IFERROR(__xludf.DUMMYFUNCTION("GOOGLETRANSLATE(M656,""my"", ""en"")"),"299")</f>
        <v>299</v>
      </c>
      <c r="AF656" s="10" t="str">
        <f>IFERROR(__xludf.DUMMYFUNCTION("GOOGLETRANSLATE(N656,""my"", ""en"")"),"261")</f>
        <v>261</v>
      </c>
      <c r="AG656" s="10" t="str">
        <f>IFERROR(__xludf.DUMMYFUNCTION("GOOGLETRANSLATE(O656,""my"", ""en"")"),"560")</f>
        <v>560</v>
      </c>
      <c r="AH656" s="10" t="str">
        <f>IFERROR(__xludf.DUMMYFUNCTION("GOOGLETRANSLATE(P656,""my"", ""en"")"),"0.55%")</f>
        <v>0.55%</v>
      </c>
    </row>
    <row r="657" ht="21.0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6" t="s">
        <v>4792</v>
      </c>
      <c r="L657" s="36" t="s">
        <v>4793</v>
      </c>
      <c r="M657" s="37" t="s">
        <v>4794</v>
      </c>
      <c r="N657" s="37" t="s">
        <v>4795</v>
      </c>
      <c r="O657" s="37" t="s">
        <v>4796</v>
      </c>
      <c r="P657" s="38" t="s">
        <v>4797</v>
      </c>
      <c r="AC657" s="10" t="str">
        <f>IFERROR(__xludf.DUMMYFUNCTION("GOOGLETRANSLATE(K657,""my"", ""en"")"),"ေအာင် Burns")</f>
        <v>ေအာင် Burns</v>
      </c>
      <c r="AD657" s="10" t="str">
        <f>IFERROR(__xludf.DUMMYFUNCTION("GOOGLETRANSLATE(L657,""my"", ""en"")"),"Local ေထာင် စုေ white  Game ေဆာင် Party")</f>
        <v>Local ေထာင် စုေ white  Game ေဆာင် Party</v>
      </c>
      <c r="AE657" s="10" t="str">
        <f>IFERROR(__xludf.DUMMYFUNCTION("GOOGLETRANSLATE(M657,""my"", ""en"")"),"161")</f>
        <v>161</v>
      </c>
      <c r="AF657" s="10" t="str">
        <f>IFERROR(__xludf.DUMMYFUNCTION("GOOGLETRANSLATE(N657,""my"", ""en"")"),"142")</f>
        <v>142</v>
      </c>
      <c r="AG657" s="10" t="str">
        <f>IFERROR(__xludf.DUMMYFUNCTION("GOOGLETRANSLATE(O657,""my"", ""en"")"),"303")</f>
        <v>303</v>
      </c>
      <c r="AH657" s="10" t="str">
        <f>IFERROR(__xludf.DUMMYFUNCTION("GOOGLETRANSLATE(P657,""my"", ""en"")"),"0.30%")</f>
        <v>0.30%</v>
      </c>
    </row>
    <row r="658" ht="18.75" customHeight="1">
      <c r="A658" s="28" t="s">
        <v>4798</v>
      </c>
      <c r="B658" s="17" t="s">
        <v>4799</v>
      </c>
      <c r="C658" s="18" t="s">
        <v>4800</v>
      </c>
      <c r="D658" s="18" t="s">
        <v>4801</v>
      </c>
      <c r="E658" s="18" t="s">
        <v>4802</v>
      </c>
      <c r="F658" s="18" t="s">
        <v>4803</v>
      </c>
      <c r="G658" s="18" t="s">
        <v>4804</v>
      </c>
      <c r="H658" s="18" t="s">
        <v>4805</v>
      </c>
      <c r="I658" s="18" t="s">
        <v>4806</v>
      </c>
      <c r="J658" s="18" t="s">
        <v>4807</v>
      </c>
      <c r="K658" s="19"/>
      <c r="L658" s="19"/>
      <c r="M658" s="18" t="s">
        <v>4808</v>
      </c>
      <c r="N658" s="18" t="s">
        <v>4809</v>
      </c>
      <c r="O658" s="18" t="s">
        <v>4810</v>
      </c>
      <c r="P658" s="19"/>
      <c r="S658" s="10" t="str">
        <f>IFERROR(__xludf.DUMMYFUNCTION("GOOGLETRANSLATE(A658,""my"", ""en"")"),"112")</f>
        <v>112</v>
      </c>
      <c r="T658" s="10" t="str">
        <f>IFERROR(__xludf.DUMMYFUNCTION("GOOGLETRANSLATE(B658,""my"", ""en"")"),"မဲဆ  No. (4)")</f>
        <v>မဲဆ  No. (4)</v>
      </c>
      <c r="U658" s="10" t="str">
        <f>IFERROR(__xludf.DUMMYFUNCTION("GOOGLETRANSLATE(C658,""my"", ""en"")"),"125013")</f>
        <v>125013</v>
      </c>
      <c r="V658" s="10" t="str">
        <f>IFERROR(__xludf.DUMMYFUNCTION("GOOGLETRANSLATE(D658,""my"", ""en"")"),"57256")</f>
        <v>57256</v>
      </c>
      <c r="W658" s="10" t="str">
        <f>IFERROR(__xludf.DUMMYFUNCTION("GOOGLETRANSLATE(E658,""my"", ""en"")"),"20739")</f>
        <v>20739</v>
      </c>
      <c r="X658" s="10" t="str">
        <f>IFERROR(__xludf.DUMMYFUNCTION("GOOGLETRANSLATE(F658,""my"", ""en"")"),"77995")</f>
        <v>77995</v>
      </c>
      <c r="Y658" s="10" t="str">
        <f>IFERROR(__xludf.DUMMYFUNCTION("GOOGLETRANSLATE(G658,""my"", ""en"")"),"62.39")</f>
        <v>62.39</v>
      </c>
      <c r="Z658" s="10" t="str">
        <f>IFERROR(__xludf.DUMMYFUNCTION("GOOGLETRANSLATE(H658,""my"", ""en"")"),"847")</f>
        <v>847</v>
      </c>
      <c r="AA658" s="10" t="str">
        <f>IFERROR(__xludf.DUMMYFUNCTION("GOOGLETRANSLATE(I658,""my"", ""en"")"),"33")</f>
        <v>33</v>
      </c>
      <c r="AB658" s="10" t="str">
        <f>IFERROR(__xludf.DUMMYFUNCTION("GOOGLETRANSLATE(J658,""my"", ""en"")"),"880")</f>
        <v>880</v>
      </c>
      <c r="AE658" s="10" t="str">
        <f>IFERROR(__xludf.DUMMYFUNCTION("GOOGLETRANSLATE(M658,""my"", ""en"")"),"56390")</f>
        <v>56390</v>
      </c>
      <c r="AF658" s="10" t="str">
        <f>IFERROR(__xludf.DUMMYFUNCTION("GOOGLETRANSLATE(N658,""my"", ""en"")"),"20725")</f>
        <v>20725</v>
      </c>
      <c r="AG658" s="10" t="str">
        <f>IFERROR(__xludf.DUMMYFUNCTION("GOOGLETRANSLATE(O658,""my"", ""en"")"),"77115")</f>
        <v>77115</v>
      </c>
    </row>
    <row r="659" ht="22.5" customHeigh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3" t="s">
        <v>4811</v>
      </c>
      <c r="L659" s="23" t="s">
        <v>4812</v>
      </c>
      <c r="M659" s="24" t="s">
        <v>4813</v>
      </c>
      <c r="N659" s="24" t="s">
        <v>4814</v>
      </c>
      <c r="O659" s="24" t="s">
        <v>4815</v>
      </c>
      <c r="P659" s="25" t="s">
        <v>4816</v>
      </c>
      <c r="AC659" s="10" t="str">
        <f>IFERROR(__xludf.DUMMYFUNCTION("GOOGLETRANSLATE(K659,""my"", ""en"")"),"ေအး Min Han")</f>
        <v>ေအး Min Han</v>
      </c>
      <c r="AD659" s="10" t="str">
        <f>IFERROR(__xludf.DUMMYFUNCTION("GOOGLETRANSLATE(L659,""my"", ""en"")")," Game Democracy group   Pop Party")</f>
        <v> Game Democracy group   Pop Party</v>
      </c>
      <c r="AE659" s="10" t="str">
        <f>IFERROR(__xludf.DUMMYFUNCTION("GOOGLETRANSLATE(M659,""my"", ""en"")"),"44302")</f>
        <v>44302</v>
      </c>
      <c r="AF659" s="10" t="str">
        <f>IFERROR(__xludf.DUMMYFUNCTION("GOOGLETRANSLATE(N659,""my"", ""en"")"),"15213")</f>
        <v>15213</v>
      </c>
      <c r="AG659" s="10" t="str">
        <f>IFERROR(__xludf.DUMMYFUNCTION("GOOGLETRANSLATE(O659,""my"", ""en"")"),"59515")</f>
        <v>59515</v>
      </c>
      <c r="AH659" s="10" t="str">
        <f>IFERROR(__xludf.DUMMYFUNCTION("GOOGLETRANSLATE(P659,""my"", ""en"")"),"77.18%")</f>
        <v>77.18%</v>
      </c>
    </row>
    <row r="660" ht="21.75" customHeigh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3" t="s">
        <v>4817</v>
      </c>
      <c r="L660" s="23" t="s">
        <v>4818</v>
      </c>
      <c r="M660" s="24" t="s">
        <v>4819</v>
      </c>
      <c r="N660" s="24" t="s">
        <v>4820</v>
      </c>
      <c r="O660" s="24" t="s">
        <v>4821</v>
      </c>
      <c r="P660" s="25" t="s">
        <v>4822</v>
      </c>
      <c r="AC660" s="10" t="str">
        <f>IFERROR(__xludf.DUMMYFUNCTION("GOOGLETRANSLATE(K660,""my"", ""en"")"),"Data  ငျွ complex")</f>
        <v>Data  ငျွ complex</v>
      </c>
      <c r="AD660" s="10" t="str">
        <f>IFERROR(__xludf.DUMMYFUNCTION("GOOGLETRANSLATE(L660,""my"", ""en"")"),"Local ေထာင် soap-stone strong ေရး  under development  Phil  ေရး Party")</f>
        <v>Local ေထာင် soap-stone strong ေရး  under development  Phil  ေရး Party</v>
      </c>
      <c r="AE660" s="10" t="str">
        <f>IFERROR(__xludf.DUMMYFUNCTION("GOOGLETRANSLATE(M660,""my"", ""en"")"),"6485")</f>
        <v>6485</v>
      </c>
      <c r="AF660" s="10" t="str">
        <f>IFERROR(__xludf.DUMMYFUNCTION("GOOGLETRANSLATE(N660,""my"", ""en"")"),"3245")</f>
        <v>3245</v>
      </c>
      <c r="AG660" s="10" t="str">
        <f>IFERROR(__xludf.DUMMYFUNCTION("GOOGLETRANSLATE(O660,""my"", ""en"")"),"9730")</f>
        <v>9730</v>
      </c>
      <c r="AH660" s="10" t="str">
        <f>IFERROR(__xludf.DUMMYFUNCTION("GOOGLETRANSLATE(P660,""my"", ""en"")"),"12.62%")</f>
        <v>12.62%</v>
      </c>
    </row>
    <row r="661" ht="22.5" customHeigh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3" t="s">
        <v>4823</v>
      </c>
      <c r="L661" s="23" t="s">
        <v>4824</v>
      </c>
      <c r="M661" s="24" t="s">
        <v>4825</v>
      </c>
      <c r="N661" s="24" t="s">
        <v>4826</v>
      </c>
      <c r="O661" s="24" t="s">
        <v>4827</v>
      </c>
      <c r="P661" s="25" t="s">
        <v>4828</v>
      </c>
      <c r="AC661" s="10" t="str">
        <f>IFERROR(__xludf.DUMMYFUNCTION("GOOGLETRANSLATE(K661,""my"", ""en"")"),"Data  friend than a friend")</f>
        <v>Data  friend than a friend</v>
      </c>
      <c r="AD661" s="10" t="str">
        <f>IFERROR(__xludf.DUMMYFUNCTION("GOOGLETRANSLATE(L661,""my"", ""en"")"),"Mon  working party ေရး")</f>
        <v>Mon  working party ေရး</v>
      </c>
      <c r="AE661" s="10" t="str">
        <f>IFERROR(__xludf.DUMMYFUNCTION("GOOGLETRANSLATE(M661,""my"", ""en"")"),"5293")</f>
        <v>5293</v>
      </c>
      <c r="AF661" s="10" t="str">
        <f>IFERROR(__xludf.DUMMYFUNCTION("GOOGLETRANSLATE(N661,""my"", ""en"")"),"2121")</f>
        <v>2121</v>
      </c>
      <c r="AG661" s="10" t="str">
        <f>IFERROR(__xludf.DUMMYFUNCTION("GOOGLETRANSLATE(O661,""my"", ""en"")"),"7414")</f>
        <v>7414</v>
      </c>
      <c r="AH661" s="10" t="str">
        <f>IFERROR(__xludf.DUMMYFUNCTION("GOOGLETRANSLATE(P661,""my"", ""en"")"),"9.61%")</f>
        <v>9.61%</v>
      </c>
    </row>
    <row r="662" ht="22.5" customHeigh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3" t="s">
        <v>4829</v>
      </c>
      <c r="L662" s="23" t="s">
        <v>4830</v>
      </c>
      <c r="M662" s="24" t="s">
        <v>4831</v>
      </c>
      <c r="N662" s="24" t="s">
        <v>4832</v>
      </c>
      <c r="O662" s="24" t="s">
        <v>4833</v>
      </c>
      <c r="P662" s="25" t="s">
        <v>4834</v>
      </c>
      <c r="AC662" s="10" t="str">
        <f>IFERROR(__xludf.DUMMYFUNCTION("GOOGLETRANSLATE(K662,""my"", ""en"")")," Game ေအာင်")</f>
        <v> Game ေအာင်</v>
      </c>
      <c r="AD662" s="10" t="str">
        <f>IFERROR(__xludf.DUMMYFUNCTION("GOOGLETRANSLATE(L662,""my"", ""en"")"),"Local ေထာင် စုေ white  Game ေဆာင် Party")</f>
        <v>Local ေထာင် စုေ white  Game ေဆာင် Party</v>
      </c>
      <c r="AE662" s="10" t="str">
        <f>IFERROR(__xludf.DUMMYFUNCTION("GOOGLETRANSLATE(M662,""my"", ""en"")"),"310")</f>
        <v>310</v>
      </c>
      <c r="AF662" s="10" t="str">
        <f>IFERROR(__xludf.DUMMYFUNCTION("GOOGLETRANSLATE(N662,""my"", ""en"")"),"146")</f>
        <v>146</v>
      </c>
      <c r="AG662" s="10" t="str">
        <f>IFERROR(__xludf.DUMMYFUNCTION("GOOGLETRANSLATE(O662,""my"", ""en"")"),"456")</f>
        <v>456</v>
      </c>
      <c r="AH662" s="10" t="str">
        <f>IFERROR(__xludf.DUMMYFUNCTION("GOOGLETRANSLATE(P662,""my"", ""en"")"),"0.59%")</f>
        <v>0.59%</v>
      </c>
    </row>
    <row r="663" ht="21.75" customHeight="1">
      <c r="A663" s="28" t="s">
        <v>4835</v>
      </c>
      <c r="B663" s="17" t="s">
        <v>4836</v>
      </c>
      <c r="C663" s="18" t="s">
        <v>4837</v>
      </c>
      <c r="D663" s="17" t="s">
        <v>4838</v>
      </c>
      <c r="E663" s="18" t="s">
        <v>4839</v>
      </c>
      <c r="F663" s="18" t="s">
        <v>4840</v>
      </c>
      <c r="G663" s="18" t="s">
        <v>4841</v>
      </c>
      <c r="H663" s="18" t="s">
        <v>4842</v>
      </c>
      <c r="I663" s="18" t="s">
        <v>4843</v>
      </c>
      <c r="J663" s="18" t="s">
        <v>4844</v>
      </c>
      <c r="K663" s="27"/>
      <c r="L663" s="27"/>
      <c r="M663" s="18" t="s">
        <v>4845</v>
      </c>
      <c r="N663" s="18" t="s">
        <v>4846</v>
      </c>
      <c r="O663" s="18" t="s">
        <v>4847</v>
      </c>
      <c r="P663" s="27"/>
      <c r="S663" s="10" t="str">
        <f>IFERROR(__xludf.DUMMYFUNCTION("GOOGLETRANSLATE(A663,""my"", ""en"")"),"113")</f>
        <v>113</v>
      </c>
      <c r="T663" s="10" t="str">
        <f>IFERROR(__xludf.DUMMYFUNCTION("GOOGLETRANSLATE(B663,""my"", ""en"")"),"မဲဆ  (5 points)")</f>
        <v>မဲဆ  (5 points)</v>
      </c>
      <c r="U663" s="10" t="str">
        <f>IFERROR(__xludf.DUMMYFUNCTION("GOOGLETRANSLATE(C663,""my"", ""en"")"),"123132")</f>
        <v>123132</v>
      </c>
      <c r="V663" s="10" t="str">
        <f>IFERROR(__xludf.DUMMYFUNCTION("GOOGLETRANSLATE(D663,""my"", ""en"")"),"57756")</f>
        <v>57756</v>
      </c>
      <c r="W663" s="10" t="str">
        <f>IFERROR(__xludf.DUMMYFUNCTION("GOOGLETRANSLATE(E663,""my"", ""en"")"),"20120")</f>
        <v>20120</v>
      </c>
      <c r="X663" s="10" t="str">
        <f>IFERROR(__xludf.DUMMYFUNCTION("GOOGLETRANSLATE(F663,""my"", ""en"")"),"77876")</f>
        <v>77876</v>
      </c>
      <c r="Y663" s="10" t="str">
        <f>IFERROR(__xludf.DUMMYFUNCTION("GOOGLETRANSLATE(G663,""my"", ""en"")"),"63.25")</f>
        <v>63.25</v>
      </c>
      <c r="Z663" s="10" t="str">
        <f>IFERROR(__xludf.DUMMYFUNCTION("GOOGLETRANSLATE(H663,""my"", ""en"")"),"1141")</f>
        <v>1141</v>
      </c>
      <c r="AA663" s="10" t="str">
        <f>IFERROR(__xludf.DUMMYFUNCTION("GOOGLETRANSLATE(I663,""my"", ""en"")"),"73")</f>
        <v>73</v>
      </c>
      <c r="AB663" s="10" t="str">
        <f>IFERROR(__xludf.DUMMYFUNCTION("GOOGLETRANSLATE(J663,""my"", ""en"")"),"1214")</f>
        <v>1214</v>
      </c>
      <c r="AE663" s="10" t="str">
        <f>IFERROR(__xludf.DUMMYFUNCTION("GOOGLETRANSLATE(M663,""my"", ""en"")"),"56550")</f>
        <v>56550</v>
      </c>
      <c r="AF663" s="10" t="str">
        <f>IFERROR(__xludf.DUMMYFUNCTION("GOOGLETRANSLATE(N663,""my"", ""en"")"),"20112")</f>
        <v>20112</v>
      </c>
      <c r="AG663" s="10" t="str">
        <f>IFERROR(__xludf.DUMMYFUNCTION("GOOGLETRANSLATE(O663,""my"", ""en"")"),"76662")</f>
        <v>76662</v>
      </c>
    </row>
    <row r="664" ht="22.5" customHeigh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3" t="s">
        <v>4848</v>
      </c>
      <c r="L664" s="23" t="s">
        <v>4849</v>
      </c>
      <c r="M664" s="24" t="s">
        <v>4850</v>
      </c>
      <c r="N664" s="24" t="s">
        <v>4851</v>
      </c>
      <c r="O664" s="24" t="s">
        <v>4852</v>
      </c>
      <c r="P664" s="25" t="s">
        <v>4853</v>
      </c>
      <c r="AC664" s="10" t="str">
        <f>IFERROR(__xludf.DUMMYFUNCTION("GOOGLETRANSLATE(K664,""my"", ""en"")"),"U")</f>
        <v>U</v>
      </c>
      <c r="AD664" s="10" t="str">
        <f>IFERROR(__xludf.DUMMYFUNCTION("GOOGLETRANSLATE(L664,""my"", ""en"")")," Game Democracy group   Pop Party")</f>
        <v> Game Democracy group   Pop Party</v>
      </c>
      <c r="AE664" s="10" t="str">
        <f>IFERROR(__xludf.DUMMYFUNCTION("GOOGLETRANSLATE(M664,""my"", ""en"")"),"39086")</f>
        <v>39086</v>
      </c>
      <c r="AF664" s="10" t="str">
        <f>IFERROR(__xludf.DUMMYFUNCTION("GOOGLETRANSLATE(N664,""my"", ""en"")"),"11811")</f>
        <v>11811</v>
      </c>
      <c r="AG664" s="10" t="str">
        <f>IFERROR(__xludf.DUMMYFUNCTION("GOOGLETRANSLATE(O664,""my"", ""en"")"),"50897")</f>
        <v>50897</v>
      </c>
      <c r="AH664" s="10" t="str">
        <f>IFERROR(__xludf.DUMMYFUNCTION("GOOGLETRANSLATE(P664,""my"", ""en"")"),"66.39%")</f>
        <v>66.39%</v>
      </c>
    </row>
    <row r="665" ht="21.75" customHeigh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3" t="s">
        <v>4854</v>
      </c>
      <c r="L665" s="23" t="s">
        <v>4855</v>
      </c>
      <c r="M665" s="24" t="s">
        <v>4856</v>
      </c>
      <c r="N665" s="24" t="s">
        <v>4857</v>
      </c>
      <c r="O665" s="24" t="s">
        <v>4858</v>
      </c>
      <c r="P665" s="25" t="s">
        <v>4859</v>
      </c>
      <c r="AC665" s="10" t="str">
        <f>IFERROR(__xludf.DUMMYFUNCTION("GOOGLETRANSLATE(K665,""my"", ""en"")"),"Soe Tun")</f>
        <v>Soe Tun</v>
      </c>
      <c r="AD665" s="10" t="str">
        <f>IFERROR(__xludf.DUMMYFUNCTION("GOOGLETRANSLATE(L665,""my"", ""en"")"),"Local ေထာင် soap-stone strong ေရး  under development  Phil  ေရး Party")</f>
        <v>Local ေထာင် soap-stone strong ေရး  under development  Phil  ေရး Party</v>
      </c>
      <c r="AE665" s="10" t="str">
        <f>IFERROR(__xludf.DUMMYFUNCTION("GOOGLETRANSLATE(M665,""my"", ""en"")"),"11261")</f>
        <v>11261</v>
      </c>
      <c r="AF665" s="10" t="str">
        <f>IFERROR(__xludf.DUMMYFUNCTION("GOOGLETRANSLATE(N665,""my"", ""en"")"),"5725")</f>
        <v>5725</v>
      </c>
      <c r="AG665" s="10" t="str">
        <f>IFERROR(__xludf.DUMMYFUNCTION("GOOGLETRANSLATE(O665,""my"", ""en"")"),"16986")</f>
        <v>16986</v>
      </c>
      <c r="AH665" s="10" t="str">
        <f>IFERROR(__xludf.DUMMYFUNCTION("GOOGLETRANSLATE(P665,""my"", ""en"")"),"22.16%")</f>
        <v>22.16%</v>
      </c>
    </row>
    <row r="666" ht="22.5" customHeigh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3" t="s">
        <v>4860</v>
      </c>
      <c r="L666" s="23" t="s">
        <v>4861</v>
      </c>
      <c r="M666" s="24" t="s">
        <v>4862</v>
      </c>
      <c r="N666" s="24" t="s">
        <v>4863</v>
      </c>
      <c r="O666" s="24" t="s">
        <v>4864</v>
      </c>
      <c r="P666" s="25" t="s">
        <v>4865</v>
      </c>
      <c r="AC666" s="10" t="str">
        <f>IFERROR(__xludf.DUMMYFUNCTION("GOOGLETRANSLATE(K666,""my"", ""en"")"),"ေဒါက်  steak lovers")</f>
        <v>ေဒါက်  steak lovers</v>
      </c>
      <c r="AD666" s="10" t="str">
        <f>IFERROR(__xludf.DUMMYFUNCTION("GOOGLETRANSLATE(L666,""my"", ""en"")"),"Mon  working party ေရး")</f>
        <v>Mon  working party ေရး</v>
      </c>
      <c r="AE666" s="10" t="str">
        <f>IFERROR(__xludf.DUMMYFUNCTION("GOOGLETRANSLATE(M666,""my"", ""en"")"),"5588")</f>
        <v>5588</v>
      </c>
      <c r="AF666" s="10" t="str">
        <f>IFERROR(__xludf.DUMMYFUNCTION("GOOGLETRANSLATE(N666,""my"", ""en"")"),"2276")</f>
        <v>2276</v>
      </c>
      <c r="AG666" s="10" t="str">
        <f>IFERROR(__xludf.DUMMYFUNCTION("GOOGLETRANSLATE(O666,""my"", ""en"")"),"7864")</f>
        <v>7864</v>
      </c>
      <c r="AH666" s="10" t="str">
        <f>IFERROR(__xludf.DUMMYFUNCTION("GOOGLETRANSLATE(P666,""my"", ""en"")"),"10.26%")</f>
        <v>10.26%</v>
      </c>
    </row>
    <row r="667" ht="21.75" customHeigh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3" t="s">
        <v>4866</v>
      </c>
      <c r="L667" s="23" t="s">
        <v>4867</v>
      </c>
      <c r="M667" s="24" t="s">
        <v>4868</v>
      </c>
      <c r="N667" s="24" t="s">
        <v>4869</v>
      </c>
      <c r="O667" s="24" t="s">
        <v>4870</v>
      </c>
      <c r="P667" s="25" t="s">
        <v>4871</v>
      </c>
      <c r="AC667" s="10" t="str">
        <f>IFERROR(__xludf.DUMMYFUNCTION("GOOGLETRANSLATE(K667,""my"", ""en"")"),"ေအာင်")</f>
        <v>ေအာင်</v>
      </c>
      <c r="AD667" s="10" t="str">
        <f>IFERROR(__xludf.DUMMYFUNCTION("GOOGLETRANSLATE(L667,""my"", ""en"")"),"Local ေထာင် စုေ white  Game ေဆာင် Party")</f>
        <v>Local ေထာင် စုေ white  Game ေဆာင် Party</v>
      </c>
      <c r="AE667" s="10" t="str">
        <f>IFERROR(__xludf.DUMMYFUNCTION("GOOGLETRANSLATE(M667,""my"", ""en"")"),"509")</f>
        <v>509</v>
      </c>
      <c r="AF667" s="10" t="str">
        <f>IFERROR(__xludf.DUMMYFUNCTION("GOOGLETRANSLATE(N667,""my"", ""en"")"),"219")</f>
        <v>219</v>
      </c>
      <c r="AG667" s="10" t="str">
        <f>IFERROR(__xludf.DUMMYFUNCTION("GOOGLETRANSLATE(O667,""my"", ""en"")"),"728")</f>
        <v>728</v>
      </c>
      <c r="AH667" s="10" t="str">
        <f>IFERROR(__xludf.DUMMYFUNCTION("GOOGLETRANSLATE(P667,""my"", ""en"")"),"0.95%")</f>
        <v>0.95%</v>
      </c>
    </row>
    <row r="668" ht="22.5" customHeigh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3" t="s">
        <v>4872</v>
      </c>
      <c r="L668" s="23" t="s">
        <v>4873</v>
      </c>
      <c r="M668" s="24" t="s">
        <v>4874</v>
      </c>
      <c r="N668" s="24" t="s">
        <v>4875</v>
      </c>
      <c r="O668" s="24" t="s">
        <v>4876</v>
      </c>
      <c r="P668" s="25" t="s">
        <v>4877</v>
      </c>
      <c r="AC668" s="10" t="str">
        <f>IFERROR(__xludf.DUMMYFUNCTION("GOOGLETRANSLATE(K668,""my"", ""en"")"),"U")</f>
        <v>U</v>
      </c>
      <c r="AD668" s="10" t="str">
        <f>IFERROR(__xludf.DUMMYFUNCTION("GOOGLETRANSLATE(L668,""my"", ""en"")")," Game  Democratic Party political-Fi")</f>
        <v> Game  Democratic Party political-Fi</v>
      </c>
      <c r="AE668" s="10" t="str">
        <f>IFERROR(__xludf.DUMMYFUNCTION("GOOGLETRANSLATE(M668,""my"", ""en"")"),"106")</f>
        <v>106</v>
      </c>
      <c r="AF668" s="10" t="str">
        <f>IFERROR(__xludf.DUMMYFUNCTION("GOOGLETRANSLATE(N668,""my"", ""en"")"),"81")</f>
        <v>81</v>
      </c>
      <c r="AG668" s="10" t="str">
        <f>IFERROR(__xludf.DUMMYFUNCTION("GOOGLETRANSLATE(O668,""my"", ""en"")"),"187")</f>
        <v>187</v>
      </c>
      <c r="AH668" s="10" t="str">
        <f>IFERROR(__xludf.DUMMYFUNCTION("GOOGLETRANSLATE(P668,""my"", ""en"")"),"0.24%")</f>
        <v>0.24%</v>
      </c>
    </row>
    <row r="669" ht="21.75" customHeight="1">
      <c r="A669" s="28" t="s">
        <v>4878</v>
      </c>
      <c r="B669" s="17" t="s">
        <v>4879</v>
      </c>
      <c r="C669" s="18" t="s">
        <v>4880</v>
      </c>
      <c r="D669" s="17" t="s">
        <v>4881</v>
      </c>
      <c r="E669" s="18" t="s">
        <v>4882</v>
      </c>
      <c r="F669" s="18" t="s">
        <v>4883</v>
      </c>
      <c r="G669" s="18" t="s">
        <v>4884</v>
      </c>
      <c r="H669" s="18" t="s">
        <v>4885</v>
      </c>
      <c r="I669" s="18" t="s">
        <v>4886</v>
      </c>
      <c r="J669" s="18" t="s">
        <v>4887</v>
      </c>
      <c r="K669" s="27"/>
      <c r="L669" s="27"/>
      <c r="M669" s="18" t="s">
        <v>4888</v>
      </c>
      <c r="N669" s="18" t="s">
        <v>4889</v>
      </c>
      <c r="O669" s="18" t="s">
        <v>4890</v>
      </c>
      <c r="P669" s="27"/>
      <c r="S669" s="10" t="str">
        <f>IFERROR(__xludf.DUMMYFUNCTION("GOOGLETRANSLATE(A669,""my"", ""en"")"),"114")</f>
        <v>114</v>
      </c>
      <c r="T669" s="10" t="str">
        <f>IFERROR(__xludf.DUMMYFUNCTION("GOOGLETRANSLATE(B669,""my"", ""en"")"),"မဲဆ  No. (6)")</f>
        <v>မဲဆ  No. (6)</v>
      </c>
      <c r="U669" s="10" t="str">
        <f>IFERROR(__xludf.DUMMYFUNCTION("GOOGLETRANSLATE(C669,""my"", ""en"")"),"116953")</f>
        <v>116953</v>
      </c>
      <c r="V669" s="10" t="str">
        <f>IFERROR(__xludf.DUMMYFUNCTION("GOOGLETRANSLATE(D669,""my"", ""en"")"),"43812")</f>
        <v>43812</v>
      </c>
      <c r="W669" s="10" t="str">
        <f>IFERROR(__xludf.DUMMYFUNCTION("GOOGLETRANSLATE(E669,""my"", ""en"")"),"12818")</f>
        <v>12818</v>
      </c>
      <c r="X669" s="10" t="str">
        <f>IFERROR(__xludf.DUMMYFUNCTION("GOOGLETRANSLATE(F669,""my"", ""en"")"),"56630")</f>
        <v>56630</v>
      </c>
      <c r="Y669" s="10" t="str">
        <f>IFERROR(__xludf.DUMMYFUNCTION("GOOGLETRANSLATE(G669,""my"", ""en"")"),"48.42")</f>
        <v>48.42</v>
      </c>
      <c r="Z669" s="10" t="str">
        <f>IFERROR(__xludf.DUMMYFUNCTION("GOOGLETRANSLATE(H669,""my"", ""en"")"),"2942")</f>
        <v>2942</v>
      </c>
      <c r="AA669" s="10" t="str">
        <f>IFERROR(__xludf.DUMMYFUNCTION("GOOGLETRANSLATE(I669,""my"", ""en"")"),"47")</f>
        <v>47</v>
      </c>
      <c r="AB669" s="10" t="str">
        <f>IFERROR(__xludf.DUMMYFUNCTION("GOOGLETRANSLATE(J669,""my"", ""en"")"),"2989")</f>
        <v>2989</v>
      </c>
      <c r="AE669" s="10" t="str">
        <f>IFERROR(__xludf.DUMMYFUNCTION("GOOGLETRANSLATE(M669,""my"", ""en"")"),"41227")</f>
        <v>41227</v>
      </c>
      <c r="AF669" s="10" t="str">
        <f>IFERROR(__xludf.DUMMYFUNCTION("GOOGLETRANSLATE(N669,""my"", ""en"")"),"12414")</f>
        <v>12414</v>
      </c>
      <c r="AG669" s="10" t="str">
        <f>IFERROR(__xludf.DUMMYFUNCTION("GOOGLETRANSLATE(O669,""my"", ""en"")"),"53641")</f>
        <v>53641</v>
      </c>
    </row>
    <row r="670" ht="21.75" customHeigh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3" t="s">
        <v>4891</v>
      </c>
      <c r="L670" s="23" t="s">
        <v>4892</v>
      </c>
      <c r="M670" s="24" t="s">
        <v>4893</v>
      </c>
      <c r="N670" s="24" t="s">
        <v>4894</v>
      </c>
      <c r="O670" s="24" t="s">
        <v>4895</v>
      </c>
      <c r="P670" s="25" t="s">
        <v>4896</v>
      </c>
      <c r="AC670" s="10" t="str">
        <f>IFERROR(__xludf.DUMMYFUNCTION("GOOGLETRANSLATE(K670,""my"", ""en"")")," Wi-Robert")</f>
        <v> Wi-Robert</v>
      </c>
      <c r="AD670" s="10" t="str">
        <f>IFERROR(__xludf.DUMMYFUNCTION("GOOGLETRANSLATE(L670,""my"", ""en"")"),"Mon  working party ေရး")</f>
        <v>Mon  working party ေရး</v>
      </c>
      <c r="AE670" s="10" t="str">
        <f>IFERROR(__xludf.DUMMYFUNCTION("GOOGLETRANSLATE(M670,""my"", ""en"")"),"19837")</f>
        <v>19837</v>
      </c>
      <c r="AF670" s="10" t="str">
        <f>IFERROR(__xludf.DUMMYFUNCTION("GOOGLETRANSLATE(N670,""my"", ""en"")"),"6044")</f>
        <v>6044</v>
      </c>
      <c r="AG670" s="10" t="str">
        <f>IFERROR(__xludf.DUMMYFUNCTION("GOOGLETRANSLATE(O670,""my"", ""en"")"),"25881")</f>
        <v>25881</v>
      </c>
      <c r="AH670" s="10" t="str">
        <f>IFERROR(__xludf.DUMMYFUNCTION("GOOGLETRANSLATE(P670,""my"", ""en"")"),"48.25%")</f>
        <v>48.25%</v>
      </c>
    </row>
    <row r="671" ht="21.0" customHeigh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3" t="s">
        <v>4897</v>
      </c>
      <c r="L671" s="23" t="s">
        <v>4898</v>
      </c>
      <c r="M671" s="24" t="s">
        <v>4899</v>
      </c>
      <c r="N671" s="24" t="s">
        <v>4900</v>
      </c>
      <c r="O671" s="24" t="s">
        <v>4901</v>
      </c>
      <c r="P671" s="25" t="s">
        <v>4902</v>
      </c>
      <c r="AC671" s="10" t="str">
        <f>IFERROR(__xludf.DUMMYFUNCTION("GOOGLETRANSLATE(K671,""my"", ""en"")"),"သာင်း")</f>
        <v>သာင်း</v>
      </c>
      <c r="AD671" s="10" t="str">
        <f>IFERROR(__xludf.DUMMYFUNCTION("GOOGLETRANSLATE(L671,""my"", ""en"")")," Game Democracy group   Pop Party")</f>
        <v> Game Democracy group   Pop Party</v>
      </c>
      <c r="AE671" s="10" t="str">
        <f>IFERROR(__xludf.DUMMYFUNCTION("GOOGLETRANSLATE(M671,""my"", ""en"")"),"12494")</f>
        <v>12494</v>
      </c>
      <c r="AF671" s="10" t="str">
        <f>IFERROR(__xludf.DUMMYFUNCTION("GOOGLETRANSLATE(N671,""my"", ""en"")"),"3554")</f>
        <v>3554</v>
      </c>
      <c r="AG671" s="10" t="str">
        <f>IFERROR(__xludf.DUMMYFUNCTION("GOOGLETRANSLATE(O671,""my"", ""en"")"),"16048")</f>
        <v>16048</v>
      </c>
      <c r="AH671" s="10" t="str">
        <f>IFERROR(__xludf.DUMMYFUNCTION("GOOGLETRANSLATE(P671,""my"", ""en"")"),"29.92%")</f>
        <v>29.92%</v>
      </c>
    </row>
    <row r="672" ht="36.75" customHeigh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2" t="s">
        <v>4903</v>
      </c>
      <c r="L672" s="32" t="s">
        <v>4904</v>
      </c>
      <c r="M672" s="33" t="s">
        <v>4905</v>
      </c>
      <c r="N672" s="33" t="s">
        <v>4906</v>
      </c>
      <c r="O672" s="33" t="s">
        <v>4907</v>
      </c>
      <c r="P672" s="31" t="s">
        <v>4908</v>
      </c>
      <c r="AC672" s="10" t="str">
        <f>IFERROR(__xludf.DUMMYFUNCTION("GOOGLETRANSLATE(K672,""my"", ""en"")")," Game ေအာင် (b)
 treated  Game ေအာင်")</f>
        <v> Game ေအာင် (b)
 treated  Game ေအာင်</v>
      </c>
      <c r="AD672" s="10" t="str">
        <f>IFERROR(__xludf.DUMMYFUNCTION("GOOGLETRANSLATE(L672,""my"", ""en"")"),"Personal ")</f>
        <v>Personal </v>
      </c>
      <c r="AE672" s="10" t="str">
        <f>IFERROR(__xludf.DUMMYFUNCTION("GOOGLETRANSLATE(M672,""my"", ""en"")"),"3844")</f>
        <v>3844</v>
      </c>
      <c r="AF672" s="10" t="str">
        <f>IFERROR(__xludf.DUMMYFUNCTION("GOOGLETRANSLATE(N672,""my"", ""en"")"),"894")</f>
        <v>894</v>
      </c>
      <c r="AG672" s="10" t="str">
        <f>IFERROR(__xludf.DUMMYFUNCTION("GOOGLETRANSLATE(O672,""my"", ""en"")"),"4738")</f>
        <v>4738</v>
      </c>
      <c r="AH672" s="10" t="str">
        <f>IFERROR(__xludf.DUMMYFUNCTION("GOOGLETRANSLATE(P672,""my"", ""en"")"),"8.83%")</f>
        <v>8.83%</v>
      </c>
    </row>
    <row r="673" ht="24.0" customHeigh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3" t="s">
        <v>4909</v>
      </c>
      <c r="L673" s="23" t="s">
        <v>4910</v>
      </c>
      <c r="M673" s="24" t="s">
        <v>4911</v>
      </c>
      <c r="N673" s="24" t="s">
        <v>4912</v>
      </c>
      <c r="O673" s="24" t="s">
        <v>4913</v>
      </c>
      <c r="P673" s="25" t="s">
        <v>4914</v>
      </c>
      <c r="AC673" s="10" t="str">
        <f>IFERROR(__xludf.DUMMYFUNCTION("GOOGLETRANSLATE(K673,""my"", ""en"")"),"Love ေစာ Po")</f>
        <v>Love ေစာ Po</v>
      </c>
      <c r="AD673" s="10" t="str">
        <f>IFERROR(__xludf.DUMMYFUNCTION("GOOGLETRANSLATE(L673,""my"", ""en"")"),"Local ေထာင် soap-stone strong ေရး  under development  Phil  ေရး Party")</f>
        <v>Local ေထာင် soap-stone strong ေရး  under development  Phil  ေရး Party</v>
      </c>
      <c r="AE673" s="10" t="str">
        <f>IFERROR(__xludf.DUMMYFUNCTION("GOOGLETRANSLATE(M673,""my"", ""en"")"),"2922")</f>
        <v>2922</v>
      </c>
      <c r="AF673" s="10" t="str">
        <f>IFERROR(__xludf.DUMMYFUNCTION("GOOGLETRANSLATE(N673,""my"", ""en"")"),"1109")</f>
        <v>1109</v>
      </c>
      <c r="AG673" s="10" t="str">
        <f>IFERROR(__xludf.DUMMYFUNCTION("GOOGLETRANSLATE(O673,""my"", ""en"")"),"4031")</f>
        <v>4031</v>
      </c>
      <c r="AH673" s="10" t="str">
        <f>IFERROR(__xludf.DUMMYFUNCTION("GOOGLETRANSLATE(P673,""my"", ""en"")"),"7.52%")</f>
        <v>7.52%</v>
      </c>
    </row>
    <row r="674" ht="24.0" customHeigh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3" t="s">
        <v>4915</v>
      </c>
      <c r="L674" s="23" t="s">
        <v>4916</v>
      </c>
      <c r="M674" s="24" t="s">
        <v>4917</v>
      </c>
      <c r="N674" s="24" t="s">
        <v>4918</v>
      </c>
      <c r="O674" s="24" t="s">
        <v>4919</v>
      </c>
      <c r="P674" s="25" t="s">
        <v>4920</v>
      </c>
      <c r="AC674" s="10" t="str">
        <f>IFERROR(__xludf.DUMMYFUNCTION("GOOGLETRANSLATE(K674,""my"", ""en"")"),"B'nyairHtao strengthen ေအာင်")</f>
        <v>B'nyairHtao strengthen ေအာင်</v>
      </c>
      <c r="AD674" s="10" t="str">
        <f>IFERROR(__xludf.DUMMYFUNCTION("GOOGLETRANSLATE(L674,""my"", ""en"")"),"Personal ")</f>
        <v>Personal </v>
      </c>
      <c r="AE674" s="10" t="str">
        <f>IFERROR(__xludf.DUMMYFUNCTION("GOOGLETRANSLATE(M674,""my"", ""en"")"),"1028")</f>
        <v>1028</v>
      </c>
      <c r="AF674" s="10" t="str">
        <f>IFERROR(__xludf.DUMMYFUNCTION("GOOGLETRANSLATE(N674,""my"", ""en"")"),"409")</f>
        <v>409</v>
      </c>
      <c r="AG674" s="10" t="str">
        <f>IFERROR(__xludf.DUMMYFUNCTION("GOOGLETRANSLATE(O674,""my"", ""en"")"),"1437")</f>
        <v>1437</v>
      </c>
      <c r="AH674" s="10" t="str">
        <f>IFERROR(__xludf.DUMMYFUNCTION("GOOGLETRANSLATE(P674,""my"", ""en"")"),"2.68%")</f>
        <v>2.68%</v>
      </c>
    </row>
    <row r="675" ht="24.0" customHeigh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3" t="s">
        <v>4921</v>
      </c>
      <c r="L675" s="23" t="s">
        <v>4922</v>
      </c>
      <c r="M675" s="24" t="s">
        <v>4923</v>
      </c>
      <c r="N675" s="24" t="s">
        <v>4924</v>
      </c>
      <c r="O675" s="24" t="s">
        <v>4925</v>
      </c>
      <c r="P675" s="25" t="s">
        <v>4926</v>
      </c>
      <c r="AC675" s="10" t="str">
        <f>IFERROR(__xludf.DUMMYFUNCTION("GOOGLETRANSLATE(K675,""my"", ""en"")"),"ေအာင်  treated Win")</f>
        <v>ေအာင်  treated Win</v>
      </c>
      <c r="AD675" s="10" t="str">
        <f>IFERROR(__xludf.DUMMYFUNCTION("GOOGLETRANSLATE(L675,""my"", ""en"")"),"Personal ")</f>
        <v>Personal </v>
      </c>
      <c r="AE675" s="10" t="str">
        <f>IFERROR(__xludf.DUMMYFUNCTION("GOOGLETRANSLATE(M675,""my"", ""en"")"),"863")</f>
        <v>863</v>
      </c>
      <c r="AF675" s="10" t="str">
        <f>IFERROR(__xludf.DUMMYFUNCTION("GOOGLETRANSLATE(N675,""my"", ""en"")"),"292")</f>
        <v>292</v>
      </c>
      <c r="AG675" s="10" t="str">
        <f>IFERROR(__xludf.DUMMYFUNCTION("GOOGLETRANSLATE(O675,""my"", ""en"")"),"1155")</f>
        <v>1155</v>
      </c>
      <c r="AH675" s="10" t="str">
        <f>IFERROR(__xludf.DUMMYFUNCTION("GOOGLETRANSLATE(P675,""my"", ""en"")"),"2.15%")</f>
        <v>2.15%</v>
      </c>
    </row>
    <row r="676" ht="24.0" customHeigh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3" t="s">
        <v>4927</v>
      </c>
      <c r="L676" s="23" t="s">
        <v>4928</v>
      </c>
      <c r="M676" s="24" t="s">
        <v>4929</v>
      </c>
      <c r="N676" s="24" t="s">
        <v>4930</v>
      </c>
      <c r="O676" s="24" t="s">
        <v>4931</v>
      </c>
      <c r="P676" s="25" t="s">
        <v>4932</v>
      </c>
      <c r="AC676" s="10" t="str">
        <f>IFERROR(__xludf.DUMMYFUNCTION("GOOGLETRANSLATE(K676,""my"", ""en"")"),"U Han Sein")</f>
        <v>U Han Sein</v>
      </c>
      <c r="AD676" s="10" t="str">
        <f>IFERROR(__xludf.DUMMYFUNCTION("GOOGLETRANSLATE(L676,""my"", ""en"")"),"Local ေထာင် စုေ white  Game ေဆာင် Party")</f>
        <v>Local ေထာင် စုေ white  Game ေဆာင် Party</v>
      </c>
      <c r="AE676" s="10" t="str">
        <f>IFERROR(__xludf.DUMMYFUNCTION("GOOGLETRANSLATE(M676,""my"", ""en"")"),"239")</f>
        <v>239</v>
      </c>
      <c r="AF676" s="10" t="str">
        <f>IFERROR(__xludf.DUMMYFUNCTION("GOOGLETRANSLATE(N676,""my"", ""en"")"),"112")</f>
        <v>112</v>
      </c>
      <c r="AG676" s="10" t="str">
        <f>IFERROR(__xludf.DUMMYFUNCTION("GOOGLETRANSLATE(O676,""my"", ""en"")"),"351")</f>
        <v>351</v>
      </c>
      <c r="AH676" s="10" t="str">
        <f>IFERROR(__xludf.DUMMYFUNCTION("GOOGLETRANSLATE(P676,""my"", ""en"")"),"0.65%")</f>
        <v>0.65%</v>
      </c>
    </row>
    <row r="677" ht="24.0" customHeight="1">
      <c r="A677" s="28" t="s">
        <v>4933</v>
      </c>
      <c r="B677" s="17" t="s">
        <v>4934</v>
      </c>
      <c r="C677" s="18" t="s">
        <v>4935</v>
      </c>
      <c r="D677" s="17" t="s">
        <v>4936</v>
      </c>
      <c r="E677" s="18" t="s">
        <v>4937</v>
      </c>
      <c r="F677" s="18" t="s">
        <v>4938</v>
      </c>
      <c r="G677" s="18" t="s">
        <v>4939</v>
      </c>
      <c r="H677" s="18" t="s">
        <v>4940</v>
      </c>
      <c r="I677" s="18" t="s">
        <v>4941</v>
      </c>
      <c r="J677" s="18" t="s">
        <v>4942</v>
      </c>
      <c r="K677" s="27"/>
      <c r="L677" s="27"/>
      <c r="M677" s="18" t="s">
        <v>4943</v>
      </c>
      <c r="N677" s="18" t="s">
        <v>4944</v>
      </c>
      <c r="O677" s="18" t="s">
        <v>4945</v>
      </c>
      <c r="P677" s="27"/>
      <c r="S677" s="10" t="str">
        <f>IFERROR(__xludf.DUMMYFUNCTION("GOOGLETRANSLATE(A677,""my"", ""en"")"),"115")</f>
        <v>115</v>
      </c>
      <c r="T677" s="10" t="str">
        <f>IFERROR(__xludf.DUMMYFUNCTION("GOOGLETRANSLATE(B677,""my"", ""en"")"),"မဲဆ  No. (7)")</f>
        <v>မဲဆ  No. (7)</v>
      </c>
      <c r="U677" s="10" t="str">
        <f>IFERROR(__xludf.DUMMYFUNCTION("GOOGLETRANSLATE(C677,""my"", ""en"")"),"118639")</f>
        <v>118639</v>
      </c>
      <c r="V677" s="10" t="str">
        <f>IFERROR(__xludf.DUMMYFUNCTION("GOOGLETRANSLATE(D677,""my"", ""en"")"),"53868")</f>
        <v>53868</v>
      </c>
      <c r="W677" s="10" t="str">
        <f>IFERROR(__xludf.DUMMYFUNCTION("GOOGLETRANSLATE(E677,""my"", ""en"")"),"16535")</f>
        <v>16535</v>
      </c>
      <c r="X677" s="10" t="str">
        <f>IFERROR(__xludf.DUMMYFUNCTION("GOOGLETRANSLATE(F677,""my"", ""en"")"),"70403")</f>
        <v>70403</v>
      </c>
      <c r="Y677" s="10" t="str">
        <f>IFERROR(__xludf.DUMMYFUNCTION("GOOGLETRANSLATE(G677,""my"", ""en"")"),"59.34")</f>
        <v>59.34</v>
      </c>
      <c r="Z677" s="10" t="str">
        <f>IFERROR(__xludf.DUMMYFUNCTION("GOOGLETRANSLATE(H677,""my"", ""en"")"),"1595")</f>
        <v>1595</v>
      </c>
      <c r="AA677" s="10" t="str">
        <f>IFERROR(__xludf.DUMMYFUNCTION("GOOGLETRANSLATE(I677,""my"", ""en"")"),"54")</f>
        <v>54</v>
      </c>
      <c r="AB677" s="10" t="str">
        <f>IFERROR(__xludf.DUMMYFUNCTION("GOOGLETRANSLATE(J677,""my"", ""en"")"),"1649")</f>
        <v>1649</v>
      </c>
      <c r="AE677" s="10" t="str">
        <f>IFERROR(__xludf.DUMMYFUNCTION("GOOGLETRANSLATE(M677,""my"", ""en"")"),"52494")</f>
        <v>52494</v>
      </c>
      <c r="AF677" s="10" t="str">
        <f>IFERROR(__xludf.DUMMYFUNCTION("GOOGLETRANSLATE(N677,""my"", ""en"")"),"16260")</f>
        <v>16260</v>
      </c>
      <c r="AG677" s="10" t="str">
        <f>IFERROR(__xludf.DUMMYFUNCTION("GOOGLETRANSLATE(O677,""my"", ""en"")"),"68754")</f>
        <v>68754</v>
      </c>
    </row>
    <row r="678" ht="21.75" customHeigh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3" t="s">
        <v>4946</v>
      </c>
      <c r="L678" s="23" t="s">
        <v>4947</v>
      </c>
      <c r="M678" s="24" t="s">
        <v>4948</v>
      </c>
      <c r="N678" s="24" t="s">
        <v>4949</v>
      </c>
      <c r="O678" s="24" t="s">
        <v>4950</v>
      </c>
      <c r="P678" s="25" t="s">
        <v>4951</v>
      </c>
      <c r="AC678" s="10" t="str">
        <f>IFERROR(__xludf.DUMMYFUNCTION("GOOGLETRANSLATE(K678,""my"", ""en"")"),"William Han")</f>
        <v>William Han</v>
      </c>
      <c r="AD678" s="10" t="str">
        <f>IFERROR(__xludf.DUMMYFUNCTION("GOOGLETRANSLATE(L678,""my"", ""en"")"),"Mon  working party ေရး")</f>
        <v>Mon  working party ေရး</v>
      </c>
      <c r="AE678" s="10" t="str">
        <f>IFERROR(__xludf.DUMMYFUNCTION("GOOGLETRANSLATE(M678,""my"", ""en"")"),"24621")</f>
        <v>24621</v>
      </c>
      <c r="AF678" s="10" t="str">
        <f>IFERROR(__xludf.DUMMYFUNCTION("GOOGLETRANSLATE(N678,""my"", ""en"")"),"7967")</f>
        <v>7967</v>
      </c>
      <c r="AG678" s="10" t="str">
        <f>IFERROR(__xludf.DUMMYFUNCTION("GOOGLETRANSLATE(O678,""my"", ""en"")"),"32588")</f>
        <v>32588</v>
      </c>
      <c r="AH678" s="10" t="str">
        <f>IFERROR(__xludf.DUMMYFUNCTION("GOOGLETRANSLATE(P678,""my"", ""en"")"),"47.40%")</f>
        <v>47.40%</v>
      </c>
    </row>
    <row r="679" ht="21.75" customHeigh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3" t="s">
        <v>4952</v>
      </c>
      <c r="L679" s="23" t="s">
        <v>4953</v>
      </c>
      <c r="M679" s="24" t="s">
        <v>4954</v>
      </c>
      <c r="N679" s="24" t="s">
        <v>4955</v>
      </c>
      <c r="O679" s="24" t="s">
        <v>4956</v>
      </c>
      <c r="P679" s="25" t="s">
        <v>4957</v>
      </c>
      <c r="AC679" s="10" t="str">
        <f>IFERROR(__xludf.DUMMYFUNCTION("GOOGLETRANSLATE(K679,""my"", ""en"")"),"Data  Ei Ei")</f>
        <v>Data  Ei Ei</v>
      </c>
      <c r="AD679" s="10" t="str">
        <f>IFERROR(__xludf.DUMMYFUNCTION("GOOGLETRANSLATE(L679,""my"", ""en"")")," Game Democracy group   Pop Party")</f>
        <v> Game Democracy group   Pop Party</v>
      </c>
      <c r="AE679" s="10" t="str">
        <f>IFERROR(__xludf.DUMMYFUNCTION("GOOGLETRANSLATE(M679,""my"", ""en"")"),"23571")</f>
        <v>23571</v>
      </c>
      <c r="AF679" s="10" t="str">
        <f>IFERROR(__xludf.DUMMYFUNCTION("GOOGLETRANSLATE(N679,""my"", ""en"")"),"6613")</f>
        <v>6613</v>
      </c>
      <c r="AG679" s="10" t="str">
        <f>IFERROR(__xludf.DUMMYFUNCTION("GOOGLETRANSLATE(O679,""my"", ""en"")"),"30184")</f>
        <v>30184</v>
      </c>
      <c r="AH679" s="10" t="str">
        <f>IFERROR(__xludf.DUMMYFUNCTION("GOOGLETRANSLATE(P679,""my"", ""en"")"),"43.90%")</f>
        <v>43.90%</v>
      </c>
    </row>
    <row r="680" ht="22.5" customHeigh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3" t="s">
        <v>4958</v>
      </c>
      <c r="L680" s="23" t="s">
        <v>4959</v>
      </c>
      <c r="M680" s="24" t="s">
        <v>4960</v>
      </c>
      <c r="N680" s="24" t="s">
        <v>4961</v>
      </c>
      <c r="O680" s="24" t="s">
        <v>4962</v>
      </c>
      <c r="P680" s="25" t="s">
        <v>4963</v>
      </c>
      <c r="AC680" s="10" t="str">
        <f>IFERROR(__xludf.DUMMYFUNCTION("GOOGLETRANSLATE(K680,""my"", ""en"")"),"ေအာင် Win")</f>
        <v>ေအာင် Win</v>
      </c>
      <c r="AD680" s="10" t="str">
        <f>IFERROR(__xludf.DUMMYFUNCTION("GOOGLETRANSLATE(L680,""my"", ""en"")"),"Local ေထာင် soap-stone strong ေရး  under development  Phil  ေရး Party")</f>
        <v>Local ေထာင် soap-stone strong ေရး  under development  Phil  ေရး Party</v>
      </c>
      <c r="AE680" s="10" t="str">
        <f>IFERROR(__xludf.DUMMYFUNCTION("GOOGLETRANSLATE(M680,""my"", ""en"")"),"3903")</f>
        <v>3903</v>
      </c>
      <c r="AF680" s="10" t="str">
        <f>IFERROR(__xludf.DUMMYFUNCTION("GOOGLETRANSLATE(N680,""my"", ""en"")"),"1468")</f>
        <v>1468</v>
      </c>
      <c r="AG680" s="10" t="str">
        <f>IFERROR(__xludf.DUMMYFUNCTION("GOOGLETRANSLATE(O680,""my"", ""en"")"),"5371")</f>
        <v>5371</v>
      </c>
      <c r="AH680" s="10" t="str">
        <f>IFERROR(__xludf.DUMMYFUNCTION("GOOGLETRANSLATE(P680,""my"", ""en"")"),"7.81%")</f>
        <v>7.81%</v>
      </c>
    </row>
    <row r="681" ht="21.75" customHeigh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3" t="s">
        <v>4964</v>
      </c>
      <c r="L681" s="23" t="s">
        <v>4965</v>
      </c>
      <c r="M681" s="24" t="s">
        <v>4966</v>
      </c>
      <c r="N681" s="24" t="s">
        <v>4967</v>
      </c>
      <c r="O681" s="24" t="s">
        <v>4968</v>
      </c>
      <c r="P681" s="25" t="s">
        <v>4969</v>
      </c>
      <c r="AC681" s="10" t="str">
        <f>IFERROR(__xludf.DUMMYFUNCTION("GOOGLETRANSLATE(K681,""my"", ""en"")"),"Worth over")</f>
        <v>Worth over</v>
      </c>
      <c r="AD681" s="10" t="str">
        <f>IFERROR(__xludf.DUMMYFUNCTION("GOOGLETRANSLATE(L681,""my"", ""en"")"),"Ethnic unity  working party ေရး")</f>
        <v>Ethnic unity  working party ေရး</v>
      </c>
      <c r="AE681" s="10" t="str">
        <f>IFERROR(__xludf.DUMMYFUNCTION("GOOGLETRANSLATE(M681,""my"", ""en"")"),"177")</f>
        <v>177</v>
      </c>
      <c r="AF681" s="10" t="str">
        <f>IFERROR(__xludf.DUMMYFUNCTION("GOOGLETRANSLATE(N681,""my"", ""en"")"),"91")</f>
        <v>91</v>
      </c>
      <c r="AG681" s="10" t="str">
        <f>IFERROR(__xludf.DUMMYFUNCTION("GOOGLETRANSLATE(O681,""my"", ""en"")"),"268")</f>
        <v>268</v>
      </c>
      <c r="AH681" s="10" t="str">
        <f>IFERROR(__xludf.DUMMYFUNCTION("GOOGLETRANSLATE(P681,""my"", ""en"")"),"0.39%")</f>
        <v>0.39%</v>
      </c>
    </row>
    <row r="682" ht="22.5" customHeigh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3" t="s">
        <v>4970</v>
      </c>
      <c r="L682" s="23" t="s">
        <v>4971</v>
      </c>
      <c r="M682" s="24" t="s">
        <v>4972</v>
      </c>
      <c r="N682" s="24" t="s">
        <v>4973</v>
      </c>
      <c r="O682" s="24" t="s">
        <v>4974</v>
      </c>
      <c r="P682" s="25" t="s">
        <v>4975</v>
      </c>
      <c r="AC682" s="10" t="str">
        <f>IFERROR(__xludf.DUMMYFUNCTION("GOOGLETRANSLATE(K682,""my"", ""en"")"),"Win ေမာင်")</f>
        <v>Win ေမာင်</v>
      </c>
      <c r="AD682" s="10" t="str">
        <f>IFERROR(__xludf.DUMMYFUNCTION("GOOGLETRANSLATE(L682,""my"", ""en"")"),"Local ေထာင် စုေ white  Game ေဆာင် Party")</f>
        <v>Local ေထာင် စုေ white  Game ေဆာင် Party</v>
      </c>
      <c r="AE682" s="10" t="str">
        <f>IFERROR(__xludf.DUMMYFUNCTION("GOOGLETRANSLATE(M682,""my"", ""en"")"),"144")</f>
        <v>144</v>
      </c>
      <c r="AF682" s="10" t="str">
        <f>IFERROR(__xludf.DUMMYFUNCTION("GOOGLETRANSLATE(N682,""my"", ""en"")"),"91")</f>
        <v>91</v>
      </c>
      <c r="AG682" s="10" t="str">
        <f>IFERROR(__xludf.DUMMYFUNCTION("GOOGLETRANSLATE(O682,""my"", ""en"")"),"235")</f>
        <v>235</v>
      </c>
      <c r="AH682" s="10" t="str">
        <f>IFERROR(__xludf.DUMMYFUNCTION("GOOGLETRANSLATE(P682,""my"", ""en"")"),"0.34%")</f>
        <v>0.34%</v>
      </c>
    </row>
    <row r="683" ht="22.5" customHeigh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3" t="s">
        <v>4976</v>
      </c>
      <c r="L683" s="23" t="s">
        <v>4977</v>
      </c>
      <c r="M683" s="24" t="s">
        <v>4978</v>
      </c>
      <c r="N683" s="24" t="s">
        <v>4979</v>
      </c>
      <c r="O683" s="24" t="s">
        <v>4980</v>
      </c>
      <c r="P683" s="25" t="s">
        <v>4981</v>
      </c>
      <c r="AC683" s="10" t="str">
        <f>IFERROR(__xludf.DUMMYFUNCTION("GOOGLETRANSLATE(K683,""my"", ""en"")"),"Early ေအာင်")</f>
        <v>Early ေအာင်</v>
      </c>
      <c r="AD683" s="10" t="str">
        <f>IFERROR(__xludf.DUMMYFUNCTION("GOOGLETRANSLATE(L683,""my"", ""en"")"),"Personal ")</f>
        <v>Personal </v>
      </c>
      <c r="AE683" s="10" t="str">
        <f>IFERROR(__xludf.DUMMYFUNCTION("GOOGLETRANSLATE(M683,""my"", ""en"")"),"78")</f>
        <v>78</v>
      </c>
      <c r="AF683" s="10" t="str">
        <f>IFERROR(__xludf.DUMMYFUNCTION("GOOGLETRANSLATE(N683,""my"", ""en"")"),"30")</f>
        <v>30</v>
      </c>
      <c r="AG683" s="10" t="str">
        <f>IFERROR(__xludf.DUMMYFUNCTION("GOOGLETRANSLATE(O683,""my"", ""en"")"),"108")</f>
        <v>108</v>
      </c>
      <c r="AH683" s="10" t="str">
        <f>IFERROR(__xludf.DUMMYFUNCTION("GOOGLETRANSLATE(P683,""my"", ""en"")"),"0.16%")</f>
        <v>0.16%</v>
      </c>
    </row>
    <row r="684" ht="21.75" customHeight="1">
      <c r="A684" s="28" t="s">
        <v>4982</v>
      </c>
      <c r="B684" s="17" t="s">
        <v>4983</v>
      </c>
      <c r="C684" s="18" t="s">
        <v>4984</v>
      </c>
      <c r="D684" s="17" t="s">
        <v>4985</v>
      </c>
      <c r="E684" s="18" t="s">
        <v>4986</v>
      </c>
      <c r="F684" s="18" t="s">
        <v>4987</v>
      </c>
      <c r="G684" s="18" t="s">
        <v>4988</v>
      </c>
      <c r="H684" s="18" t="s">
        <v>4989</v>
      </c>
      <c r="I684" s="18" t="s">
        <v>4990</v>
      </c>
      <c r="J684" s="18" t="s">
        <v>4991</v>
      </c>
      <c r="K684" s="27"/>
      <c r="L684" s="27"/>
      <c r="M684" s="18" t="s">
        <v>4992</v>
      </c>
      <c r="N684" s="18" t="s">
        <v>4993</v>
      </c>
      <c r="O684" s="18" t="s">
        <v>4994</v>
      </c>
      <c r="P684" s="27"/>
      <c r="S684" s="10" t="str">
        <f>IFERROR(__xludf.DUMMYFUNCTION("GOOGLETRANSLATE(A684,""my"", ""en"")"),"116")</f>
        <v>116</v>
      </c>
      <c r="T684" s="10" t="str">
        <f>IFERROR(__xludf.DUMMYFUNCTION("GOOGLETRANSLATE(B684,""my"", ""en"")"),"မဲဆ  No. (8)")</f>
        <v>မဲဆ  No. (8)</v>
      </c>
      <c r="U684" s="10" t="str">
        <f>IFERROR(__xludf.DUMMYFUNCTION("GOOGLETRANSLATE(C684,""my"", ""en"")"),"151381")</f>
        <v>151381</v>
      </c>
      <c r="V684" s="10" t="str">
        <f>IFERROR(__xludf.DUMMYFUNCTION("GOOGLETRANSLATE(D684,""my"", ""en"")"),"59236")</f>
        <v>59236</v>
      </c>
      <c r="W684" s="10" t="str">
        <f>IFERROR(__xludf.DUMMYFUNCTION("GOOGLETRANSLATE(E684,""my"", ""en"")"),"21762")</f>
        <v>21762</v>
      </c>
      <c r="X684" s="10" t="str">
        <f>IFERROR(__xludf.DUMMYFUNCTION("GOOGLETRANSLATE(F684,""my"", ""en"")"),"80998")</f>
        <v>80998</v>
      </c>
      <c r="Y684" s="10" t="str">
        <f>IFERROR(__xludf.DUMMYFUNCTION("GOOGLETRANSLATE(G684,""my"", ""en"")"),"53.51")</f>
        <v>53.51</v>
      </c>
      <c r="Z684" s="10" t="str">
        <f>IFERROR(__xludf.DUMMYFUNCTION("GOOGLETRANSLATE(H684,""my"", ""en"")"),"2653")</f>
        <v>2653</v>
      </c>
      <c r="AA684" s="10" t="str">
        <f>IFERROR(__xludf.DUMMYFUNCTION("GOOGLETRANSLATE(I684,""my"", ""en"")"),"21")</f>
        <v>21</v>
      </c>
      <c r="AB684" s="10" t="str">
        <f>IFERROR(__xludf.DUMMYFUNCTION("GOOGLETRANSLATE(J684,""my"", ""en"")"),"2674")</f>
        <v>2674</v>
      </c>
      <c r="AE684" s="10" t="str">
        <f>IFERROR(__xludf.DUMMYFUNCTION("GOOGLETRANSLATE(M684,""my"", ""en"")"),"56593")</f>
        <v>56593</v>
      </c>
      <c r="AF684" s="10" t="str">
        <f>IFERROR(__xludf.DUMMYFUNCTION("GOOGLETRANSLATE(N684,""my"", ""en"")"),"21731")</f>
        <v>21731</v>
      </c>
      <c r="AG684" s="10" t="str">
        <f>IFERROR(__xludf.DUMMYFUNCTION("GOOGLETRANSLATE(O684,""my"", ""en"")"),"78324")</f>
        <v>78324</v>
      </c>
    </row>
    <row r="685" ht="21.75" customHeigh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3" t="s">
        <v>4995</v>
      </c>
      <c r="L685" s="23" t="s">
        <v>4996</v>
      </c>
      <c r="M685" s="24" t="s">
        <v>4997</v>
      </c>
      <c r="N685" s="24" t="s">
        <v>4998</v>
      </c>
      <c r="O685" s="24" t="s">
        <v>4999</v>
      </c>
      <c r="P685" s="25" t="s">
        <v>5000</v>
      </c>
      <c r="AC685" s="10" t="str">
        <f>IFERROR(__xludf.DUMMYFUNCTION("GOOGLETRANSLATE(K685,""my"", ""en"")"),"ေဒ  March Thida Tun")</f>
        <v>ေဒ  March Thida Tun</v>
      </c>
      <c r="AD685" s="10" t="str">
        <f>IFERROR(__xludf.DUMMYFUNCTION("GOOGLETRANSLATE(L685,""my"", ""en"")")," Game Democracy group   Pop Party")</f>
        <v> Game Democracy group   Pop Party</v>
      </c>
      <c r="AE685" s="10" t="str">
        <f>IFERROR(__xludf.DUMMYFUNCTION("GOOGLETRANSLATE(M685,""my"", ""en"")"),"26475")</f>
        <v>26475</v>
      </c>
      <c r="AF685" s="10" t="str">
        <f>IFERROR(__xludf.DUMMYFUNCTION("GOOGLETRANSLATE(N685,""my"", ""en"")"),"8553")</f>
        <v>8553</v>
      </c>
      <c r="AG685" s="10" t="str">
        <f>IFERROR(__xludf.DUMMYFUNCTION("GOOGLETRANSLATE(O685,""my"", ""en"")"),"35028")</f>
        <v>35028</v>
      </c>
      <c r="AH685" s="10" t="str">
        <f>IFERROR(__xludf.DUMMYFUNCTION("GOOGLETRANSLATE(P685,""my"", ""en"")"),"44.72%")</f>
        <v>44.72%</v>
      </c>
    </row>
    <row r="686" ht="22.5" customHeigh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3" t="s">
        <v>5001</v>
      </c>
      <c r="L686" s="23" t="s">
        <v>5002</v>
      </c>
      <c r="M686" s="24" t="s">
        <v>5003</v>
      </c>
      <c r="N686" s="24" t="s">
        <v>5004</v>
      </c>
      <c r="O686" s="24" t="s">
        <v>5005</v>
      </c>
      <c r="P686" s="25" t="s">
        <v>5006</v>
      </c>
      <c r="AC686" s="10" t="str">
        <f>IFERROR(__xludf.DUMMYFUNCTION("GOOGLETRANSLATE(K686,""my"", ""en"")")," Cashier")</f>
        <v> Cashier</v>
      </c>
      <c r="AD686" s="10" t="str">
        <f>IFERROR(__xludf.DUMMYFUNCTION("GOOGLETRANSLATE(L686,""my"", ""en"")"),"Mon  working party ေရး")</f>
        <v>Mon  working party ေရး</v>
      </c>
      <c r="AE686" s="10" t="str">
        <f>IFERROR(__xludf.DUMMYFUNCTION("GOOGLETRANSLATE(M686,""my"", ""en"")"),"23114")</f>
        <v>23114</v>
      </c>
      <c r="AF686" s="10" t="str">
        <f>IFERROR(__xludf.DUMMYFUNCTION("GOOGLETRANSLATE(N686,""my"", ""en"")"),"9531")</f>
        <v>9531</v>
      </c>
      <c r="AG686" s="10" t="str">
        <f>IFERROR(__xludf.DUMMYFUNCTION("GOOGLETRANSLATE(O686,""my"", ""en"")"),"32645")</f>
        <v>32645</v>
      </c>
      <c r="AH686" s="10" t="str">
        <f>IFERROR(__xludf.DUMMYFUNCTION("GOOGLETRANSLATE(P686,""my"", ""en"")"),"41.69%")</f>
        <v>41.69%</v>
      </c>
    </row>
    <row r="687" ht="21.75" customHeigh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3" t="s">
        <v>5007</v>
      </c>
      <c r="L687" s="23" t="s">
        <v>5008</v>
      </c>
      <c r="M687" s="24" t="s">
        <v>5009</v>
      </c>
      <c r="N687" s="24" t="s">
        <v>5010</v>
      </c>
      <c r="O687" s="24" t="s">
        <v>5011</v>
      </c>
      <c r="P687" s="25" t="s">
        <v>5012</v>
      </c>
      <c r="AC687" s="10" t="str">
        <f>IFERROR(__xludf.DUMMYFUNCTION("GOOGLETRANSLATE(K687,""my"", ""en"")"),"Diamonds")</f>
        <v>Diamonds</v>
      </c>
      <c r="AD687" s="10" t="str">
        <f>IFERROR(__xludf.DUMMYFUNCTION("GOOGLETRANSLATE(L687,""my"", ""en"")"),"Local ေထာင် soap-stone strong ေရး  under development  Phil  ေရး Party")</f>
        <v>Local ေထာင် soap-stone strong ေရး  under development  Phil  ေရး Party</v>
      </c>
      <c r="AE687" s="10" t="str">
        <f>IFERROR(__xludf.DUMMYFUNCTION("GOOGLETRANSLATE(M687,""my"", ""en"")"),"6542")</f>
        <v>6542</v>
      </c>
      <c r="AF687" s="10" t="str">
        <f>IFERROR(__xludf.DUMMYFUNCTION("GOOGLETRANSLATE(N687,""my"", ""en"")"),"3377")</f>
        <v>3377</v>
      </c>
      <c r="AG687" s="10" t="str">
        <f>IFERROR(__xludf.DUMMYFUNCTION("GOOGLETRANSLATE(O687,""my"", ""en"")"),"9919")</f>
        <v>9919</v>
      </c>
      <c r="AH687" s="10" t="str">
        <f>IFERROR(__xludf.DUMMYFUNCTION("GOOGLETRANSLATE(P687,""my"", ""en"")"),"12.66%")</f>
        <v>12.66%</v>
      </c>
    </row>
    <row r="688" ht="22.5" customHeigh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3" t="s">
        <v>5013</v>
      </c>
      <c r="L688" s="23" t="s">
        <v>5014</v>
      </c>
      <c r="M688" s="24" t="s">
        <v>5015</v>
      </c>
      <c r="N688" s="24" t="s">
        <v>5016</v>
      </c>
      <c r="O688" s="24" t="s">
        <v>5017</v>
      </c>
      <c r="P688" s="25" t="s">
        <v>5018</v>
      </c>
      <c r="AC688" s="10" t="str">
        <f>IFERROR(__xludf.DUMMYFUNCTION("GOOGLETRANSLATE(K688,""my"", ""en"")"),"U Soe")</f>
        <v>U Soe</v>
      </c>
      <c r="AD688" s="10" t="str">
        <f>IFERROR(__xludf.DUMMYFUNCTION("GOOGLETRANSLATE(L688,""my"", ""en"")"),"Local ေထာင် စုေ white  Game ေဆာင် Party")</f>
        <v>Local ေထာင် စုေ white  Game ေဆာင် Party</v>
      </c>
      <c r="AE688" s="10" t="str">
        <f>IFERROR(__xludf.DUMMYFUNCTION("GOOGLETRANSLATE(M688,""my"", ""en"")"),"462")</f>
        <v>462</v>
      </c>
      <c r="AF688" s="10" t="str">
        <f>IFERROR(__xludf.DUMMYFUNCTION("GOOGLETRANSLATE(N688,""my"", ""en"")"),"270")</f>
        <v>270</v>
      </c>
      <c r="AG688" s="10" t="str">
        <f>IFERROR(__xludf.DUMMYFUNCTION("GOOGLETRANSLATE(O688,""my"", ""en"")"),"732")</f>
        <v>732</v>
      </c>
      <c r="AH688" s="10" t="str">
        <f>IFERROR(__xludf.DUMMYFUNCTION("GOOGLETRANSLATE(P688,""my"", ""en"")"),"0.93%")</f>
        <v>0.93%</v>
      </c>
    </row>
    <row r="689" ht="22.5" customHeight="1">
      <c r="A689" s="28" t="s">
        <v>5019</v>
      </c>
      <c r="B689" s="17" t="s">
        <v>5020</v>
      </c>
      <c r="C689" s="18" t="s">
        <v>5021</v>
      </c>
      <c r="D689" s="17" t="s">
        <v>5022</v>
      </c>
      <c r="E689" s="18" t="s">
        <v>5023</v>
      </c>
      <c r="F689" s="18" t="s">
        <v>5024</v>
      </c>
      <c r="G689" s="18" t="s">
        <v>5025</v>
      </c>
      <c r="H689" s="18" t="s">
        <v>5026</v>
      </c>
      <c r="I689" s="18" t="s">
        <v>5027</v>
      </c>
      <c r="J689" s="18" t="s">
        <v>5028</v>
      </c>
      <c r="K689" s="27"/>
      <c r="L689" s="27"/>
      <c r="M689" s="18" t="s">
        <v>5029</v>
      </c>
      <c r="N689" s="18" t="s">
        <v>5030</v>
      </c>
      <c r="O689" s="18" t="s">
        <v>5031</v>
      </c>
      <c r="P689" s="27"/>
      <c r="S689" s="10" t="str">
        <f>IFERROR(__xludf.DUMMYFUNCTION("GOOGLETRANSLATE(A689,""my"", ""en"")"),"117")</f>
        <v>117</v>
      </c>
      <c r="T689" s="10" t="str">
        <f>IFERROR(__xludf.DUMMYFUNCTION("GOOGLETRANSLATE(B689,""my"", ""en"")"),"မဲဆ  No. (9)")</f>
        <v>မဲဆ  No. (9)</v>
      </c>
      <c r="U689" s="10" t="str">
        <f>IFERROR(__xludf.DUMMYFUNCTION("GOOGLETRANSLATE(C689,""my"", ""en"")"),"138366")</f>
        <v>138366</v>
      </c>
      <c r="V689" s="10" t="str">
        <f>IFERROR(__xludf.DUMMYFUNCTION("GOOGLETRANSLATE(D689,""my"", ""en"")"),"68828")</f>
        <v>68828</v>
      </c>
      <c r="W689" s="10" t="str">
        <f>IFERROR(__xludf.DUMMYFUNCTION("GOOGLETRANSLATE(E689,""my"", ""en"")"),"21122")</f>
        <v>21122</v>
      </c>
      <c r="X689" s="10" t="str">
        <f>IFERROR(__xludf.DUMMYFUNCTION("GOOGLETRANSLATE(F689,""my"", ""en"")"),"89950")</f>
        <v>89950</v>
      </c>
      <c r="Y689" s="10" t="str">
        <f>IFERROR(__xludf.DUMMYFUNCTION("GOOGLETRANSLATE(G689,""my"", ""en"")"),"65.01")</f>
        <v>65.01</v>
      </c>
      <c r="Z689" s="10" t="str">
        <f>IFERROR(__xludf.DUMMYFUNCTION("GOOGLETRANSLATE(H689,""my"", ""en"")"),"3792")</f>
        <v>3792</v>
      </c>
      <c r="AA689" s="10" t="str">
        <f>IFERROR(__xludf.DUMMYFUNCTION("GOOGLETRANSLATE(I689,""my"", ""en"")"),"30")</f>
        <v>30</v>
      </c>
      <c r="AB689" s="10" t="str">
        <f>IFERROR(__xludf.DUMMYFUNCTION("GOOGLETRANSLATE(J689,""my"", ""en"")"),"3822")</f>
        <v>3822</v>
      </c>
      <c r="AE689" s="10" t="str">
        <f>IFERROR(__xludf.DUMMYFUNCTION("GOOGLETRANSLATE(M689,""my"", ""en"")"),"65932")</f>
        <v>65932</v>
      </c>
      <c r="AF689" s="10" t="str">
        <f>IFERROR(__xludf.DUMMYFUNCTION("GOOGLETRANSLATE(N689,""my"", ""en"")"),"20196")</f>
        <v>20196</v>
      </c>
      <c r="AG689" s="10" t="str">
        <f>IFERROR(__xludf.DUMMYFUNCTION("GOOGLETRANSLATE(O689,""my"", ""en"")"),"86128")</f>
        <v>86128</v>
      </c>
    </row>
    <row r="690" ht="37.5" customHeigh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3" t="s">
        <v>5032</v>
      </c>
      <c r="L690" s="32" t="s">
        <v>5033</v>
      </c>
      <c r="M690" s="33" t="s">
        <v>5034</v>
      </c>
      <c r="N690" s="33" t="s">
        <v>5035</v>
      </c>
      <c r="O690" s="33" t="s">
        <v>5036</v>
      </c>
      <c r="P690" s="31" t="s">
        <v>5037</v>
      </c>
      <c r="AC690" s="10" t="str">
        <f>IFERROR(__xludf.DUMMYFUNCTION("GOOGLETRANSLATE(K690,""my"", ""en"")"),"လှြ million, (b) လှြ")</f>
        <v>လှြ million, (b) လှြ</v>
      </c>
      <c r="AD690" s="10" t="str">
        <f>IFERROR(__xludf.DUMMYFUNCTION("GOOGLETRANSLATE(L690,""my"", ""en"")")," Game Democracy group   Pop Party")</f>
        <v> Game Democracy group   Pop Party</v>
      </c>
      <c r="AE690" s="10" t="str">
        <f>IFERROR(__xludf.DUMMYFUNCTION("GOOGLETRANSLATE(M690,""my"", ""en"")"),"44067")</f>
        <v>44067</v>
      </c>
      <c r="AF690" s="10" t="str">
        <f>IFERROR(__xludf.DUMMYFUNCTION("GOOGLETRANSLATE(N690,""my"", ""en"")"),"10782")</f>
        <v>10782</v>
      </c>
      <c r="AG690" s="10" t="str">
        <f>IFERROR(__xludf.DUMMYFUNCTION("GOOGLETRANSLATE(O690,""my"", ""en"")"),"54849")</f>
        <v>54849</v>
      </c>
      <c r="AH690" s="10" t="str">
        <f>IFERROR(__xludf.DUMMYFUNCTION("GOOGLETRANSLATE(P690,""my"", ""en"")"),"63.68%")</f>
        <v>63.68%</v>
      </c>
    </row>
    <row r="691" ht="24.0" customHeigh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3" t="s">
        <v>5038</v>
      </c>
      <c r="L691" s="23" t="s">
        <v>5039</v>
      </c>
      <c r="M691" s="24" t="s">
        <v>5040</v>
      </c>
      <c r="N691" s="24" t="s">
        <v>5041</v>
      </c>
      <c r="O691" s="24" t="s">
        <v>5042</v>
      </c>
      <c r="P691" s="25" t="s">
        <v>5043</v>
      </c>
      <c r="AC691" s="10" t="str">
        <f>IFERROR(__xludf.DUMMYFUNCTION("GOOGLETRANSLATE(K691,""my"", ""en"")"),"Soe Win")</f>
        <v>Soe Win</v>
      </c>
      <c r="AD691" s="10" t="str">
        <f>IFERROR(__xludf.DUMMYFUNCTION("GOOGLETRANSLATE(L691,""my"", ""en"")"),"Local ေထာင် soap-stone strong ေရး  under development  Phil  ေရး Party")</f>
        <v>Local ေထာင် soap-stone strong ေရး  under development  Phil  ေရး Party</v>
      </c>
      <c r="AE691" s="10" t="str">
        <f>IFERROR(__xludf.DUMMYFUNCTION("GOOGLETRANSLATE(M691,""my"", ""en"")"),"14876")</f>
        <v>14876</v>
      </c>
      <c r="AF691" s="10" t="str">
        <f>IFERROR(__xludf.DUMMYFUNCTION("GOOGLETRANSLATE(N691,""my"", ""en"")"),"6674")</f>
        <v>6674</v>
      </c>
      <c r="AG691" s="10" t="str">
        <f>IFERROR(__xludf.DUMMYFUNCTION("GOOGLETRANSLATE(O691,""my"", ""en"")"),"21550")</f>
        <v>21550</v>
      </c>
      <c r="AH691" s="10" t="str">
        <f>IFERROR(__xludf.DUMMYFUNCTION("GOOGLETRANSLATE(P691,""my"", ""en"")"),"25.02%")</f>
        <v>25.02%</v>
      </c>
    </row>
    <row r="692" ht="24.0" customHeigh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3" t="s">
        <v>5044</v>
      </c>
      <c r="L692" s="23" t="s">
        <v>5045</v>
      </c>
      <c r="M692" s="24" t="s">
        <v>5046</v>
      </c>
      <c r="N692" s="24" t="s">
        <v>5047</v>
      </c>
      <c r="O692" s="24" t="s">
        <v>5048</v>
      </c>
      <c r="P692" s="25" t="s">
        <v>5049</v>
      </c>
      <c r="AC692" s="10" t="str">
        <f>IFERROR(__xludf.DUMMYFUNCTION("GOOGLETRANSLATE(K692,""my"", ""en"")")," to be treated, (b)")</f>
        <v> to be treated, (b)</v>
      </c>
      <c r="AD692" s="10" t="str">
        <f>IFERROR(__xludf.DUMMYFUNCTION("GOOGLETRANSLATE(L692,""my"", ""en"")"),"ပည်သူ  Game  ေကျာင်း Party")</f>
        <v>ပည်သူ  Game  ေကျာင်း Party</v>
      </c>
      <c r="AE692" s="10" t="str">
        <f>IFERROR(__xludf.DUMMYFUNCTION("GOOGLETRANSLATE(M692,""my"", ""en"")"),"3168")</f>
        <v>3168</v>
      </c>
      <c r="AF692" s="10" t="str">
        <f>IFERROR(__xludf.DUMMYFUNCTION("GOOGLETRANSLATE(N692,""my"", ""en"")"),"1034")</f>
        <v>1034</v>
      </c>
      <c r="AG692" s="10" t="str">
        <f>IFERROR(__xludf.DUMMYFUNCTION("GOOGLETRANSLATE(O692,""my"", ""en"")"),"4202")</f>
        <v>4202</v>
      </c>
      <c r="AH692" s="10" t="str">
        <f>IFERROR(__xludf.DUMMYFUNCTION("GOOGLETRANSLATE(P692,""my"", ""en"")"),"4.88%")</f>
        <v>4.88%</v>
      </c>
    </row>
    <row r="693" ht="24.0" customHeigh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3" t="s">
        <v>5050</v>
      </c>
      <c r="L693" s="23" t="s">
        <v>5051</v>
      </c>
      <c r="M693" s="24" t="s">
        <v>5052</v>
      </c>
      <c r="N693" s="24" t="s">
        <v>5053</v>
      </c>
      <c r="O693" s="24" t="s">
        <v>5054</v>
      </c>
      <c r="P693" s="25" t="s">
        <v>5055</v>
      </c>
      <c r="AC693" s="10" t="str">
        <f>IFERROR(__xludf.DUMMYFUNCTION("GOOGLETRANSLATE(K693,""my"", ""en"")"),"ေဒ  Total  ကည်")</f>
        <v>ေဒ  Total  ကည်</v>
      </c>
      <c r="AD693" s="10" t="str">
        <f>IFERROR(__xludf.DUMMYFUNCTION("GOOGLETRANSLATE(L693,""my"", ""en"")"),"Mon  working party ေရး")</f>
        <v>Mon  working party ေရး</v>
      </c>
      <c r="AE693" s="10" t="str">
        <f>IFERROR(__xludf.DUMMYFUNCTION("GOOGLETRANSLATE(M693,""my"", ""en"")"),"1972")</f>
        <v>1972</v>
      </c>
      <c r="AF693" s="10" t="str">
        <f>IFERROR(__xludf.DUMMYFUNCTION("GOOGLETRANSLATE(N693,""my"", ""en"")"),"706")</f>
        <v>706</v>
      </c>
      <c r="AG693" s="10" t="str">
        <f>IFERROR(__xludf.DUMMYFUNCTION("GOOGLETRANSLATE(O693,""my"", ""en"")"),"2678")</f>
        <v>2678</v>
      </c>
      <c r="AH693" s="10" t="str">
        <f>IFERROR(__xludf.DUMMYFUNCTION("GOOGLETRANSLATE(P693,""my"", ""en"")"),"3.11%")</f>
        <v>3.11%</v>
      </c>
    </row>
    <row r="694" ht="24.0" customHeigh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3" t="s">
        <v>5056</v>
      </c>
      <c r="L694" s="23" t="s">
        <v>5057</v>
      </c>
      <c r="M694" s="24" t="s">
        <v>5058</v>
      </c>
      <c r="N694" s="24" t="s">
        <v>5059</v>
      </c>
      <c r="O694" s="24" t="s">
        <v>5060</v>
      </c>
      <c r="P694" s="25" t="s">
        <v>5061</v>
      </c>
      <c r="AC694" s="10" t="str">
        <f>IFERROR(__xludf.DUMMYFUNCTION("GOOGLETRANSLATE(K694,""my"", ""en"")"),"Data   Key")</f>
        <v>Data   Key</v>
      </c>
      <c r="AD694" s="10" t="str">
        <f>IFERROR(__xludf.DUMMYFUNCTION("GOOGLETRANSLATE(L694,""my"", ""en"")"),"Ethnic unity  working party ေရး")</f>
        <v>Ethnic unity  working party ေရး</v>
      </c>
      <c r="AE694" s="10" t="str">
        <f>IFERROR(__xludf.DUMMYFUNCTION("GOOGLETRANSLATE(M694,""my"", ""en"")"),"1092")</f>
        <v>1092</v>
      </c>
      <c r="AF694" s="10" t="str">
        <f>IFERROR(__xludf.DUMMYFUNCTION("GOOGLETRANSLATE(N694,""my"", ""en"")"),"621")</f>
        <v>621</v>
      </c>
      <c r="AG694" s="10" t="str">
        <f>IFERROR(__xludf.DUMMYFUNCTION("GOOGLETRANSLATE(O694,""my"", ""en"")"),"1713")</f>
        <v>1713</v>
      </c>
      <c r="AH694" s="10" t="str">
        <f>IFERROR(__xludf.DUMMYFUNCTION("GOOGLETRANSLATE(P694,""my"", ""en"")"),"1.99%")</f>
        <v>1.99%</v>
      </c>
    </row>
    <row r="695" ht="24.0" customHeigh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3" t="s">
        <v>5062</v>
      </c>
      <c r="L695" s="23" t="s">
        <v>5063</v>
      </c>
      <c r="M695" s="24" t="s">
        <v>5064</v>
      </c>
      <c r="N695" s="24" t="s">
        <v>5065</v>
      </c>
      <c r="O695" s="24" t="s">
        <v>5066</v>
      </c>
      <c r="P695" s="25" t="s">
        <v>5067</v>
      </c>
      <c r="AC695" s="10" t="str">
        <f>IFERROR(__xludf.DUMMYFUNCTION("GOOGLETRANSLATE(K695,""my"", ""en"")"),"San")</f>
        <v>San</v>
      </c>
      <c r="AD695" s="10" t="str">
        <f>IFERROR(__xludf.DUMMYFUNCTION("GOOGLETRANSLATE(L695,""my"", ""en"")"),"Local ေထာင် စုေ white  Game ေဆာင် Party")</f>
        <v>Local ေထာင် စုေ white  Game ေဆာင် Party</v>
      </c>
      <c r="AE695" s="10" t="str">
        <f>IFERROR(__xludf.DUMMYFUNCTION("GOOGLETRANSLATE(M695,""my"", ""en"")"),"757")</f>
        <v>757</v>
      </c>
      <c r="AF695" s="10" t="str">
        <f>IFERROR(__xludf.DUMMYFUNCTION("GOOGLETRANSLATE(N695,""my"", ""en"")"),"379")</f>
        <v>379</v>
      </c>
      <c r="AG695" s="10" t="str">
        <f>IFERROR(__xludf.DUMMYFUNCTION("GOOGLETRANSLATE(O695,""my"", ""en"")"),"1136")</f>
        <v>1136</v>
      </c>
      <c r="AH695" s="10" t="str">
        <f>IFERROR(__xludf.DUMMYFUNCTION("GOOGLETRANSLATE(P695,""my"", ""en"")"),"1.32%")</f>
        <v>1.32%</v>
      </c>
    </row>
    <row r="696" ht="22.5" customHeight="1">
      <c r="A696" s="28" t="s">
        <v>5068</v>
      </c>
      <c r="B696" s="17" t="s">
        <v>5069</v>
      </c>
      <c r="C696" s="18" t="s">
        <v>5070</v>
      </c>
      <c r="D696" s="17" t="s">
        <v>5071</v>
      </c>
      <c r="E696" s="18" t="s">
        <v>5072</v>
      </c>
      <c r="F696" s="18" t="s">
        <v>5073</v>
      </c>
      <c r="G696" s="18" t="s">
        <v>5074</v>
      </c>
      <c r="H696" s="18" t="s">
        <v>5075</v>
      </c>
      <c r="I696" s="18" t="s">
        <v>5076</v>
      </c>
      <c r="J696" s="18" t="s">
        <v>5077</v>
      </c>
      <c r="K696" s="27"/>
      <c r="L696" s="27"/>
      <c r="M696" s="18" t="s">
        <v>5078</v>
      </c>
      <c r="N696" s="18" t="s">
        <v>5079</v>
      </c>
      <c r="O696" s="18" t="s">
        <v>5080</v>
      </c>
      <c r="P696" s="27"/>
      <c r="S696" s="10" t="str">
        <f>IFERROR(__xludf.DUMMYFUNCTION("GOOGLETRANSLATE(A696,""my"", ""en"")"),"118")</f>
        <v>118</v>
      </c>
      <c r="T696" s="10" t="str">
        <f>IFERROR(__xludf.DUMMYFUNCTION("GOOGLETRANSLATE(B696,""my"", ""en"")"),"မဲဆ  No. (10)")</f>
        <v>မဲဆ  No. (10)</v>
      </c>
      <c r="U696" s="10" t="str">
        <f>IFERROR(__xludf.DUMMYFUNCTION("GOOGLETRANSLATE(C696,""my"", ""en"")"),"213888")</f>
        <v>213888</v>
      </c>
      <c r="V696" s="10" t="str">
        <f>IFERROR(__xludf.DUMMYFUNCTION("GOOGLETRANSLATE(D696,""my"", ""en"")"),"91857")</f>
        <v>91857</v>
      </c>
      <c r="W696" s="10" t="str">
        <f>IFERROR(__xludf.DUMMYFUNCTION("GOOGLETRANSLATE(E696,""my"", ""en"")"),"30760")</f>
        <v>30760</v>
      </c>
      <c r="X696" s="10" t="str">
        <f>IFERROR(__xludf.DUMMYFUNCTION("GOOGLETRANSLATE(F696,""my"", ""en"")"),"122617")</f>
        <v>122617</v>
      </c>
      <c r="Y696" s="10" t="str">
        <f>IFERROR(__xludf.DUMMYFUNCTION("GOOGLETRANSLATE(G696,""my"", ""en"")"),"57.33")</f>
        <v>57.33</v>
      </c>
      <c r="Z696" s="10" t="str">
        <f>IFERROR(__xludf.DUMMYFUNCTION("GOOGLETRANSLATE(H696,""my"", ""en"")"),"3014")</f>
        <v>3014</v>
      </c>
      <c r="AA696" s="10" t="str">
        <f>IFERROR(__xludf.DUMMYFUNCTION("GOOGLETRANSLATE(I696,""my"", ""en"")"),"1132")</f>
        <v>1132</v>
      </c>
      <c r="AB696" s="10" t="str">
        <f>IFERROR(__xludf.DUMMYFUNCTION("GOOGLETRANSLATE(J696,""my"", ""en"")"),"4146")</f>
        <v>4146</v>
      </c>
      <c r="AE696" s="10" t="str">
        <f>IFERROR(__xludf.DUMMYFUNCTION("GOOGLETRANSLATE(M696,""my"", ""en"")"),"87730")</f>
        <v>87730</v>
      </c>
      <c r="AF696" s="10" t="str">
        <f>IFERROR(__xludf.DUMMYFUNCTION("GOOGLETRANSLATE(N696,""my"", ""en"")"),"30741")</f>
        <v>30741</v>
      </c>
      <c r="AG696" s="10" t="str">
        <f>IFERROR(__xludf.DUMMYFUNCTION("GOOGLETRANSLATE(O696,""my"", ""en"")"),"118471")</f>
        <v>118471</v>
      </c>
    </row>
    <row r="697" ht="21.0" customHeigh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3" t="s">
        <v>5081</v>
      </c>
      <c r="L697" s="23" t="s">
        <v>5082</v>
      </c>
      <c r="M697" s="24" t="s">
        <v>5083</v>
      </c>
      <c r="N697" s="24" t="s">
        <v>5084</v>
      </c>
      <c r="O697" s="24" t="s">
        <v>5085</v>
      </c>
      <c r="P697" s="25" t="s">
        <v>5086</v>
      </c>
      <c r="AC697" s="10" t="str">
        <f>IFERROR(__xludf.DUMMYFUNCTION("GOOGLETRANSLATE(K697,""my"", ""en"")"),"Soe Thiha (a) digging ေမာင်")</f>
        <v>Soe Thiha (a) digging ေမာင်</v>
      </c>
      <c r="AD697" s="10" t="str">
        <f>IFERROR(__xludf.DUMMYFUNCTION("GOOGLETRANSLATE(L697,""my"", ""en"")")," Game Democracy group   Pop Party")</f>
        <v> Game Democracy group   Pop Party</v>
      </c>
      <c r="AE697" s="10" t="str">
        <f>IFERROR(__xludf.DUMMYFUNCTION("GOOGLETRANSLATE(M697,""my"", ""en"")"),"51076")</f>
        <v>51076</v>
      </c>
      <c r="AF697" s="10" t="str">
        <f>IFERROR(__xludf.DUMMYFUNCTION("GOOGLETRANSLATE(N697,""my"", ""en"")"),"14786")</f>
        <v>14786</v>
      </c>
      <c r="AG697" s="10" t="str">
        <f>IFERROR(__xludf.DUMMYFUNCTION("GOOGLETRANSLATE(O697,""my"", ""en"")"),"65862")</f>
        <v>65862</v>
      </c>
      <c r="AH697" s="10" t="str">
        <f>IFERROR(__xludf.DUMMYFUNCTION("GOOGLETRANSLATE(P697,""my"", ""en"")"),"55.59%")</f>
        <v>55.59%</v>
      </c>
    </row>
    <row r="698" ht="21.0" customHeigh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3" t="s">
        <v>5087</v>
      </c>
      <c r="L698" s="23" t="s">
        <v>5088</v>
      </c>
      <c r="M698" s="24" t="s">
        <v>5089</v>
      </c>
      <c r="N698" s="24" t="s">
        <v>5090</v>
      </c>
      <c r="O698" s="24" t="s">
        <v>5091</v>
      </c>
      <c r="P698" s="25" t="s">
        <v>5092</v>
      </c>
      <c r="AC698" s="10" t="str">
        <f>IFERROR(__xludf.DUMMYFUNCTION("GOOGLETRANSLATE(K698,""my"", ""en"")"),"(B)  Wi-link link")</f>
        <v>(B)  Wi-link link</v>
      </c>
      <c r="AD698" s="10" t="str">
        <f>IFERROR(__xludf.DUMMYFUNCTION("GOOGLETRANSLATE(L698,""my"", ""en"")"),"Mon  working party ေရး")</f>
        <v>Mon  working party ေရး</v>
      </c>
      <c r="AE698" s="10" t="str">
        <f>IFERROR(__xludf.DUMMYFUNCTION("GOOGLETRANSLATE(M698,""my"", ""en"")"),"19461")</f>
        <v>19461</v>
      </c>
      <c r="AF698" s="10" t="str">
        <f>IFERROR(__xludf.DUMMYFUNCTION("GOOGLETRANSLATE(N698,""my"", ""en"")"),"8227")</f>
        <v>8227</v>
      </c>
      <c r="AG698" s="10" t="str">
        <f>IFERROR(__xludf.DUMMYFUNCTION("GOOGLETRANSLATE(O698,""my"", ""en"")"),"27688")</f>
        <v>27688</v>
      </c>
      <c r="AH698" s="10" t="str">
        <f>IFERROR(__xludf.DUMMYFUNCTION("GOOGLETRANSLATE(P698,""my"", ""en"")"),"23.37%")</f>
        <v>23.37%</v>
      </c>
    </row>
    <row r="699" ht="21.0" customHeigh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3" t="s">
        <v>5093</v>
      </c>
      <c r="L699" s="23" t="s">
        <v>5094</v>
      </c>
      <c r="M699" s="24" t="s">
        <v>5095</v>
      </c>
      <c r="N699" s="24" t="s">
        <v>5096</v>
      </c>
      <c r="O699" s="24" t="s">
        <v>5097</v>
      </c>
      <c r="P699" s="25" t="s">
        <v>5098</v>
      </c>
      <c r="AC699" s="10" t="str">
        <f>IFERROR(__xludf.DUMMYFUNCTION("GOOGLETRANSLATE(K699,""my"", ""en"")"),"Early ေအာင်")</f>
        <v>Early ေအာင်</v>
      </c>
      <c r="AD699" s="10" t="str">
        <f>IFERROR(__xludf.DUMMYFUNCTION("GOOGLETRANSLATE(L699,""my"", ""en"")"),"Local ေထာင် soap-stone strong ေရး  under development  Phil  ေရး Party")</f>
        <v>Local ေထာင် soap-stone strong ေရး  under development  Phil  ေရး Party</v>
      </c>
      <c r="AE699" s="10" t="str">
        <f>IFERROR(__xludf.DUMMYFUNCTION("GOOGLETRANSLATE(M699,""my"", ""en"")"),"14572")</f>
        <v>14572</v>
      </c>
      <c r="AF699" s="10" t="str">
        <f>IFERROR(__xludf.DUMMYFUNCTION("GOOGLETRANSLATE(N699,""my"", ""en"")"),"6357")</f>
        <v>6357</v>
      </c>
      <c r="AG699" s="10" t="str">
        <f>IFERROR(__xludf.DUMMYFUNCTION("GOOGLETRANSLATE(O699,""my"", ""en"")"),"20929")</f>
        <v>20929</v>
      </c>
      <c r="AH699" s="10" t="str">
        <f>IFERROR(__xludf.DUMMYFUNCTION("GOOGLETRANSLATE(P699,""my"", ""en"")"),"17.67%")</f>
        <v>17.67%</v>
      </c>
    </row>
    <row r="700" ht="21.0" customHeigh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3" t="s">
        <v>5099</v>
      </c>
      <c r="L700" s="23" t="s">
        <v>5100</v>
      </c>
      <c r="M700" s="24" t="s">
        <v>5101</v>
      </c>
      <c r="N700" s="24" t="s">
        <v>5102</v>
      </c>
      <c r="O700" s="24" t="s">
        <v>5103</v>
      </c>
      <c r="P700" s="25" t="s">
        <v>5104</v>
      </c>
      <c r="AC700" s="10" t="str">
        <f>IFERROR(__xludf.DUMMYFUNCTION("GOOGLETRANSLATE(K700,""my"", ""en"")"),"U Hla Tun")</f>
        <v>U Hla Tun</v>
      </c>
      <c r="AD700" s="10" t="str">
        <f>IFERROR(__xludf.DUMMYFUNCTION("GOOGLETRANSLATE(L700,""my"", ""en"")"),"Ethnic unity  working party ေရး")</f>
        <v>Ethnic unity  working party ေရး</v>
      </c>
      <c r="AE700" s="10" t="str">
        <f>IFERROR(__xludf.DUMMYFUNCTION("GOOGLETRANSLATE(M700,""my"", ""en"")"),"1265")</f>
        <v>1265</v>
      </c>
      <c r="AF700" s="10" t="str">
        <f>IFERROR(__xludf.DUMMYFUNCTION("GOOGLETRANSLATE(N700,""my"", ""en"")"),"653")</f>
        <v>653</v>
      </c>
      <c r="AG700" s="10" t="str">
        <f>IFERROR(__xludf.DUMMYFUNCTION("GOOGLETRANSLATE(O700,""my"", ""en"")"),"1918")</f>
        <v>1918</v>
      </c>
      <c r="AH700" s="10" t="str">
        <f>IFERROR(__xludf.DUMMYFUNCTION("GOOGLETRANSLATE(P700,""my"", ""en"")"),"1.62%")</f>
        <v>1.62%</v>
      </c>
    </row>
    <row r="701" ht="21.0" customHeigh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3" t="s">
        <v>5105</v>
      </c>
      <c r="L701" s="23" t="s">
        <v>5106</v>
      </c>
      <c r="M701" s="24" t="s">
        <v>5107</v>
      </c>
      <c r="N701" s="24" t="s">
        <v>5108</v>
      </c>
      <c r="O701" s="24" t="s">
        <v>5109</v>
      </c>
      <c r="P701" s="25" t="s">
        <v>5110</v>
      </c>
      <c r="AC701" s="10" t="str">
        <f>IFERROR(__xludf.DUMMYFUNCTION("GOOGLETRANSLATE(K701,""my"", ""en"")")," Game Lwin")</f>
        <v> Game Lwin</v>
      </c>
      <c r="AD701" s="10" t="str">
        <f>IFERROR(__xludf.DUMMYFUNCTION("GOOGLETRANSLATE(L701,""my"", ""en"")"),"Local ေထာင် စုေ white  Game ေဆာင် Party")</f>
        <v>Local ေထာင် စုေ white  Game ေဆာင် Party</v>
      </c>
      <c r="AE701" s="10" t="str">
        <f>IFERROR(__xludf.DUMMYFUNCTION("GOOGLETRANSLATE(M701,""my"", ""en"")"),"869")</f>
        <v>869</v>
      </c>
      <c r="AF701" s="10" t="str">
        <f>IFERROR(__xludf.DUMMYFUNCTION("GOOGLETRANSLATE(N701,""my"", ""en"")"),"441")</f>
        <v>441</v>
      </c>
      <c r="AG701" s="10" t="str">
        <f>IFERROR(__xludf.DUMMYFUNCTION("GOOGLETRANSLATE(O701,""my"", ""en"")"),"1310")</f>
        <v>1310</v>
      </c>
      <c r="AH701" s="10" t="str">
        <f>IFERROR(__xludf.DUMMYFUNCTION("GOOGLETRANSLATE(P701,""my"", ""en"")"),"1.11%")</f>
        <v>1.11%</v>
      </c>
    </row>
    <row r="702" ht="20.25" customHeigh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3" t="s">
        <v>5111</v>
      </c>
      <c r="L702" s="23" t="s">
        <v>5112</v>
      </c>
      <c r="M702" s="24" t="s">
        <v>5113</v>
      </c>
      <c r="N702" s="24" t="s">
        <v>5114</v>
      </c>
      <c r="O702" s="24" t="s">
        <v>5115</v>
      </c>
      <c r="P702" s="25" t="s">
        <v>5116</v>
      </c>
      <c r="AC702" s="10" t="str">
        <f>IFERROR(__xludf.DUMMYFUNCTION("GOOGLETRANSLATE(K702,""my"", ""en"")"),"ေအာင် Win")</f>
        <v>ေအာင် Win</v>
      </c>
      <c r="AD702" s="10" t="str">
        <f>IFERROR(__xludf.DUMMYFUNCTION("GOOGLETRANSLATE(L702,""my"", ""en"")")," Game  Democratic Party political-Fi")</f>
        <v> Game  Democratic Party political-Fi</v>
      </c>
      <c r="AE702" s="10" t="str">
        <f>IFERROR(__xludf.DUMMYFUNCTION("GOOGLETRANSLATE(M702,""my"", ""en"")"),"487")</f>
        <v>487</v>
      </c>
      <c r="AF702" s="10" t="str">
        <f>IFERROR(__xludf.DUMMYFUNCTION("GOOGLETRANSLATE(N702,""my"", ""en"")"),"277")</f>
        <v>277</v>
      </c>
      <c r="AG702" s="10" t="str">
        <f>IFERROR(__xludf.DUMMYFUNCTION("GOOGLETRANSLATE(O702,""my"", ""en"")"),"764")</f>
        <v>764</v>
      </c>
      <c r="AH702" s="10" t="str">
        <f>IFERROR(__xludf.DUMMYFUNCTION("GOOGLETRANSLATE(P702,""my"", ""en"")"),"0.64%")</f>
        <v>0.64%</v>
      </c>
    </row>
    <row r="703" ht="22.5" customHeight="1">
      <c r="A703" s="28" t="s">
        <v>5117</v>
      </c>
      <c r="B703" s="17" t="s">
        <v>5118</v>
      </c>
      <c r="C703" s="18" t="s">
        <v>5119</v>
      </c>
      <c r="D703" s="17" t="s">
        <v>5120</v>
      </c>
      <c r="E703" s="18" t="s">
        <v>5121</v>
      </c>
      <c r="F703" s="18" t="s">
        <v>5122</v>
      </c>
      <c r="G703" s="18" t="s">
        <v>5123</v>
      </c>
      <c r="H703" s="18" t="s">
        <v>5124</v>
      </c>
      <c r="I703" s="18" t="s">
        <v>5125</v>
      </c>
      <c r="J703" s="18" t="s">
        <v>5126</v>
      </c>
      <c r="K703" s="27"/>
      <c r="L703" s="27"/>
      <c r="M703" s="18" t="s">
        <v>5127</v>
      </c>
      <c r="N703" s="18" t="s">
        <v>5128</v>
      </c>
      <c r="O703" s="18" t="s">
        <v>5129</v>
      </c>
      <c r="P703" s="27"/>
      <c r="S703" s="10" t="str">
        <f>IFERROR(__xludf.DUMMYFUNCTION("GOOGLETRANSLATE(A703,""my"", ""en"")"),"119")</f>
        <v>119</v>
      </c>
      <c r="T703" s="10" t="str">
        <f>IFERROR(__xludf.DUMMYFUNCTION("GOOGLETRANSLATE(B703,""my"", ""en"")"),"မဲဆ  No. (11)")</f>
        <v>မဲဆ  No. (11)</v>
      </c>
      <c r="U703" s="10" t="str">
        <f>IFERROR(__xludf.DUMMYFUNCTION("GOOGLETRANSLATE(C703,""my"", ""en"")"),"149614")</f>
        <v>149614</v>
      </c>
      <c r="V703" s="10" t="str">
        <f>IFERROR(__xludf.DUMMYFUNCTION("GOOGLETRANSLATE(D703,""my"", ""en"")"),"70724")</f>
        <v>70724</v>
      </c>
      <c r="W703" s="10" t="str">
        <f>IFERROR(__xludf.DUMMYFUNCTION("GOOGLETRANSLATE(E703,""my"", ""en"")"),"24194")</f>
        <v>24194</v>
      </c>
      <c r="X703" s="10" t="str">
        <f>IFERROR(__xludf.DUMMYFUNCTION("GOOGLETRANSLATE(F703,""my"", ""en"")"),"94918")</f>
        <v>94918</v>
      </c>
      <c r="Y703" s="10" t="str">
        <f>IFERROR(__xludf.DUMMYFUNCTION("GOOGLETRANSLATE(G703,""my"", ""en"")"),"63.44")</f>
        <v>63.44</v>
      </c>
      <c r="Z703" s="10" t="str">
        <f>IFERROR(__xludf.DUMMYFUNCTION("GOOGLETRANSLATE(H703,""my"", ""en"")"),"3735")</f>
        <v>3735</v>
      </c>
      <c r="AA703" s="10" t="str">
        <f>IFERROR(__xludf.DUMMYFUNCTION("GOOGLETRANSLATE(I703,""my"", ""en"")"),"102")</f>
        <v>102</v>
      </c>
      <c r="AB703" s="10" t="str">
        <f>IFERROR(__xludf.DUMMYFUNCTION("GOOGLETRANSLATE(J703,""my"", ""en"")"),"3837")</f>
        <v>3837</v>
      </c>
      <c r="AE703" s="10" t="str">
        <f>IFERROR(__xludf.DUMMYFUNCTION("GOOGLETRANSLATE(M703,""my"", ""en"")"),"67520")</f>
        <v>67520</v>
      </c>
      <c r="AF703" s="10" t="str">
        <f>IFERROR(__xludf.DUMMYFUNCTION("GOOGLETRANSLATE(N703,""my"", ""en"")"),"23561")</f>
        <v>23561</v>
      </c>
      <c r="AG703" s="10" t="str">
        <f>IFERROR(__xludf.DUMMYFUNCTION("GOOGLETRANSLATE(O703,""my"", ""en"")"),"91081")</f>
        <v>91081</v>
      </c>
    </row>
    <row r="704" ht="21.75" customHeigh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3" t="s">
        <v>5130</v>
      </c>
      <c r="L704" s="23" t="s">
        <v>5131</v>
      </c>
      <c r="M704" s="24" t="s">
        <v>5132</v>
      </c>
      <c r="N704" s="24" t="s">
        <v>5133</v>
      </c>
      <c r="O704" s="24" t="s">
        <v>5134</v>
      </c>
      <c r="P704" s="25" t="s">
        <v>5135</v>
      </c>
      <c r="AC704" s="10" t="str">
        <f>IFERROR(__xludf.DUMMYFUNCTION("GOOGLETRANSLATE(K704,""my"", ""en"")"),"Data  သီရိရတနာ")</f>
        <v>Data  သီရိရတနာ</v>
      </c>
      <c r="AD704" s="10" t="str">
        <f>IFERROR(__xludf.DUMMYFUNCTION("GOOGLETRANSLATE(L704,""my"", ""en"")")," Game Democracy group   Pop Party")</f>
        <v> Game Democracy group   Pop Party</v>
      </c>
      <c r="AE704" s="10" t="str">
        <f>IFERROR(__xludf.DUMMYFUNCTION("GOOGLETRANSLATE(M704,""my"", ""en"")"),"44176")</f>
        <v>44176</v>
      </c>
      <c r="AF704" s="10" t="str">
        <f>IFERROR(__xludf.DUMMYFUNCTION("GOOGLETRANSLATE(N704,""my"", ""en"")"),"13574")</f>
        <v>13574</v>
      </c>
      <c r="AG704" s="10" t="str">
        <f>IFERROR(__xludf.DUMMYFUNCTION("GOOGLETRANSLATE(O704,""my"", ""en"")"),"57750")</f>
        <v>57750</v>
      </c>
      <c r="AH704" s="10" t="str">
        <f>IFERROR(__xludf.DUMMYFUNCTION("GOOGLETRANSLATE(P704,""my"", ""en"")"),"63.41%")</f>
        <v>63.41%</v>
      </c>
    </row>
    <row r="705" ht="21.75" customHeigh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3" t="s">
        <v>5136</v>
      </c>
      <c r="L705" s="23" t="s">
        <v>5137</v>
      </c>
      <c r="M705" s="24" t="s">
        <v>5138</v>
      </c>
      <c r="N705" s="24" t="s">
        <v>5139</v>
      </c>
      <c r="O705" s="24" t="s">
        <v>5140</v>
      </c>
      <c r="P705" s="25" t="s">
        <v>5141</v>
      </c>
      <c r="AC705" s="10" t="str">
        <f>IFERROR(__xludf.DUMMYFUNCTION("GOOGLETRANSLATE(K705,""my"", ""en"")"),"ဦွး Friend")</f>
        <v>ဦွး Friend</v>
      </c>
      <c r="AD705" s="10" t="str">
        <f>IFERROR(__xludf.DUMMYFUNCTION("GOOGLETRANSLATE(L705,""my"", ""en"")"),"Local ေထာင် soap-stone strong ေရး  under development  Phil  ေရး Party")</f>
        <v>Local ေထာင် soap-stone strong ေရး  under development  Phil  ေရး Party</v>
      </c>
      <c r="AE705" s="10" t="str">
        <f>IFERROR(__xludf.DUMMYFUNCTION("GOOGLETRANSLATE(M705,""my"", ""en"")"),"16061")</f>
        <v>16061</v>
      </c>
      <c r="AF705" s="10" t="str">
        <f>IFERROR(__xludf.DUMMYFUNCTION("GOOGLETRANSLATE(N705,""my"", ""en"")"),"6820")</f>
        <v>6820</v>
      </c>
      <c r="AG705" s="10" t="str">
        <f>IFERROR(__xludf.DUMMYFUNCTION("GOOGLETRANSLATE(O705,""my"", ""en"")"),"22881")</f>
        <v>22881</v>
      </c>
      <c r="AH705" s="10" t="str">
        <f>IFERROR(__xludf.DUMMYFUNCTION("GOOGLETRANSLATE(P705,""my"", ""en"")"),"25.12%")</f>
        <v>25.12%</v>
      </c>
    </row>
    <row r="706" ht="22.5" customHeigh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3" t="s">
        <v>5142</v>
      </c>
      <c r="L706" s="23" t="s">
        <v>5143</v>
      </c>
      <c r="M706" s="24" t="s">
        <v>5144</v>
      </c>
      <c r="N706" s="24" t="s">
        <v>5145</v>
      </c>
      <c r="O706" s="24" t="s">
        <v>5146</v>
      </c>
      <c r="P706" s="25" t="s">
        <v>5147</v>
      </c>
      <c r="AC706" s="10" t="str">
        <f>IFERROR(__xludf.DUMMYFUNCTION("GOOGLETRANSLATE(K706,""my"", ""en"")"),"ေဒ   Lwin  Union")</f>
        <v>ေဒ   Lwin  Union</v>
      </c>
      <c r="AD706" s="10" t="str">
        <f>IFERROR(__xludf.DUMMYFUNCTION("GOOGLETRANSLATE(L706,""my"", ""en"")"),"Local ေထာင် စုေ white  Game ေဆာင် Party")</f>
        <v>Local ေထာင် စုေ white  Game ေဆာင် Party</v>
      </c>
      <c r="AE706" s="10" t="str">
        <f>IFERROR(__xludf.DUMMYFUNCTION("GOOGLETRANSLATE(M706,""my"", ""en"")"),"2483")</f>
        <v>2483</v>
      </c>
      <c r="AF706" s="10" t="str">
        <f>IFERROR(__xludf.DUMMYFUNCTION("GOOGLETRANSLATE(N706,""my"", ""en"")"),"1197")</f>
        <v>1197</v>
      </c>
      <c r="AG706" s="10" t="str">
        <f>IFERROR(__xludf.DUMMYFUNCTION("GOOGLETRANSLATE(O706,""my"", ""en"")"),"3680")</f>
        <v>3680</v>
      </c>
      <c r="AH706" s="10" t="str">
        <f>IFERROR(__xludf.DUMMYFUNCTION("GOOGLETRANSLATE(P706,""my"", ""en"")"),"4.04%")</f>
        <v>4.04%</v>
      </c>
    </row>
    <row r="707" ht="21.75" customHeigh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3" t="s">
        <v>5148</v>
      </c>
      <c r="L707" s="23" t="s">
        <v>5149</v>
      </c>
      <c r="M707" s="24" t="s">
        <v>5150</v>
      </c>
      <c r="N707" s="24" t="s">
        <v>5151</v>
      </c>
      <c r="O707" s="24" t="s">
        <v>5152</v>
      </c>
      <c r="P707" s="25" t="s">
        <v>5153</v>
      </c>
      <c r="AC707" s="10" t="str">
        <f>IFERROR(__xludf.DUMMYFUNCTION("GOOGLETRANSLATE(K707,""my"", ""en"")"),"Cold Sea  Game")</f>
        <v>Cold Sea  Game</v>
      </c>
      <c r="AD707" s="10" t="str">
        <f>IFERROR(__xludf.DUMMYFUNCTION("GOOGLETRANSLATE(L707,""my"", ""en"")"),"Karen ပည်သူ Party")</f>
        <v>Karen ပည်သူ Party</v>
      </c>
      <c r="AE707" s="10" t="str">
        <f>IFERROR(__xludf.DUMMYFUNCTION("GOOGLETRANSLATE(M707,""my"", ""en"")"),"2798")</f>
        <v>2798</v>
      </c>
      <c r="AF707" s="10" t="str">
        <f>IFERROR(__xludf.DUMMYFUNCTION("GOOGLETRANSLATE(N707,""my"", ""en"")"),"863")</f>
        <v>863</v>
      </c>
      <c r="AG707" s="10" t="str">
        <f>IFERROR(__xludf.DUMMYFUNCTION("GOOGLETRANSLATE(O707,""my"", ""en"")"),"3661")</f>
        <v>3661</v>
      </c>
      <c r="AH707" s="10" t="str">
        <f>IFERROR(__xludf.DUMMYFUNCTION("GOOGLETRANSLATE(P707,""my"", ""en"")"),"4.02%")</f>
        <v>4.02%</v>
      </c>
    </row>
    <row r="708" ht="22.5" customHeigh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3" t="s">
        <v>5154</v>
      </c>
      <c r="L708" s="23" t="s">
        <v>5155</v>
      </c>
      <c r="M708" s="24" t="s">
        <v>5156</v>
      </c>
      <c r="N708" s="24" t="s">
        <v>5157</v>
      </c>
      <c r="O708" s="24" t="s">
        <v>5158</v>
      </c>
      <c r="P708" s="25" t="s">
        <v>5159</v>
      </c>
      <c r="AC708" s="10" t="str">
        <f>IFERROR(__xludf.DUMMYFUNCTION("GOOGLETRANSLATE(K708,""my"", ""en"")"),"U Than Htut ေအာင်")</f>
        <v>U Than Htut ေအာင်</v>
      </c>
      <c r="AD708" s="10" t="str">
        <f>IFERROR(__xludf.DUMMYFUNCTION("GOOGLETRANSLATE(L708,""my"", ""en"")"),"Ethnic unity  working party ေရး")</f>
        <v>Ethnic unity  working party ေရး</v>
      </c>
      <c r="AE708" s="10" t="str">
        <f>IFERROR(__xludf.DUMMYFUNCTION("GOOGLETRANSLATE(M708,""my"", ""en"")"),"1683")</f>
        <v>1683</v>
      </c>
      <c r="AF708" s="10" t="str">
        <f>IFERROR(__xludf.DUMMYFUNCTION("GOOGLETRANSLATE(N708,""my"", ""en"")"),"815")</f>
        <v>815</v>
      </c>
      <c r="AG708" s="10" t="str">
        <f>IFERROR(__xludf.DUMMYFUNCTION("GOOGLETRANSLATE(O708,""my"", ""en"")"),"2498")</f>
        <v>2498</v>
      </c>
      <c r="AH708" s="10" t="str">
        <f>IFERROR(__xludf.DUMMYFUNCTION("GOOGLETRANSLATE(P708,""my"", ""en"")"),"2.74%")</f>
        <v>2.74%</v>
      </c>
    </row>
    <row r="709" ht="21.75" customHeigh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3" t="s">
        <v>5160</v>
      </c>
      <c r="L709" s="23" t="s">
        <v>5161</v>
      </c>
      <c r="M709" s="24" t="s">
        <v>5162</v>
      </c>
      <c r="N709" s="24" t="s">
        <v>5163</v>
      </c>
      <c r="O709" s="24" t="s">
        <v>5164</v>
      </c>
      <c r="P709" s="25" t="s">
        <v>5165</v>
      </c>
      <c r="AC709" s="10" t="str">
        <f>IFERROR(__xludf.DUMMYFUNCTION("GOOGLETRANSLATE(K709,""my"", ""en"")"),"U Khine Soe")</f>
        <v>U Khine Soe</v>
      </c>
      <c r="AD709" s="10" t="str">
        <f>IFERROR(__xludf.DUMMYFUNCTION("GOOGLETRANSLATE(L709,""my"", ""en"")")," Game  Democratic Party political-Fi")</f>
        <v> Game  Democratic Party political-Fi</v>
      </c>
      <c r="AE709" s="10" t="str">
        <f>IFERROR(__xludf.DUMMYFUNCTION("GOOGLETRANSLATE(M709,""my"", ""en"")"),"319")</f>
        <v>319</v>
      </c>
      <c r="AF709" s="10" t="str">
        <f>IFERROR(__xludf.DUMMYFUNCTION("GOOGLETRANSLATE(N709,""my"", ""en"")"),"292")</f>
        <v>292</v>
      </c>
      <c r="AG709" s="10" t="str">
        <f>IFERROR(__xludf.DUMMYFUNCTION("GOOGLETRANSLATE(O709,""my"", ""en"")"),"611")</f>
        <v>611</v>
      </c>
      <c r="AH709" s="10" t="str">
        <f>IFERROR(__xludf.DUMMYFUNCTION("GOOGLETRANSLATE(P709,""my"", ""en"")"),"0.67%")</f>
        <v>0.67%</v>
      </c>
    </row>
    <row r="710" ht="22.5" customHeight="1">
      <c r="A710" s="28" t="s">
        <v>5166</v>
      </c>
      <c r="B710" s="17" t="s">
        <v>5167</v>
      </c>
      <c r="C710" s="18" t="s">
        <v>5168</v>
      </c>
      <c r="D710" s="17" t="s">
        <v>5169</v>
      </c>
      <c r="E710" s="18" t="s">
        <v>5170</v>
      </c>
      <c r="F710" s="18" t="s">
        <v>5171</v>
      </c>
      <c r="G710" s="18" t="s">
        <v>5172</v>
      </c>
      <c r="H710" s="18" t="s">
        <v>5173</v>
      </c>
      <c r="I710" s="18" t="s">
        <v>5174</v>
      </c>
      <c r="J710" s="18" t="s">
        <v>5175</v>
      </c>
      <c r="K710" s="27"/>
      <c r="L710" s="27"/>
      <c r="M710" s="18" t="s">
        <v>5176</v>
      </c>
      <c r="N710" s="18" t="s">
        <v>5177</v>
      </c>
      <c r="O710" s="18" t="s">
        <v>5178</v>
      </c>
      <c r="P710" s="27"/>
      <c r="S710" s="10" t="str">
        <f>IFERROR(__xludf.DUMMYFUNCTION("GOOGLETRANSLATE(A710,""my"", ""en"")"),"120")</f>
        <v>120</v>
      </c>
      <c r="T710" s="10" t="str">
        <f>IFERROR(__xludf.DUMMYFUNCTION("GOOGLETRANSLATE(B710,""my"", ""en"")"),"မဲဆ  No. (12)")</f>
        <v>မဲဆ  No. (12)</v>
      </c>
      <c r="U710" s="10" t="str">
        <f>IFERROR(__xludf.DUMMYFUNCTION("GOOGLETRANSLATE(C710,""my"", ""en"")"),"212255")</f>
        <v>212255</v>
      </c>
      <c r="V710" s="10" t="str">
        <f>IFERROR(__xludf.DUMMYFUNCTION("GOOGLETRANSLATE(D710,""my"", ""en"")"),"91979")</f>
        <v>91979</v>
      </c>
      <c r="W710" s="10" t="str">
        <f>IFERROR(__xludf.DUMMYFUNCTION("GOOGLETRANSLATE(E710,""my"", ""en"")"),"33795")</f>
        <v>33795</v>
      </c>
      <c r="X710" s="10" t="str">
        <f>IFERROR(__xludf.DUMMYFUNCTION("GOOGLETRANSLATE(F710,""my"", ""en"")"),"125774")</f>
        <v>125774</v>
      </c>
      <c r="Y710" s="10" t="str">
        <f>IFERROR(__xludf.DUMMYFUNCTION("GOOGLETRANSLATE(G710,""my"", ""en"")"),"59.26")</f>
        <v>59.26</v>
      </c>
      <c r="Z710" s="10" t="str">
        <f>IFERROR(__xludf.DUMMYFUNCTION("GOOGLETRANSLATE(H710,""my"", ""en"")"),"4372")</f>
        <v>4372</v>
      </c>
      <c r="AA710" s="10" t="str">
        <f>IFERROR(__xludf.DUMMYFUNCTION("GOOGLETRANSLATE(I710,""my"", ""en"")"),"822")</f>
        <v>822</v>
      </c>
      <c r="AB710" s="10" t="str">
        <f>IFERROR(__xludf.DUMMYFUNCTION("GOOGLETRANSLATE(J710,""my"", ""en"")"),"5194")</f>
        <v>5194</v>
      </c>
      <c r="AE710" s="10" t="str">
        <f>IFERROR(__xludf.DUMMYFUNCTION("GOOGLETRANSLATE(M710,""my"", ""en"")"),"87806")</f>
        <v>87806</v>
      </c>
      <c r="AF710" s="10" t="str">
        <f>IFERROR(__xludf.DUMMYFUNCTION("GOOGLETRANSLATE(N710,""my"", ""en"")"),"32774")</f>
        <v>32774</v>
      </c>
      <c r="AG710" s="10" t="str">
        <f>IFERROR(__xludf.DUMMYFUNCTION("GOOGLETRANSLATE(O710,""my"", ""en"")"),"120580")</f>
        <v>120580</v>
      </c>
    </row>
    <row r="711" ht="22.5" customHeigh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3" t="s">
        <v>5179</v>
      </c>
      <c r="L711" s="23" t="s">
        <v>5180</v>
      </c>
      <c r="M711" s="24" t="s">
        <v>5181</v>
      </c>
      <c r="N711" s="24" t="s">
        <v>5182</v>
      </c>
      <c r="O711" s="24" t="s">
        <v>5183</v>
      </c>
      <c r="P711" s="25" t="s">
        <v>5184</v>
      </c>
      <c r="AC711" s="10" t="str">
        <f>IFERROR(__xludf.DUMMYFUNCTION("GOOGLETRANSLATE(K711,""my"", ""en"")"),"ေဒါက် တာေ Zar Lin Htut")</f>
        <v>ေဒါက် တာေ Zar Lin Htut</v>
      </c>
      <c r="AD711" s="10" t="str">
        <f>IFERROR(__xludf.DUMMYFUNCTION("GOOGLETRANSLATE(L711,""my"", ""en"")")," Game Democracy group   Pop Party")</f>
        <v> Game Democracy group   Pop Party</v>
      </c>
      <c r="AE711" s="10" t="str">
        <f>IFERROR(__xludf.DUMMYFUNCTION("GOOGLETRANSLATE(M711,""my"", ""en"")"),"59839")</f>
        <v>59839</v>
      </c>
      <c r="AF711" s="10" t="str">
        <f>IFERROR(__xludf.DUMMYFUNCTION("GOOGLETRANSLATE(N711,""my"", ""en"")"),"20198")</f>
        <v>20198</v>
      </c>
      <c r="AG711" s="10" t="str">
        <f>IFERROR(__xludf.DUMMYFUNCTION("GOOGLETRANSLATE(O711,""my"", ""en"")"),"80037")</f>
        <v>80037</v>
      </c>
      <c r="AH711" s="10" t="str">
        <f>IFERROR(__xludf.DUMMYFUNCTION("GOOGLETRANSLATE(P711,""my"", ""en"")"),"66.38%")</f>
        <v>66.38%</v>
      </c>
    </row>
    <row r="712" ht="21.75" customHeigh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3" t="s">
        <v>5185</v>
      </c>
      <c r="L712" s="23" t="s">
        <v>5186</v>
      </c>
      <c r="M712" s="24" t="s">
        <v>5187</v>
      </c>
      <c r="N712" s="24" t="s">
        <v>5188</v>
      </c>
      <c r="O712" s="24" t="s">
        <v>5189</v>
      </c>
      <c r="P712" s="25" t="s">
        <v>5190</v>
      </c>
      <c r="AC712" s="10" t="str">
        <f>IFERROR(__xludf.DUMMYFUNCTION("GOOGLETRANSLATE(K712,""my"", ""en"")")," Game ေဌး")</f>
        <v> Game ေဌး</v>
      </c>
      <c r="AD712" s="10" t="str">
        <f>IFERROR(__xludf.DUMMYFUNCTION("GOOGLETRANSLATE(L712,""my"", ""en"")"),"Local ေထာင် soap-stone strong ေရး  under development  Phil  ေရး Party")</f>
        <v>Local ေထာင် soap-stone strong ေရး  under development  Phil  ေရး Party</v>
      </c>
      <c r="AE712" s="10" t="str">
        <f>IFERROR(__xludf.DUMMYFUNCTION("GOOGLETRANSLATE(M712,""my"", ""en"")"),"18013")</f>
        <v>18013</v>
      </c>
      <c r="AF712" s="10" t="str">
        <f>IFERROR(__xludf.DUMMYFUNCTION("GOOGLETRANSLATE(N712,""my"", ""en"")"),"8301")</f>
        <v>8301</v>
      </c>
      <c r="AG712" s="10" t="str">
        <f>IFERROR(__xludf.DUMMYFUNCTION("GOOGLETRANSLATE(O712,""my"", ""en"")"),"26314")</f>
        <v>26314</v>
      </c>
      <c r="AH712" s="10" t="str">
        <f>IFERROR(__xludf.DUMMYFUNCTION("GOOGLETRANSLATE(P712,""my"", ""en"")"),"21.82%")</f>
        <v>21.82%</v>
      </c>
    </row>
    <row r="713" ht="22.5" customHeigh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3" t="s">
        <v>5191</v>
      </c>
      <c r="L713" s="23" t="s">
        <v>5192</v>
      </c>
      <c r="M713" s="24" t="s">
        <v>5193</v>
      </c>
      <c r="N713" s="24" t="s">
        <v>5194</v>
      </c>
      <c r="O713" s="24" t="s">
        <v>5195</v>
      </c>
      <c r="P713" s="25" t="s">
        <v>5196</v>
      </c>
      <c r="AC713" s="10" t="str">
        <f>IFERROR(__xludf.DUMMYFUNCTION("GOOGLETRANSLATE(K713,""my"", ""en"")"),"Tun ေအာင်")</f>
        <v>Tun ေအာင်</v>
      </c>
      <c r="AD713" s="10" t="str">
        <f>IFERROR(__xludf.DUMMYFUNCTION("GOOGLETRANSLATE(L713,""my"", ""en"")"),"Pa -shaped members   Pop Party")</f>
        <v>Pa -shaped members   Pop Party</v>
      </c>
      <c r="AE713" s="10" t="str">
        <f>IFERROR(__xludf.DUMMYFUNCTION("GOOGLETRANSLATE(M713,""my"", ""en"")"),"4458")</f>
        <v>4458</v>
      </c>
      <c r="AF713" s="10" t="str">
        <f>IFERROR(__xludf.DUMMYFUNCTION("GOOGLETRANSLATE(N713,""my"", ""en"")"),"1712")</f>
        <v>1712</v>
      </c>
      <c r="AG713" s="10" t="str">
        <f>IFERROR(__xludf.DUMMYFUNCTION("GOOGLETRANSLATE(O713,""my"", ""en"")"),"6170")</f>
        <v>6170</v>
      </c>
      <c r="AH713" s="10" t="str">
        <f>IFERROR(__xludf.DUMMYFUNCTION("GOOGLETRANSLATE(P713,""my"", ""en"")"),"5.12%")</f>
        <v>5.12%</v>
      </c>
    </row>
    <row r="714" ht="21.75" customHeigh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3" t="s">
        <v>5197</v>
      </c>
      <c r="L714" s="23" t="s">
        <v>5198</v>
      </c>
      <c r="M714" s="24" t="s">
        <v>5199</v>
      </c>
      <c r="N714" s="24" t="s">
        <v>5200</v>
      </c>
      <c r="O714" s="24" t="s">
        <v>5201</v>
      </c>
      <c r="P714" s="25" t="s">
        <v>5202</v>
      </c>
      <c r="AC714" s="10" t="str">
        <f>IFERROR(__xludf.DUMMYFUNCTION("GOOGLETRANSLATE(K714,""my"", ""en"")"),"Khin ေမာင် not")</f>
        <v>Khin ေမာင် not</v>
      </c>
      <c r="AD714" s="10" t="str">
        <f>IFERROR(__xludf.DUMMYFUNCTION("GOOGLETRANSLATE(L714,""my"", ""en"")"),"Ethnic unity  working party ေရး")</f>
        <v>Ethnic unity  working party ေရး</v>
      </c>
      <c r="AE714" s="10" t="str">
        <f>IFERROR(__xludf.DUMMYFUNCTION("GOOGLETRANSLATE(M714,""my"", ""en"")"),"3172")</f>
        <v>3172</v>
      </c>
      <c r="AF714" s="10" t="str">
        <f>IFERROR(__xludf.DUMMYFUNCTION("GOOGLETRANSLATE(N714,""my"", ""en"")"),"1216")</f>
        <v>1216</v>
      </c>
      <c r="AG714" s="10" t="str">
        <f>IFERROR(__xludf.DUMMYFUNCTION("GOOGLETRANSLATE(O714,""my"", ""en"")"),"4388")</f>
        <v>4388</v>
      </c>
      <c r="AH714" s="10" t="str">
        <f>IFERROR(__xludf.DUMMYFUNCTION("GOOGLETRANSLATE(P714,""my"", ""en"")"),"3.63%")</f>
        <v>3.63%</v>
      </c>
    </row>
    <row r="715" ht="22.5" customHeigh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3" t="s">
        <v>5203</v>
      </c>
      <c r="L715" s="23" t="s">
        <v>5204</v>
      </c>
      <c r="M715" s="24" t="s">
        <v>5205</v>
      </c>
      <c r="N715" s="24" t="s">
        <v>5206</v>
      </c>
      <c r="O715" s="24" t="s">
        <v>5207</v>
      </c>
      <c r="P715" s="25" t="s">
        <v>5208</v>
      </c>
      <c r="AC715" s="10" t="str">
        <f>IFERROR(__xludf.DUMMYFUNCTION("GOOGLETRANSLATE(K715,""my"", ""en"")"),"The Show Palace ေအး  several hundred thousand")</f>
        <v>The Show Palace ေအး  several hundred thousand</v>
      </c>
      <c r="AD715" s="10" t="str">
        <f>IFERROR(__xludf.DUMMYFUNCTION("GOOGLETRANSLATE(L715,""my"", ""en"")"),"Local ေထာင် စုေ white  Game ေဆာင် Party")</f>
        <v>Local ေထာင် စုေ white  Game ေဆာင် Party</v>
      </c>
      <c r="AE715" s="10" t="str">
        <f>IFERROR(__xludf.DUMMYFUNCTION("GOOGLETRANSLATE(M715,""my"", ""en"")"),"829")</f>
        <v>829</v>
      </c>
      <c r="AF715" s="10" t="str">
        <f>IFERROR(__xludf.DUMMYFUNCTION("GOOGLETRANSLATE(N715,""my"", ""en"")"),"484")</f>
        <v>484</v>
      </c>
      <c r="AG715" s="10" t="str">
        <f>IFERROR(__xludf.DUMMYFUNCTION("GOOGLETRANSLATE(O715,""my"", ""en"")"),"1313")</f>
        <v>1313</v>
      </c>
      <c r="AH715" s="10" t="str">
        <f>IFERROR(__xludf.DUMMYFUNCTION("GOOGLETRANSLATE(P715,""my"", ""en"")"),"1.09%")</f>
        <v>1.09%</v>
      </c>
    </row>
    <row r="716" ht="37.5" customHeigh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32" t="s">
        <v>5209</v>
      </c>
      <c r="L716" s="23" t="s">
        <v>5210</v>
      </c>
      <c r="M716" s="33" t="s">
        <v>5211</v>
      </c>
      <c r="N716" s="33" t="s">
        <v>5212</v>
      </c>
      <c r="O716" s="33" t="s">
        <v>5213</v>
      </c>
      <c r="P716" s="31" t="s">
        <v>5214</v>
      </c>
      <c r="AC716" s="10" t="str">
        <f>IFERROR(__xludf.DUMMYFUNCTION("GOOGLETRANSLATE(K716,""my"", ""en"")"),"Data is estimated ")</f>
        <v>Data is estimated </v>
      </c>
      <c r="AD716" s="10" t="str">
        <f>IFERROR(__xludf.DUMMYFUNCTION("GOOGLETRANSLATE(L716,""my"", ""en"")")," Union ေသာ ethnic  Game Democracy Party")</f>
        <v> Union ေသာ ethnic  Game Democracy Party</v>
      </c>
      <c r="AE716" s="10" t="str">
        <f>IFERROR(__xludf.DUMMYFUNCTION("GOOGLETRANSLATE(M716,""my"", ""en"")"),"555")</f>
        <v>555</v>
      </c>
      <c r="AF716" s="10" t="str">
        <f>IFERROR(__xludf.DUMMYFUNCTION("GOOGLETRANSLATE(N716,""my"", ""en"")"),"313")</f>
        <v>313</v>
      </c>
      <c r="AG716" s="10" t="str">
        <f>IFERROR(__xludf.DUMMYFUNCTION("GOOGLETRANSLATE(O716,""my"", ""en"")"),"868")</f>
        <v>868</v>
      </c>
      <c r="AH716" s="10" t="str">
        <f>IFERROR(__xludf.DUMMYFUNCTION("GOOGLETRANSLATE(P716,""my"", ""en"")"),"0.72%")</f>
        <v>0.72%</v>
      </c>
    </row>
    <row r="717" ht="22.5" customHeigh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3" t="s">
        <v>5215</v>
      </c>
      <c r="L717" s="23" t="s">
        <v>5216</v>
      </c>
      <c r="M717" s="24" t="s">
        <v>5217</v>
      </c>
      <c r="N717" s="24" t="s">
        <v>5218</v>
      </c>
      <c r="O717" s="24" t="s">
        <v>5219</v>
      </c>
      <c r="P717" s="25" t="s">
        <v>5220</v>
      </c>
      <c r="AC717" s="10" t="str">
        <f>IFERROR(__xludf.DUMMYFUNCTION("GOOGLETRANSLATE(K717,""my"", ""en"")"),"ေလး  Cashier")</f>
        <v>ေလး  Cashier</v>
      </c>
      <c r="AD717" s="10" t="str">
        <f>IFERROR(__xludf.DUMMYFUNCTION("GOOGLETRANSLATE(L717,""my"", ""en"")"),"88  Game Democracy Party")</f>
        <v>88  Game Democracy Party</v>
      </c>
      <c r="AE717" s="10" t="str">
        <f>IFERROR(__xludf.DUMMYFUNCTION("GOOGLETRANSLATE(M717,""my"", ""en"")"),"533")</f>
        <v>533</v>
      </c>
      <c r="AF717" s="10" t="str">
        <f>IFERROR(__xludf.DUMMYFUNCTION("GOOGLETRANSLATE(N717,""my"", ""en"")"),"259")</f>
        <v>259</v>
      </c>
      <c r="AG717" s="10" t="str">
        <f>IFERROR(__xludf.DUMMYFUNCTION("GOOGLETRANSLATE(O717,""my"", ""en"")"),"792")</f>
        <v>792</v>
      </c>
      <c r="AH717" s="10" t="str">
        <f>IFERROR(__xludf.DUMMYFUNCTION("GOOGLETRANSLATE(P717,""my"", ""en"")"),"0.66%")</f>
        <v>0.66%</v>
      </c>
    </row>
    <row r="718" ht="21.75" customHeigh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3" t="s">
        <v>5221</v>
      </c>
      <c r="L718" s="23" t="s">
        <v>5222</v>
      </c>
      <c r="M718" s="24" t="s">
        <v>5223</v>
      </c>
      <c r="N718" s="24" t="s">
        <v>5224</v>
      </c>
      <c r="O718" s="24" t="s">
        <v>5225</v>
      </c>
      <c r="P718" s="25" t="s">
        <v>5226</v>
      </c>
      <c r="AC718" s="10" t="str">
        <f>IFERROR(__xludf.DUMMYFUNCTION("GOOGLETRANSLATE(K718,""my"", ""en"")"),"ေဇာ Win ေအာင်")</f>
        <v>ေဇာ Win ေအာင်</v>
      </c>
      <c r="AD718" s="10" t="str">
        <f>IFERROR(__xludf.DUMMYFUNCTION("GOOGLETRANSLATE(L718,""my"", ""en"")")," Game  Democratic Party political-Fi")</f>
        <v> Game  Democratic Party political-Fi</v>
      </c>
      <c r="AE718" s="10" t="str">
        <f>IFERROR(__xludf.DUMMYFUNCTION("GOOGLETRANSLATE(M718,""my"", ""en"")"),"407")</f>
        <v>407</v>
      </c>
      <c r="AF718" s="10" t="str">
        <f>IFERROR(__xludf.DUMMYFUNCTION("GOOGLETRANSLATE(N718,""my"", ""en"")"),"291")</f>
        <v>291</v>
      </c>
      <c r="AG718" s="10" t="str">
        <f>IFERROR(__xludf.DUMMYFUNCTION("GOOGLETRANSLATE(O718,""my"", ""en"")"),"698")</f>
        <v>698</v>
      </c>
      <c r="AH718" s="10" t="str">
        <f>IFERROR(__xludf.DUMMYFUNCTION("GOOGLETRANSLATE(P718,""my"", ""en"")"),"0.58%")</f>
        <v>0.58%</v>
      </c>
    </row>
    <row r="719" ht="21.75" customHeight="1">
      <c r="A719" s="14"/>
      <c r="B719" s="15" t="s">
        <v>5227</v>
      </c>
      <c r="C719" s="16" t="s">
        <v>5228</v>
      </c>
      <c r="D719" s="15" t="s">
        <v>5229</v>
      </c>
      <c r="E719" s="16" t="s">
        <v>5230</v>
      </c>
      <c r="F719" s="16" t="s">
        <v>5231</v>
      </c>
      <c r="G719" s="16" t="s">
        <v>5232</v>
      </c>
      <c r="H719" s="16" t="s">
        <v>5233</v>
      </c>
      <c r="I719" s="16" t="s">
        <v>5234</v>
      </c>
      <c r="J719" s="16" t="s">
        <v>5235</v>
      </c>
      <c r="K719" s="14"/>
      <c r="L719" s="14"/>
      <c r="M719" s="47" t="s">
        <v>5236</v>
      </c>
      <c r="N719" s="47" t="s">
        <v>5237</v>
      </c>
      <c r="O719" s="16" t="s">
        <v>5238</v>
      </c>
      <c r="P719" s="14"/>
      <c r="T719" s="10" t="str">
        <f>IFERROR(__xludf.DUMMYFUNCTION("GOOGLETRANSLATE(B719,""my"", ""en"")"),"ခိုင်ြ State")</f>
        <v>ခိုင်ြ State</v>
      </c>
      <c r="U719" s="10" t="str">
        <f>IFERROR(__xludf.DUMMYFUNCTION("GOOGLETRANSLATE(C719,""my"", ""en"")"),"477957")</f>
        <v>477957</v>
      </c>
      <c r="V719" s="10" t="str">
        <f>IFERROR(__xludf.DUMMYFUNCTION("GOOGLETRANSLATE(D719,""my"", ""en"")"),"251243")</f>
        <v>251243</v>
      </c>
      <c r="W719" s="10" t="str">
        <f>IFERROR(__xludf.DUMMYFUNCTION("GOOGLETRANSLATE(E719,""my"", ""en"")"),"78277")</f>
        <v>78277</v>
      </c>
      <c r="X719" s="10" t="str">
        <f>IFERROR(__xludf.DUMMYFUNCTION("GOOGLETRANSLATE(F719,""my"", ""en"")"),"329520")</f>
        <v>329520</v>
      </c>
      <c r="Y719" s="10" t="str">
        <f>IFERROR(__xludf.DUMMYFUNCTION("GOOGLETRANSLATE(G719,""my"", ""en"")"),"68.94")</f>
        <v>68.94</v>
      </c>
      <c r="Z719" s="10" t="str">
        <f>IFERROR(__xludf.DUMMYFUNCTION("GOOGLETRANSLATE(H719,""my"", ""en"")"),"13227")</f>
        <v>13227</v>
      </c>
      <c r="AA719" s="10" t="str">
        <f>IFERROR(__xludf.DUMMYFUNCTION("GOOGLETRANSLATE(I719,""my"", ""en"")"),"721")</f>
        <v>721</v>
      </c>
      <c r="AB719" s="10" t="str">
        <f>IFERROR(__xludf.DUMMYFUNCTION("GOOGLETRANSLATE(J719,""my"", ""en"")"),"13948")</f>
        <v>13948</v>
      </c>
      <c r="AE719" s="10" t="str">
        <f>IFERROR(__xludf.DUMMYFUNCTION("GOOGLETRANSLATE(M719,""my"", ""en"")"),"238203")</f>
        <v>238203</v>
      </c>
      <c r="AF719" s="10" t="str">
        <f>IFERROR(__xludf.DUMMYFUNCTION("GOOGLETRANSLATE(N719,""my"", ""en"")"),"77369")</f>
        <v>77369</v>
      </c>
      <c r="AG719" s="10" t="str">
        <f>IFERROR(__xludf.DUMMYFUNCTION("GOOGLETRANSLATE(O719,""my"", ""en"")"),"315572")</f>
        <v>315572</v>
      </c>
    </row>
    <row r="720" ht="22.5" customHeight="1">
      <c r="A720" s="28" t="s">
        <v>5239</v>
      </c>
      <c r="B720" s="17" t="s">
        <v>5240</v>
      </c>
      <c r="C720" s="18" t="s">
        <v>5241</v>
      </c>
      <c r="D720" s="17" t="s">
        <v>5242</v>
      </c>
      <c r="E720" s="18" t="s">
        <v>5243</v>
      </c>
      <c r="F720" s="18" t="s">
        <v>5244</v>
      </c>
      <c r="G720" s="18" t="s">
        <v>5245</v>
      </c>
      <c r="H720" s="18" t="s">
        <v>5246</v>
      </c>
      <c r="I720" s="18" t="s">
        <v>5247</v>
      </c>
      <c r="J720" s="18" t="s">
        <v>5248</v>
      </c>
      <c r="K720" s="27"/>
      <c r="L720" s="27"/>
      <c r="M720" s="18" t="s">
        <v>5249</v>
      </c>
      <c r="N720" s="18" t="s">
        <v>5250</v>
      </c>
      <c r="O720" s="18" t="s">
        <v>5251</v>
      </c>
      <c r="P720" s="27"/>
      <c r="S720" s="10" t="str">
        <f>IFERROR(__xludf.DUMMYFUNCTION("GOOGLETRANSLATE(A720,""my"", ""en"")"),"121")</f>
        <v>121</v>
      </c>
      <c r="T720" s="10" t="str">
        <f>IFERROR(__xludf.DUMMYFUNCTION("GOOGLETRANSLATE(B720,""my"", ""en"")"),"မဲဆ  No. (1)")</f>
        <v>မဲဆ  No. (1)</v>
      </c>
      <c r="U720" s="10" t="str">
        <f>IFERROR(__xludf.DUMMYFUNCTION("GOOGLETRANSLATE(C720,""my"", ""en"")"),"89292")</f>
        <v>89292</v>
      </c>
      <c r="V720" s="10" t="str">
        <f>IFERROR(__xludf.DUMMYFUNCTION("GOOGLETRANSLATE(D720,""my"", ""en"")"),"42309")</f>
        <v>42309</v>
      </c>
      <c r="W720" s="10" t="str">
        <f>IFERROR(__xludf.DUMMYFUNCTION("GOOGLETRANSLATE(E720,""my"", ""en"")"),"16956")</f>
        <v>16956</v>
      </c>
      <c r="X720" s="10" t="str">
        <f>IFERROR(__xludf.DUMMYFUNCTION("GOOGLETRANSLATE(F720,""my"", ""en"")"),"59265")</f>
        <v>59265</v>
      </c>
      <c r="Y720" s="10" t="str">
        <f>IFERROR(__xludf.DUMMYFUNCTION("GOOGLETRANSLATE(G720,""my"", ""en"")"),"66.37")</f>
        <v>66.37</v>
      </c>
      <c r="Z720" s="10" t="str">
        <f>IFERROR(__xludf.DUMMYFUNCTION("GOOGLETRANSLATE(H720,""my"", ""en"")"),"2406")</f>
        <v>2406</v>
      </c>
      <c r="AA720" s="10" t="str">
        <f>IFERROR(__xludf.DUMMYFUNCTION("GOOGLETRANSLATE(I720,""my"", ""en"")"),"8")</f>
        <v>8</v>
      </c>
      <c r="AB720" s="10" t="str">
        <f>IFERROR(__xludf.DUMMYFUNCTION("GOOGLETRANSLATE(J720,""my"", ""en"")"),"2414")</f>
        <v>2414</v>
      </c>
      <c r="AE720" s="10" t="str">
        <f>IFERROR(__xludf.DUMMYFUNCTION("GOOGLETRANSLATE(M720,""my"", ""en"")"),"39904")</f>
        <v>39904</v>
      </c>
      <c r="AF720" s="10" t="str">
        <f>IFERROR(__xludf.DUMMYFUNCTION("GOOGLETRANSLATE(N720,""my"", ""en"")"),"16947")</f>
        <v>16947</v>
      </c>
      <c r="AG720" s="10" t="str">
        <f>IFERROR(__xludf.DUMMYFUNCTION("GOOGLETRANSLATE(O720,""my"", ""en"")"),"56851")</f>
        <v>56851</v>
      </c>
    </row>
    <row r="721" ht="36.75" customHeigh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2" t="s">
        <v>5252</v>
      </c>
      <c r="L721" s="23" t="s">
        <v>5253</v>
      </c>
      <c r="M721" s="24" t="s">
        <v>5254</v>
      </c>
      <c r="N721" s="24" t="s">
        <v>5255</v>
      </c>
      <c r="O721" s="24" t="s">
        <v>5256</v>
      </c>
      <c r="P721" s="31" t="s">
        <v>5257</v>
      </c>
      <c r="AC721" s="10" t="str">
        <f>IFERROR(__xludf.DUMMYFUNCTION("GOOGLETRANSLATE(K721,""my"", ""en"")"),"ေဒ    (b)
ေဒ million ")</f>
        <v>ေဒ    (b)
ေဒ million </v>
      </c>
      <c r="AD721" s="10" t="str">
        <f>IFERROR(__xludf.DUMMYFUNCTION("GOOGLETRANSLATE(L721,""my"", ""en"")"),"Rakhine  Game Party")</f>
        <v>Rakhine  Game Party</v>
      </c>
      <c r="AE721" s="10" t="str">
        <f>IFERROR(__xludf.DUMMYFUNCTION("GOOGLETRANSLATE(M721,""my"", ""en"")"),"14185")</f>
        <v>14185</v>
      </c>
      <c r="AF721" s="10" t="str">
        <f>IFERROR(__xludf.DUMMYFUNCTION("GOOGLETRANSLATE(N721,""my"", ""en"")"),"5124")</f>
        <v>5124</v>
      </c>
      <c r="AG721" s="10" t="str">
        <f>IFERROR(__xludf.DUMMYFUNCTION("GOOGLETRANSLATE(O721,""my"", ""en"")"),"19309")</f>
        <v>19309</v>
      </c>
      <c r="AH721" s="10" t="str">
        <f>IFERROR(__xludf.DUMMYFUNCTION("GOOGLETRANSLATE(P721,""my"", ""en"")"),"33.96%")</f>
        <v>33.96%</v>
      </c>
    </row>
    <row r="722" ht="21.75" customHeigh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3" t="s">
        <v>5258</v>
      </c>
      <c r="L722" s="23" t="s">
        <v>5259</v>
      </c>
      <c r="M722" s="24" t="s">
        <v>5260</v>
      </c>
      <c r="N722" s="24" t="s">
        <v>5261</v>
      </c>
      <c r="O722" s="24" t="s">
        <v>5262</v>
      </c>
      <c r="P722" s="25" t="s">
        <v>5263</v>
      </c>
      <c r="AC722" s="10" t="str">
        <f>IFERROR(__xludf.DUMMYFUNCTION("GOOGLETRANSLATE(K722,""my"", ""en"")"),"ေကျာ Lwin")</f>
        <v>ေကျာ Lwin</v>
      </c>
      <c r="AD722" s="10" t="str">
        <f>IFERROR(__xludf.DUMMYFUNCTION("GOOGLETRANSLATE(L722,""my"", ""en"")"),"Personal ")</f>
        <v>Personal </v>
      </c>
      <c r="AE722" s="10" t="str">
        <f>IFERROR(__xludf.DUMMYFUNCTION("GOOGLETRANSLATE(M722,""my"", ""en"")"),"10401")</f>
        <v>10401</v>
      </c>
      <c r="AF722" s="10" t="str">
        <f>IFERROR(__xludf.DUMMYFUNCTION("GOOGLETRANSLATE(N722,""my"", ""en"")"),"3008")</f>
        <v>3008</v>
      </c>
      <c r="AG722" s="10" t="str">
        <f>IFERROR(__xludf.DUMMYFUNCTION("GOOGLETRANSLATE(O722,""my"", ""en"")"),"13409")</f>
        <v>13409</v>
      </c>
      <c r="AH722" s="10" t="str">
        <f>IFERROR(__xludf.DUMMYFUNCTION("GOOGLETRANSLATE(P722,""my"", ""en"")"),"23.59%")</f>
        <v>23.59%</v>
      </c>
    </row>
    <row r="723" ht="22.5" customHeigh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3" t="s">
        <v>5264</v>
      </c>
      <c r="L723" s="23" t="s">
        <v>5265</v>
      </c>
      <c r="M723" s="24" t="s">
        <v>5266</v>
      </c>
      <c r="N723" s="24" t="s">
        <v>5267</v>
      </c>
      <c r="O723" s="24" t="s">
        <v>5268</v>
      </c>
      <c r="P723" s="25" t="s">
        <v>5269</v>
      </c>
      <c r="AC723" s="10" t="str">
        <f>IFERROR(__xludf.DUMMYFUNCTION("GOOGLETRANSLATE(K723,""my"", ""en"")"),"Thin ")</f>
        <v>Thin </v>
      </c>
      <c r="AD723" s="10" t="str">
        <f>IFERROR(__xludf.DUMMYFUNCTION("GOOGLETRANSLATE(L723,""my"", ""en"")"),"In the Rakhine Democracy group   Party")</f>
        <v>In the Rakhine Democracy group   Party</v>
      </c>
      <c r="AE723" s="10" t="str">
        <f>IFERROR(__xludf.DUMMYFUNCTION("GOOGLETRANSLATE(M723,""my"", ""en"")"),"6772")</f>
        <v>6772</v>
      </c>
      <c r="AF723" s="10" t="str">
        <f>IFERROR(__xludf.DUMMYFUNCTION("GOOGLETRANSLATE(N723,""my"", ""en"")"),"2882")</f>
        <v>2882</v>
      </c>
      <c r="AG723" s="10" t="str">
        <f>IFERROR(__xludf.DUMMYFUNCTION("GOOGLETRANSLATE(O723,""my"", ""en"")"),"9654")</f>
        <v>9654</v>
      </c>
      <c r="AH723" s="10" t="str">
        <f>IFERROR(__xludf.DUMMYFUNCTION("GOOGLETRANSLATE(P723,""my"", ""en"")"),"16.98%")</f>
        <v>16.98%</v>
      </c>
    </row>
    <row r="724" ht="25.5" customHeigh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3" t="s">
        <v>5270</v>
      </c>
      <c r="L724" s="23" t="s">
        <v>5271</v>
      </c>
      <c r="M724" s="24" t="s">
        <v>5272</v>
      </c>
      <c r="N724" s="24" t="s">
        <v>5273</v>
      </c>
      <c r="O724" s="24" t="s">
        <v>5274</v>
      </c>
      <c r="P724" s="25" t="s">
        <v>5275</v>
      </c>
      <c r="AC724" s="10" t="str">
        <f>IFERROR(__xludf.DUMMYFUNCTION("GOOGLETRANSLATE(K724,""my"", ""en"")"),"Thein level ")</f>
        <v>Thein level </v>
      </c>
      <c r="AD724" s="10" t="str">
        <f>IFERROR(__xludf.DUMMYFUNCTION("GOOGLETRANSLATE(L724,""my"", ""en"")"),"Local ေထာင် soap-stone strong ေရး  under development  Phil  ေရး Party")</f>
        <v>Local ေထာင် soap-stone strong ေရး  under development  Phil  ေရး Party</v>
      </c>
      <c r="AE724" s="10" t="str">
        <f>IFERROR(__xludf.DUMMYFUNCTION("GOOGLETRANSLATE(M724,""my"", ""en"")"),"4034")</f>
        <v>4034</v>
      </c>
      <c r="AF724" s="10" t="str">
        <f>IFERROR(__xludf.DUMMYFUNCTION("GOOGLETRANSLATE(N724,""my"", ""en"")"),"3559")</f>
        <v>3559</v>
      </c>
      <c r="AG724" s="10" t="str">
        <f>IFERROR(__xludf.DUMMYFUNCTION("GOOGLETRANSLATE(O724,""my"", ""en"")"),"7593")</f>
        <v>7593</v>
      </c>
      <c r="AH724" s="10" t="str">
        <f>IFERROR(__xludf.DUMMYFUNCTION("GOOGLETRANSLATE(P724,""my"", ""en"")"),"13.36%")</f>
        <v>13.36%</v>
      </c>
    </row>
    <row r="725" ht="24.75" customHeigh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3" t="s">
        <v>5276</v>
      </c>
      <c r="L725" s="23" t="s">
        <v>5277</v>
      </c>
      <c r="M725" s="24" t="s">
        <v>5278</v>
      </c>
      <c r="N725" s="24" t="s">
        <v>5279</v>
      </c>
      <c r="O725" s="24" t="s">
        <v>5280</v>
      </c>
      <c r="P725" s="25" t="s">
        <v>5281</v>
      </c>
      <c r="AC725" s="10" t="str">
        <f>IFERROR(__xludf.DUMMYFUNCTION("GOOGLETRANSLATE(K725,""my"", ""en"")"),"San ေဝ")</f>
        <v>San ေဝ</v>
      </c>
      <c r="AD725" s="10" t="str">
        <f>IFERROR(__xludf.DUMMYFUNCTION("GOOGLETRANSLATE(L725,""my"", ""en"")")," Game Democracy group   Pop Party")</f>
        <v> Game Democracy group   Pop Party</v>
      </c>
      <c r="AE725" s="10" t="str">
        <f>IFERROR(__xludf.DUMMYFUNCTION("GOOGLETRANSLATE(M725,""my"", ""en"")"),"4512")</f>
        <v>4512</v>
      </c>
      <c r="AF725" s="10" t="str">
        <f>IFERROR(__xludf.DUMMYFUNCTION("GOOGLETRANSLATE(N725,""my"", ""en"")"),"2374")</f>
        <v>2374</v>
      </c>
      <c r="AG725" s="10" t="str">
        <f>IFERROR(__xludf.DUMMYFUNCTION("GOOGLETRANSLATE(O725,""my"", ""en"")"),"6886")</f>
        <v>6886</v>
      </c>
      <c r="AH725" s="10" t="str">
        <f>IFERROR(__xludf.DUMMYFUNCTION("GOOGLETRANSLATE(P725,""my"", ""en"")"),"12.11%")</f>
        <v>12.11%</v>
      </c>
    </row>
    <row r="726" ht="24.75" customHeight="1">
      <c r="A726" s="28" t="s">
        <v>5282</v>
      </c>
      <c r="B726" s="17" t="s">
        <v>5283</v>
      </c>
      <c r="C726" s="18" t="s">
        <v>5284</v>
      </c>
      <c r="D726" s="17" t="s">
        <v>5285</v>
      </c>
      <c r="E726" s="18" t="s">
        <v>5286</v>
      </c>
      <c r="F726" s="18" t="s">
        <v>5287</v>
      </c>
      <c r="G726" s="18" t="s">
        <v>5288</v>
      </c>
      <c r="H726" s="18" t="s">
        <v>5289</v>
      </c>
      <c r="I726" s="18" t="s">
        <v>5290</v>
      </c>
      <c r="J726" s="18" t="s">
        <v>5291</v>
      </c>
      <c r="K726" s="27"/>
      <c r="L726" s="27"/>
      <c r="M726" s="18" t="s">
        <v>5292</v>
      </c>
      <c r="N726" s="18" t="s">
        <v>5293</v>
      </c>
      <c r="O726" s="18" t="s">
        <v>5294</v>
      </c>
      <c r="P726" s="27"/>
      <c r="S726" s="10" t="str">
        <f>IFERROR(__xludf.DUMMYFUNCTION("GOOGLETRANSLATE(A726,""my"", ""en"")"),"122")</f>
        <v>122</v>
      </c>
      <c r="T726" s="10" t="str">
        <f>IFERROR(__xludf.DUMMYFUNCTION("GOOGLETRANSLATE(B726,""my"", ""en"")"),"မဲဆ  No. (2)")</f>
        <v>မဲဆ  No. (2)</v>
      </c>
      <c r="U726" s="10" t="str">
        <f>IFERROR(__xludf.DUMMYFUNCTION("GOOGLETRANSLATE(C726,""my"", ""en"")"),"103603")</f>
        <v>103603</v>
      </c>
      <c r="V726" s="10" t="str">
        <f>IFERROR(__xludf.DUMMYFUNCTION("GOOGLETRANSLATE(D726,""my"", ""en"")"),"56181")</f>
        <v>56181</v>
      </c>
      <c r="W726" s="10" t="str">
        <f>IFERROR(__xludf.DUMMYFUNCTION("GOOGLETRANSLATE(E726,""my"", ""en"")"),"13179")</f>
        <v>13179</v>
      </c>
      <c r="X726" s="10" t="str">
        <f>IFERROR(__xludf.DUMMYFUNCTION("GOOGLETRANSLATE(F726,""my"", ""en"")"),"69360")</f>
        <v>69360</v>
      </c>
      <c r="Y726" s="10" t="str">
        <f>IFERROR(__xludf.DUMMYFUNCTION("GOOGLETRANSLATE(G726,""my"", ""en"")"),"66.95")</f>
        <v>66.95</v>
      </c>
      <c r="Z726" s="10" t="str">
        <f>IFERROR(__xludf.DUMMYFUNCTION("GOOGLETRANSLATE(H726,""my"", ""en"")"),"3721")</f>
        <v>3721</v>
      </c>
      <c r="AA726" s="10" t="str">
        <f>IFERROR(__xludf.DUMMYFUNCTION("GOOGLETRANSLATE(I726,""my"", ""en"")"),"470")</f>
        <v>470</v>
      </c>
      <c r="AB726" s="10" t="str">
        <f>IFERROR(__xludf.DUMMYFUNCTION("GOOGLETRANSLATE(J726,""my"", ""en"")"),"4191")</f>
        <v>4191</v>
      </c>
      <c r="AE726" s="10" t="str">
        <f>IFERROR(__xludf.DUMMYFUNCTION("GOOGLETRANSLATE(M726,""my"", ""en"")"),"52355")</f>
        <v>52355</v>
      </c>
      <c r="AF726" s="10" t="str">
        <f>IFERROR(__xludf.DUMMYFUNCTION("GOOGLETRANSLATE(N726,""my"", ""en"")"),"12814")</f>
        <v>12814</v>
      </c>
      <c r="AG726" s="10" t="str">
        <f>IFERROR(__xludf.DUMMYFUNCTION("GOOGLETRANSLATE(O726,""my"", ""en"")"),"65169")</f>
        <v>65169</v>
      </c>
    </row>
    <row r="727" ht="25.5" customHeigh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3" t="s">
        <v>5295</v>
      </c>
      <c r="L727" s="23" t="s">
        <v>5296</v>
      </c>
      <c r="M727" s="24" t="s">
        <v>5297</v>
      </c>
      <c r="N727" s="24" t="s">
        <v>5298</v>
      </c>
      <c r="O727" s="24" t="s">
        <v>5299</v>
      </c>
      <c r="P727" s="25" t="s">
        <v>5300</v>
      </c>
      <c r="AC727" s="10" t="str">
        <f>IFERROR(__xludf.DUMMYFUNCTION("GOOGLETRANSLATE(K727,""my"", ""en"")"),"ေကျာ  answer")</f>
        <v>ေကျာ  answer</v>
      </c>
      <c r="AD727" s="10" t="str">
        <f>IFERROR(__xludf.DUMMYFUNCTION("GOOGLETRANSLATE(L727,""my"", ""en"")"),"Rakhine  Game Party")</f>
        <v>Rakhine  Game Party</v>
      </c>
      <c r="AE727" s="10" t="str">
        <f>IFERROR(__xludf.DUMMYFUNCTION("GOOGLETRANSLATE(M727,""my"", ""en"")"),"19471")</f>
        <v>19471</v>
      </c>
      <c r="AF727" s="10" t="str">
        <f>IFERROR(__xludf.DUMMYFUNCTION("GOOGLETRANSLATE(N727,""my"", ""en"")"),"3592")</f>
        <v>3592</v>
      </c>
      <c r="AG727" s="10" t="str">
        <f>IFERROR(__xludf.DUMMYFUNCTION("GOOGLETRANSLATE(O727,""my"", ""en"")"),"23063")</f>
        <v>23063</v>
      </c>
      <c r="AH727" s="10" t="str">
        <f>IFERROR(__xludf.DUMMYFUNCTION("GOOGLETRANSLATE(P727,""my"", ""en"")"),"35.39%")</f>
        <v>35.39%</v>
      </c>
    </row>
    <row r="728" ht="24.75" customHeigh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3" t="s">
        <v>5301</v>
      </c>
      <c r="L728" s="23" t="s">
        <v>5302</v>
      </c>
      <c r="M728" s="24" t="s">
        <v>5303</v>
      </c>
      <c r="N728" s="24" t="s">
        <v>5304</v>
      </c>
      <c r="O728" s="24" t="s">
        <v>5305</v>
      </c>
      <c r="P728" s="25" t="s">
        <v>5306</v>
      </c>
      <c r="AC728" s="10" t="str">
        <f>IFERROR(__xludf.DUMMYFUNCTION("GOOGLETRANSLATE(K728,""my"", ""en"")"),"ေသာင်း Win")</f>
        <v>ေသာင်း Win</v>
      </c>
      <c r="AD728" s="10" t="str">
        <f>IFERROR(__xludf.DUMMYFUNCTION("GOOGLETRANSLATE(L728,""my"", ""en"")"),"Local ေထာင် soap-stone strong ေရး  under development  Phil  ေရး Party")</f>
        <v>Local ေထာင် soap-stone strong ေရး  under development  Phil  ေရး Party</v>
      </c>
      <c r="AE728" s="10" t="str">
        <f>IFERROR(__xludf.DUMMYFUNCTION("GOOGLETRANSLATE(M728,""my"", ""en"")"),"10153")</f>
        <v>10153</v>
      </c>
      <c r="AF728" s="10" t="str">
        <f>IFERROR(__xludf.DUMMYFUNCTION("GOOGLETRANSLATE(N728,""my"", ""en"")"),"4449")</f>
        <v>4449</v>
      </c>
      <c r="AG728" s="10" t="str">
        <f>IFERROR(__xludf.DUMMYFUNCTION("GOOGLETRANSLATE(O728,""my"", ""en"")"),"14602")</f>
        <v>14602</v>
      </c>
      <c r="AH728" s="10" t="str">
        <f>IFERROR(__xludf.DUMMYFUNCTION("GOOGLETRANSLATE(P728,""my"", ""en"")"),"22.41%")</f>
        <v>22.41%</v>
      </c>
    </row>
    <row r="729" ht="24.75" customHeigh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3" t="s">
        <v>5307</v>
      </c>
      <c r="L729" s="23" t="s">
        <v>5308</v>
      </c>
      <c r="M729" s="24" t="s">
        <v>5309</v>
      </c>
      <c r="N729" s="24" t="s">
        <v>5310</v>
      </c>
      <c r="O729" s="24" t="s">
        <v>5311</v>
      </c>
      <c r="P729" s="25" t="s">
        <v>5312</v>
      </c>
      <c r="AC729" s="10" t="str">
        <f>IFERROR(__xludf.DUMMYFUNCTION("GOOGLETRANSLATE(K729,""my"", ""en"")"),"San ေအာင်")</f>
        <v>San ေအာင်</v>
      </c>
      <c r="AD729" s="10" t="str">
        <f>IFERROR(__xludf.DUMMYFUNCTION("GOOGLETRANSLATE(L729,""my"", ""en"")"),"In the Rakhine Democracy group   Party")</f>
        <v>In the Rakhine Democracy group   Party</v>
      </c>
      <c r="AE729" s="10" t="str">
        <f>IFERROR(__xludf.DUMMYFUNCTION("GOOGLETRANSLATE(M729,""my"", ""en"")"),"9293")</f>
        <v>9293</v>
      </c>
      <c r="AF729" s="10" t="str">
        <f>IFERROR(__xludf.DUMMYFUNCTION("GOOGLETRANSLATE(N729,""my"", ""en"")"),"2103")</f>
        <v>2103</v>
      </c>
      <c r="AG729" s="10" t="str">
        <f>IFERROR(__xludf.DUMMYFUNCTION("GOOGLETRANSLATE(O729,""my"", ""en"")"),"11396")</f>
        <v>11396</v>
      </c>
      <c r="AH729" s="10" t="str">
        <f>IFERROR(__xludf.DUMMYFUNCTION("GOOGLETRANSLATE(P729,""my"", ""en"")"),"17.49%")</f>
        <v>17.49%</v>
      </c>
    </row>
    <row r="730" ht="24.75" customHeigh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3" t="s">
        <v>5313</v>
      </c>
      <c r="L730" s="23" t="s">
        <v>5314</v>
      </c>
      <c r="M730" s="24" t="s">
        <v>5315</v>
      </c>
      <c r="N730" s="24" t="s">
        <v>5316</v>
      </c>
      <c r="O730" s="24" t="s">
        <v>5317</v>
      </c>
      <c r="P730" s="25" t="s">
        <v>5318</v>
      </c>
      <c r="AC730" s="10" t="str">
        <f>IFERROR(__xludf.DUMMYFUNCTION("GOOGLETRANSLATE(K730,""my"", ""en"")")," Cashier")</f>
        <v> Cashier</v>
      </c>
      <c r="AD730" s="10" t="str">
        <f>IFERROR(__xludf.DUMMYFUNCTION("GOOGLETRANSLATE(L730,""my"", ""en"")")," Game Democracy group   Pop Party")</f>
        <v> Game Democracy group   Pop Party</v>
      </c>
      <c r="AE730" s="10" t="str">
        <f>IFERROR(__xludf.DUMMYFUNCTION("GOOGLETRANSLATE(M730,""my"", ""en"")"),"6786")</f>
        <v>6786</v>
      </c>
      <c r="AF730" s="10" t="str">
        <f>IFERROR(__xludf.DUMMYFUNCTION("GOOGLETRANSLATE(N730,""my"", ""en"")"),"1468")</f>
        <v>1468</v>
      </c>
      <c r="AG730" s="10" t="str">
        <f>IFERROR(__xludf.DUMMYFUNCTION("GOOGLETRANSLATE(O730,""my"", ""en"")"),"8254")</f>
        <v>8254</v>
      </c>
      <c r="AH730" s="10" t="str">
        <f>IFERROR(__xludf.DUMMYFUNCTION("GOOGLETRANSLATE(P730,""my"", ""en"")"),"12.66%")</f>
        <v>12.66%</v>
      </c>
    </row>
    <row r="731" ht="25.5" customHeigh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3" t="s">
        <v>5319</v>
      </c>
      <c r="L731" s="23" t="s">
        <v>5320</v>
      </c>
      <c r="M731" s="24" t="s">
        <v>5321</v>
      </c>
      <c r="N731" s="24" t="s">
        <v>5322</v>
      </c>
      <c r="O731" s="24" t="s">
        <v>5323</v>
      </c>
      <c r="P731" s="25" t="s">
        <v>5324</v>
      </c>
      <c r="AC731" s="10" t="str">
        <f>IFERROR(__xludf.DUMMYFUNCTION("GOOGLETRANSLATE(K731,""my"", ""en"")"),"Tun ဝင်းလတ်")</f>
        <v>Tun ဝင်းလတ်</v>
      </c>
      <c r="AD731" s="10" t="str">
        <f>IFERROR(__xludf.DUMMYFUNCTION("GOOGLETRANSLATE(L731,""my"", ""en"")"),"There's a party ေဆာင်")</f>
        <v>There's a party ေဆာင်</v>
      </c>
      <c r="AE731" s="10" t="str">
        <f>IFERROR(__xludf.DUMMYFUNCTION("GOOGLETRANSLATE(M731,""my"", ""en"")"),"6652")</f>
        <v>6652</v>
      </c>
      <c r="AF731" s="10" t="str">
        <f>IFERROR(__xludf.DUMMYFUNCTION("GOOGLETRANSLATE(N731,""my"", ""en"")"),"1202")</f>
        <v>1202</v>
      </c>
      <c r="AG731" s="10" t="str">
        <f>IFERROR(__xludf.DUMMYFUNCTION("GOOGLETRANSLATE(O731,""my"", ""en"")"),"7854")</f>
        <v>7854</v>
      </c>
      <c r="AH731" s="10" t="str">
        <f>IFERROR(__xludf.DUMMYFUNCTION("GOOGLETRANSLATE(P731,""my"", ""en"")"),"12.05%")</f>
        <v>12.05%</v>
      </c>
    </row>
    <row r="732" ht="24.75" customHeight="1">
      <c r="A732" s="28" t="s">
        <v>5325</v>
      </c>
      <c r="B732" s="17" t="s">
        <v>5326</v>
      </c>
      <c r="C732" s="18" t="s">
        <v>5327</v>
      </c>
      <c r="D732" s="17" t="s">
        <v>5328</v>
      </c>
      <c r="E732" s="18" t="s">
        <v>5329</v>
      </c>
      <c r="F732" s="18" t="s">
        <v>5330</v>
      </c>
      <c r="G732" s="18" t="s">
        <v>5331</v>
      </c>
      <c r="H732" s="18" t="s">
        <v>5332</v>
      </c>
      <c r="I732" s="18" t="s">
        <v>5333</v>
      </c>
      <c r="J732" s="18" t="s">
        <v>5334</v>
      </c>
      <c r="K732" s="27"/>
      <c r="L732" s="27"/>
      <c r="M732" s="18" t="s">
        <v>5335</v>
      </c>
      <c r="N732" s="18" t="s">
        <v>5336</v>
      </c>
      <c r="O732" s="18" t="s">
        <v>5337</v>
      </c>
      <c r="P732" s="27"/>
      <c r="S732" s="10" t="str">
        <f>IFERROR(__xludf.DUMMYFUNCTION("GOOGLETRANSLATE(A732,""my"", ""en"")"),"123")</f>
        <v>123</v>
      </c>
      <c r="T732" s="10" t="str">
        <f>IFERROR(__xludf.DUMMYFUNCTION("GOOGLETRANSLATE(B732,""my"", ""en"")"),"မဲဆ  No. (3)")</f>
        <v>မဲဆ  No. (3)</v>
      </c>
      <c r="U732" s="10" t="str">
        <f>IFERROR(__xludf.DUMMYFUNCTION("GOOGLETRANSLATE(C732,""my"", ""en"")"),"107232")</f>
        <v>107232</v>
      </c>
      <c r="V732" s="10" t="str">
        <f>IFERROR(__xludf.DUMMYFUNCTION("GOOGLETRANSLATE(D732,""my"", ""en"")"),"46170")</f>
        <v>46170</v>
      </c>
      <c r="W732" s="10" t="str">
        <f>IFERROR(__xludf.DUMMYFUNCTION("GOOGLETRANSLATE(E732,""my"", ""en"")"),"12951")</f>
        <v>12951</v>
      </c>
      <c r="X732" s="10" t="str">
        <f>IFERROR(__xludf.DUMMYFUNCTION("GOOGLETRANSLATE(F732,""my"", ""en"")"),"59121")</f>
        <v>59121</v>
      </c>
      <c r="Y732" s="10" t="str">
        <f>IFERROR(__xludf.DUMMYFUNCTION("GOOGLETRANSLATE(G732,""my"", ""en"")"),"55.13")</f>
        <v>55.13</v>
      </c>
      <c r="Z732" s="10" t="str">
        <f>IFERROR(__xludf.DUMMYFUNCTION("GOOGLETRANSLATE(H732,""my"", ""en"")"),"2272")</f>
        <v>2272</v>
      </c>
      <c r="AA732" s="10" t="str">
        <f>IFERROR(__xludf.DUMMYFUNCTION("GOOGLETRANSLATE(I732,""my"", ""en"")"),"100")</f>
        <v>100</v>
      </c>
      <c r="AB732" s="10" t="str">
        <f>IFERROR(__xludf.DUMMYFUNCTION("GOOGLETRANSLATE(J732,""my"", ""en"")"),"2372")</f>
        <v>2372</v>
      </c>
      <c r="AE732" s="10" t="str">
        <f>IFERROR(__xludf.DUMMYFUNCTION("GOOGLETRANSLATE(M732,""my"", ""en"")"),"43798")</f>
        <v>43798</v>
      </c>
      <c r="AF732" s="10" t="str">
        <f>IFERROR(__xludf.DUMMYFUNCTION("GOOGLETRANSLATE(N732,""my"", ""en"")"),"12951")</f>
        <v>12951</v>
      </c>
      <c r="AG732" s="10" t="str">
        <f>IFERROR(__xludf.DUMMYFUNCTION("GOOGLETRANSLATE(O732,""my"", ""en"")"),"56749")</f>
        <v>56749</v>
      </c>
    </row>
    <row r="733" ht="24.75" customHeigh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3" t="s">
        <v>5338</v>
      </c>
      <c r="L733" s="23" t="s">
        <v>5339</v>
      </c>
      <c r="M733" s="24" t="s">
        <v>5340</v>
      </c>
      <c r="N733" s="24" t="s">
        <v>5341</v>
      </c>
      <c r="O733" s="24" t="s">
        <v>5342</v>
      </c>
      <c r="P733" s="25" t="s">
        <v>5343</v>
      </c>
      <c r="AC733" s="10" t="str">
        <f>IFERROR(__xludf.DUMMYFUNCTION("GOOGLETRANSLATE(K733,""my"", ""en"")"),"Tun ေအာင် ေကျာ")</f>
        <v>Tun ေအာင် ေကျာ</v>
      </c>
      <c r="AD733" s="10" t="str">
        <f>IFERROR(__xludf.DUMMYFUNCTION("GOOGLETRANSLATE(L733,""my"", ""en"")"),"Rakhine  Game Party")</f>
        <v>Rakhine  Game Party</v>
      </c>
      <c r="AE733" s="10" t="str">
        <f>IFERROR(__xludf.DUMMYFUNCTION("GOOGLETRANSLATE(M733,""my"", ""en"")"),"21268")</f>
        <v>21268</v>
      </c>
      <c r="AF733" s="10" t="str">
        <f>IFERROR(__xludf.DUMMYFUNCTION("GOOGLETRANSLATE(N733,""my"", ""en"")"),"4433")</f>
        <v>4433</v>
      </c>
      <c r="AG733" s="10" t="str">
        <f>IFERROR(__xludf.DUMMYFUNCTION("GOOGLETRANSLATE(O733,""my"", ""en"")"),"25701")</f>
        <v>25701</v>
      </c>
      <c r="AH733" s="10" t="str">
        <f>IFERROR(__xludf.DUMMYFUNCTION("GOOGLETRANSLATE(P733,""my"", ""en"")"),"45.29%")</f>
        <v>45.29%</v>
      </c>
    </row>
    <row r="734" ht="24.75" customHeigh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3" t="s">
        <v>5344</v>
      </c>
      <c r="L734" s="23" t="s">
        <v>5345</v>
      </c>
      <c r="M734" s="24" t="s">
        <v>5346</v>
      </c>
      <c r="N734" s="24" t="s">
        <v>5347</v>
      </c>
      <c r="O734" s="24" t="s">
        <v>5348</v>
      </c>
      <c r="P734" s="25" t="s">
        <v>5349</v>
      </c>
      <c r="AC734" s="10" t="str">
        <f>IFERROR(__xludf.DUMMYFUNCTION("GOOGLETRANSLATE(K734,""my"", ""en"")"),"ေကျာ ေဇာ")</f>
        <v>ေကျာ ေဇာ</v>
      </c>
      <c r="AD734" s="10" t="str">
        <f>IFERROR(__xludf.DUMMYFUNCTION("GOOGLETRANSLATE(L734,""my"", ""en"")"),"There's a party ေဆာင်")</f>
        <v>There's a party ေဆာင်</v>
      </c>
      <c r="AE734" s="10" t="str">
        <f>IFERROR(__xludf.DUMMYFUNCTION("GOOGLETRANSLATE(M734,""my"", ""en"")"),"16755")</f>
        <v>16755</v>
      </c>
      <c r="AF734" s="10" t="str">
        <f>IFERROR(__xludf.DUMMYFUNCTION("GOOGLETRANSLATE(N734,""my"", ""en"")"),"2490")</f>
        <v>2490</v>
      </c>
      <c r="AG734" s="10" t="str">
        <f>IFERROR(__xludf.DUMMYFUNCTION("GOOGLETRANSLATE(O734,""my"", ""en"")"),"19245")</f>
        <v>19245</v>
      </c>
      <c r="AH734" s="10" t="str">
        <f>IFERROR(__xludf.DUMMYFUNCTION("GOOGLETRANSLATE(P734,""my"", ""en"")"),"33.91%")</f>
        <v>33.91%</v>
      </c>
    </row>
    <row r="735" ht="24.75" customHeigh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3" t="s">
        <v>5350</v>
      </c>
      <c r="L735" s="23" t="s">
        <v>5351</v>
      </c>
      <c r="M735" s="24" t="s">
        <v>5352</v>
      </c>
      <c r="N735" s="24" t="s">
        <v>5353</v>
      </c>
      <c r="O735" s="24" t="s">
        <v>5354</v>
      </c>
      <c r="P735" s="25" t="s">
        <v>5355</v>
      </c>
      <c r="AC735" s="10" t="str">
        <f>IFERROR(__xludf.DUMMYFUNCTION("GOOGLETRANSLATE(K735,""my"", ""en"")"),"San ေငွ")</f>
        <v>San ေငွ</v>
      </c>
      <c r="AD735" s="10" t="str">
        <f>IFERROR(__xludf.DUMMYFUNCTION("GOOGLETRANSLATE(L735,""my"", ""en"")"),"Local ေထာင် soap-stone strong ေရး  under development  Phil  ေရး Party")</f>
        <v>Local ေထာင် soap-stone strong ေရး  under development  Phil  ေရး Party</v>
      </c>
      <c r="AE735" s="10" t="str">
        <f>IFERROR(__xludf.DUMMYFUNCTION("GOOGLETRANSLATE(M735,""my"", ""en"")"),"3912")</f>
        <v>3912</v>
      </c>
      <c r="AF735" s="10" t="str">
        <f>IFERROR(__xludf.DUMMYFUNCTION("GOOGLETRANSLATE(N735,""my"", ""en"")"),"5165")</f>
        <v>5165</v>
      </c>
      <c r="AG735" s="10" t="str">
        <f>IFERROR(__xludf.DUMMYFUNCTION("GOOGLETRANSLATE(O735,""my"", ""en"")"),"9077")</f>
        <v>9077</v>
      </c>
      <c r="AH735" s="10" t="str">
        <f>IFERROR(__xludf.DUMMYFUNCTION("GOOGLETRANSLATE(P735,""my"", ""en"")"),"16.00%")</f>
        <v>16.00%</v>
      </c>
    </row>
    <row r="736" ht="25.5" customHeigh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3" t="s">
        <v>5356</v>
      </c>
      <c r="L736" s="23" t="s">
        <v>5357</v>
      </c>
      <c r="M736" s="24" t="s">
        <v>5358</v>
      </c>
      <c r="N736" s="24" t="s">
        <v>5359</v>
      </c>
      <c r="O736" s="24" t="s">
        <v>5360</v>
      </c>
      <c r="P736" s="25" t="s">
        <v>5361</v>
      </c>
      <c r="AC736" s="10" t="str">
        <f>IFERROR(__xludf.DUMMYFUNCTION("GOOGLETRANSLATE(K736,""my"", ""en"")"),"Khin ေမာင်")</f>
        <v>Khin ေမာင်</v>
      </c>
      <c r="AD736" s="10" t="str">
        <f>IFERROR(__xludf.DUMMYFUNCTION("GOOGLETRANSLATE(L736,""my"", ""en"")")," Game Democracy group   Pop Party")</f>
        <v> Game Democracy group   Pop Party</v>
      </c>
      <c r="AE736" s="10" t="str">
        <f>IFERROR(__xludf.DUMMYFUNCTION("GOOGLETRANSLATE(M736,""my"", ""en"")"),"1863")</f>
        <v>1863</v>
      </c>
      <c r="AF736" s="10" t="str">
        <f>IFERROR(__xludf.DUMMYFUNCTION("GOOGLETRANSLATE(N736,""my"", ""en"")"),"863")</f>
        <v>863</v>
      </c>
      <c r="AG736" s="10" t="str">
        <f>IFERROR(__xludf.DUMMYFUNCTION("GOOGLETRANSLATE(O736,""my"", ""en"")"),"2726")</f>
        <v>2726</v>
      </c>
      <c r="AH736" s="10" t="str">
        <f>IFERROR(__xludf.DUMMYFUNCTION("GOOGLETRANSLATE(P736,""my"", ""en"")"),"4.80%")</f>
        <v>4.80%</v>
      </c>
    </row>
    <row r="737" ht="24.75" customHeight="1">
      <c r="A737" s="28" t="s">
        <v>5362</v>
      </c>
      <c r="B737" s="17" t="s">
        <v>5363</v>
      </c>
      <c r="C737" s="18" t="s">
        <v>5364</v>
      </c>
      <c r="D737" s="17" t="s">
        <v>5365</v>
      </c>
      <c r="E737" s="18" t="s">
        <v>5366</v>
      </c>
      <c r="F737" s="18" t="s">
        <v>5367</v>
      </c>
      <c r="G737" s="18" t="s">
        <v>5368</v>
      </c>
      <c r="H737" s="18" t="s">
        <v>5369</v>
      </c>
      <c r="I737" s="18" t="s">
        <v>5370</v>
      </c>
      <c r="J737" s="18" t="s">
        <v>5371</v>
      </c>
      <c r="K737" s="27"/>
      <c r="L737" s="27"/>
      <c r="M737" s="18" t="s">
        <v>5372</v>
      </c>
      <c r="N737" s="18" t="s">
        <v>5373</v>
      </c>
      <c r="O737" s="18" t="s">
        <v>5374</v>
      </c>
      <c r="P737" s="27"/>
      <c r="S737" s="10" t="str">
        <f>IFERROR(__xludf.DUMMYFUNCTION("GOOGLETRANSLATE(A737,""my"", ""en"")"),"124")</f>
        <v>124</v>
      </c>
      <c r="T737" s="10" t="str">
        <f>IFERROR(__xludf.DUMMYFUNCTION("GOOGLETRANSLATE(B737,""my"", ""en"")"),"မဲဆ  No. (11)")</f>
        <v>မဲဆ  No. (11)</v>
      </c>
      <c r="U737" s="10" t="str">
        <f>IFERROR(__xludf.DUMMYFUNCTION("GOOGLETRANSLATE(C737,""my"", ""en"")"),"155878")</f>
        <v>155878</v>
      </c>
      <c r="V737" s="10" t="str">
        <f>IFERROR(__xludf.DUMMYFUNCTION("GOOGLETRANSLATE(D737,""my"", ""en"")"),"95408")</f>
        <v>95408</v>
      </c>
      <c r="W737" s="10" t="str">
        <f>IFERROR(__xludf.DUMMYFUNCTION("GOOGLETRANSLATE(E737,""my"", ""en"")"),"30790")</f>
        <v>30790</v>
      </c>
      <c r="X737" s="10" t="str">
        <f>IFERROR(__xludf.DUMMYFUNCTION("GOOGLETRANSLATE(F737,""my"", ""en"")"),"126198")</f>
        <v>126198</v>
      </c>
      <c r="Y737" s="10" t="str">
        <f>IFERROR(__xludf.DUMMYFUNCTION("GOOGLETRANSLATE(G737,""my"", ""en"")"),"80.96")</f>
        <v>80.96</v>
      </c>
      <c r="Z737" s="10" t="str">
        <f>IFERROR(__xludf.DUMMYFUNCTION("GOOGLETRANSLATE(H737,""my"", ""en"")"),"4412")</f>
        <v>4412</v>
      </c>
      <c r="AA737" s="10" t="str">
        <f>IFERROR(__xludf.DUMMYFUNCTION("GOOGLETRANSLATE(I737,""my"", ""en"")"),"134")</f>
        <v>134</v>
      </c>
      <c r="AB737" s="10" t="str">
        <f>IFERROR(__xludf.DUMMYFUNCTION("GOOGLETRANSLATE(J737,""my"", ""en"")"),"4546")</f>
        <v>4546</v>
      </c>
      <c r="AE737" s="10" t="str">
        <f>IFERROR(__xludf.DUMMYFUNCTION("GOOGLETRANSLATE(M737,""my"", ""en"")"),"91336")</f>
        <v>91336</v>
      </c>
      <c r="AF737" s="10" t="str">
        <f>IFERROR(__xludf.DUMMYFUNCTION("GOOGLETRANSLATE(N737,""my"", ""en"")"),"30316")</f>
        <v>30316</v>
      </c>
      <c r="AG737" s="10" t="str">
        <f>IFERROR(__xludf.DUMMYFUNCTION("GOOGLETRANSLATE(O737,""my"", ""en"")"),"121652")</f>
        <v>121652</v>
      </c>
    </row>
    <row r="738" ht="24.75" customHeigh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3" t="s">
        <v>5375</v>
      </c>
      <c r="L738" s="23" t="s">
        <v>5376</v>
      </c>
      <c r="M738" s="24" t="s">
        <v>5377</v>
      </c>
      <c r="N738" s="24" t="s">
        <v>5378</v>
      </c>
      <c r="O738" s="24" t="s">
        <v>5379</v>
      </c>
      <c r="P738" s="25" t="s">
        <v>5380</v>
      </c>
      <c r="AC738" s="10" t="str">
        <f>IFERROR(__xludf.DUMMYFUNCTION("GOOGLETRANSLATE(K738,""my"", ""en"")"),"Soe Win")</f>
        <v>Soe Win</v>
      </c>
      <c r="AD738" s="10" t="str">
        <f>IFERROR(__xludf.DUMMYFUNCTION("GOOGLETRANSLATE(L738,""my"", ""en"")")," Game Democracy group   Pop Party")</f>
        <v> Game Democracy group   Pop Party</v>
      </c>
      <c r="AE738" s="10" t="str">
        <f>IFERROR(__xludf.DUMMYFUNCTION("GOOGLETRANSLATE(M738,""my"", ""en"")"),"47217")</f>
        <v>47217</v>
      </c>
      <c r="AF738" s="10" t="str">
        <f>IFERROR(__xludf.DUMMYFUNCTION("GOOGLETRANSLATE(N738,""my"", ""en"")"),"15395")</f>
        <v>15395</v>
      </c>
      <c r="AG738" s="10" t="str">
        <f>IFERROR(__xludf.DUMMYFUNCTION("GOOGLETRANSLATE(O738,""my"", ""en"")"),"62612")</f>
        <v>62612</v>
      </c>
      <c r="AH738" s="10" t="str">
        <f>IFERROR(__xludf.DUMMYFUNCTION("GOOGLETRANSLATE(P738,""my"", ""en"")"),"51.46%")</f>
        <v>51.46%</v>
      </c>
    </row>
    <row r="739" ht="24.75" customHeigh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3" t="s">
        <v>5381</v>
      </c>
      <c r="L739" s="23" t="s">
        <v>5382</v>
      </c>
      <c r="M739" s="24" t="s">
        <v>5383</v>
      </c>
      <c r="N739" s="24" t="s">
        <v>5384</v>
      </c>
      <c r="O739" s="24" t="s">
        <v>5385</v>
      </c>
      <c r="P739" s="25" t="s">
        <v>5386</v>
      </c>
      <c r="AC739" s="10" t="str">
        <f>IFERROR(__xludf.DUMMYFUNCTION("GOOGLETRANSLATE(K739,""my"", ""en"")"),"Tin congress ")</f>
        <v>Tin congress </v>
      </c>
      <c r="AD739" s="10" t="str">
        <f>IFERROR(__xludf.DUMMYFUNCTION("GOOGLETRANSLATE(L739,""my"", ""en"")"),"Rakhine  Game Party")</f>
        <v>Rakhine  Game Party</v>
      </c>
      <c r="AE739" s="10" t="str">
        <f>IFERROR(__xludf.DUMMYFUNCTION("GOOGLETRANSLATE(M739,""my"", ""en"")"),"22630")</f>
        <v>22630</v>
      </c>
      <c r="AF739" s="10" t="str">
        <f>IFERROR(__xludf.DUMMYFUNCTION("GOOGLETRANSLATE(N739,""my"", ""en"")"),"6509")</f>
        <v>6509</v>
      </c>
      <c r="AG739" s="10" t="str">
        <f>IFERROR(__xludf.DUMMYFUNCTION("GOOGLETRANSLATE(O739,""my"", ""en"")"),"29139")</f>
        <v>29139</v>
      </c>
      <c r="AH739" s="10" t="str">
        <f>IFERROR(__xludf.DUMMYFUNCTION("GOOGLETRANSLATE(P739,""my"", ""en"")"),"23.95%")</f>
        <v>23.95%</v>
      </c>
    </row>
    <row r="740" ht="24.75" customHeigh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3" t="s">
        <v>5387</v>
      </c>
      <c r="L740" s="23" t="s">
        <v>5388</v>
      </c>
      <c r="M740" s="24" t="s">
        <v>5389</v>
      </c>
      <c r="N740" s="24" t="s">
        <v>5390</v>
      </c>
      <c r="O740" s="24" t="s">
        <v>5391</v>
      </c>
      <c r="P740" s="25" t="s">
        <v>5392</v>
      </c>
      <c r="AC740" s="10" t="str">
        <f>IFERROR(__xludf.DUMMYFUNCTION("GOOGLETRANSLATE(K740,""my"", ""en"")"),"Data ")</f>
        <v>Data </v>
      </c>
      <c r="AD740" s="10" t="str">
        <f>IFERROR(__xludf.DUMMYFUNCTION("GOOGLETRANSLATE(L740,""my"", ""en"")"),"Local ေထာင် soap-stone strong ေရး  under development  Phil  ေရး Party")</f>
        <v>Local ေထာင် soap-stone strong ေရး  under development  Phil  ေရး Party</v>
      </c>
      <c r="AE740" s="10" t="str">
        <f>IFERROR(__xludf.DUMMYFUNCTION("GOOGLETRANSLATE(M740,""my"", ""en"")"),"15806")</f>
        <v>15806</v>
      </c>
      <c r="AF740" s="10" t="str">
        <f>IFERROR(__xludf.DUMMYFUNCTION("GOOGLETRANSLATE(N740,""my"", ""en"")"),"6757")</f>
        <v>6757</v>
      </c>
      <c r="AG740" s="10" t="str">
        <f>IFERROR(__xludf.DUMMYFUNCTION("GOOGLETRANSLATE(O740,""my"", ""en"")"),"22563")</f>
        <v>22563</v>
      </c>
      <c r="AH740" s="10" t="str">
        <f>IFERROR(__xludf.DUMMYFUNCTION("GOOGLETRANSLATE(P740,""my"", ""en"")"),"18.55%")</f>
        <v>18.55%</v>
      </c>
    </row>
    <row r="741" ht="24.75" customHeigh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3" t="s">
        <v>5393</v>
      </c>
      <c r="L741" s="23" t="s">
        <v>5394</v>
      </c>
      <c r="M741" s="24" t="s">
        <v>5395</v>
      </c>
      <c r="N741" s="24" t="s">
        <v>5396</v>
      </c>
      <c r="O741" s="24" t="s">
        <v>5397</v>
      </c>
      <c r="P741" s="25" t="s">
        <v>5398</v>
      </c>
      <c r="AC741" s="10" t="str">
        <f>IFERROR(__xludf.DUMMYFUNCTION("GOOGLETRANSLATE(K741,""my"", ""en"")"),"Data  over ")</f>
        <v>Data  over </v>
      </c>
      <c r="AD741" s="10" t="str">
        <f>IFERROR(__xludf.DUMMYFUNCTION("GOOGLETRANSLATE(L741,""my"", ""en"")"),"In the Rakhine Democracy group   Party")</f>
        <v>In the Rakhine Democracy group   Party</v>
      </c>
      <c r="AE741" s="10" t="str">
        <f>IFERROR(__xludf.DUMMYFUNCTION("GOOGLETRANSLATE(M741,""my"", ""en"")"),"2722")</f>
        <v>2722</v>
      </c>
      <c r="AF741" s="10" t="str">
        <f>IFERROR(__xludf.DUMMYFUNCTION("GOOGLETRANSLATE(N741,""my"", ""en"")"),"731")</f>
        <v>731</v>
      </c>
      <c r="AG741" s="10" t="str">
        <f>IFERROR(__xludf.DUMMYFUNCTION("GOOGLETRANSLATE(O741,""my"", ""en"")"),"3453")</f>
        <v>3453</v>
      </c>
      <c r="AH741" s="10" t="str">
        <f>IFERROR(__xludf.DUMMYFUNCTION("GOOGLETRANSLATE(P741,""my"", ""en"")"),"2.84%")</f>
        <v>2.84%</v>
      </c>
    </row>
    <row r="742" ht="25.5" customHeigh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3" t="s">
        <v>5399</v>
      </c>
      <c r="L742" s="23" t="s">
        <v>5400</v>
      </c>
      <c r="M742" s="24" t="s">
        <v>5401</v>
      </c>
      <c r="N742" s="24" t="s">
        <v>5402</v>
      </c>
      <c r="O742" s="24" t="s">
        <v>5403</v>
      </c>
      <c r="P742" s="25" t="s">
        <v>5404</v>
      </c>
      <c r="AC742" s="10" t="str">
        <f>IFERROR(__xludf.DUMMYFUNCTION("GOOGLETRANSLATE(K742,""my"", ""en"")")," ကည်")</f>
        <v> ကည်</v>
      </c>
      <c r="AD742" s="10" t="str">
        <f>IFERROR(__xludf.DUMMYFUNCTION("GOOGLETRANSLATE(L742,""my"", ""en"")"),"Personal ")</f>
        <v>Personal </v>
      </c>
      <c r="AE742" s="10" t="str">
        <f>IFERROR(__xludf.DUMMYFUNCTION("GOOGLETRANSLATE(M742,""my"", ""en"")"),"1534")</f>
        <v>1534</v>
      </c>
      <c r="AF742" s="10" t="str">
        <f>IFERROR(__xludf.DUMMYFUNCTION("GOOGLETRANSLATE(N742,""my"", ""en"")"),"507")</f>
        <v>507</v>
      </c>
      <c r="AG742" s="10" t="str">
        <f>IFERROR(__xludf.DUMMYFUNCTION("GOOGLETRANSLATE(O742,""my"", ""en"")"),"2041")</f>
        <v>2041</v>
      </c>
      <c r="AH742" s="10" t="str">
        <f>IFERROR(__xludf.DUMMYFUNCTION("GOOGLETRANSLATE(P742,""my"", ""en"")"),"1.68%")</f>
        <v>1.68%</v>
      </c>
    </row>
    <row r="743" ht="24.75" customHeigh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3" t="s">
        <v>5405</v>
      </c>
      <c r="L743" s="23" t="s">
        <v>5406</v>
      </c>
      <c r="M743" s="24" t="s">
        <v>5407</v>
      </c>
      <c r="N743" s="24" t="s">
        <v>5408</v>
      </c>
      <c r="O743" s="24" t="s">
        <v>5409</v>
      </c>
      <c r="P743" s="25" t="s">
        <v>5410</v>
      </c>
      <c r="AC743" s="10" t="str">
        <f>IFERROR(__xludf.DUMMYFUNCTION("GOOGLETRANSLATE(K743,""my"", ""en"")"),"ေဒ   event ")</f>
        <v>ေဒ   event </v>
      </c>
      <c r="AD743" s="10" t="str">
        <f>IFERROR(__xludf.DUMMYFUNCTION("GOOGLETRANSLATE(L743,""my"", ""en"")"),"ခိုင်ြ State  Game Force")</f>
        <v>ခိုင်ြ State  Game Force</v>
      </c>
      <c r="AE743" s="10" t="str">
        <f>IFERROR(__xludf.DUMMYFUNCTION("GOOGLETRANSLATE(M743,""my"", ""en"")"),"1427")</f>
        <v>1427</v>
      </c>
      <c r="AF743" s="10" t="str">
        <f>IFERROR(__xludf.DUMMYFUNCTION("GOOGLETRANSLATE(N743,""my"", ""en"")"),"417")</f>
        <v>417</v>
      </c>
      <c r="AG743" s="10" t="str">
        <f>IFERROR(__xludf.DUMMYFUNCTION("GOOGLETRANSLATE(O743,""my"", ""en"")"),"1844")</f>
        <v>1844</v>
      </c>
      <c r="AH743" s="10" t="str">
        <f>IFERROR(__xludf.DUMMYFUNCTION("GOOGLETRANSLATE(P743,""my"", ""en"")"),"1.52%")</f>
        <v>1.52%</v>
      </c>
    </row>
    <row r="744" ht="24.0" customHeight="1">
      <c r="A744" s="28" t="s">
        <v>5411</v>
      </c>
      <c r="B744" s="17" t="s">
        <v>5412</v>
      </c>
      <c r="C744" s="18" t="s">
        <v>5413</v>
      </c>
      <c r="D744" s="18" t="s">
        <v>5414</v>
      </c>
      <c r="E744" s="18" t="s">
        <v>5415</v>
      </c>
      <c r="F744" s="18" t="s">
        <v>5416</v>
      </c>
      <c r="G744" s="18" t="s">
        <v>5417</v>
      </c>
      <c r="H744" s="18" t="s">
        <v>5418</v>
      </c>
      <c r="I744" s="18" t="s">
        <v>5419</v>
      </c>
      <c r="J744" s="18" t="s">
        <v>5420</v>
      </c>
      <c r="K744" s="27"/>
      <c r="L744" s="27"/>
      <c r="M744" s="18" t="s">
        <v>5421</v>
      </c>
      <c r="N744" s="18" t="s">
        <v>5422</v>
      </c>
      <c r="O744" s="18" t="s">
        <v>5423</v>
      </c>
      <c r="P744" s="27"/>
      <c r="S744" s="10" t="str">
        <f>IFERROR(__xludf.DUMMYFUNCTION("GOOGLETRANSLATE(A744,""my"", ""en"")"),"125")</f>
        <v>125</v>
      </c>
      <c r="T744" s="10" t="str">
        <f>IFERROR(__xludf.DUMMYFUNCTION("GOOGLETRANSLATE(B744,""my"", ""en"")"),"မဲဆ  No. (12)")</f>
        <v>မဲဆ  No. (12)</v>
      </c>
      <c r="U744" s="10" t="str">
        <f>IFERROR(__xludf.DUMMYFUNCTION("GOOGLETRANSLATE(C744,""my"", ""en"")"),"21952")</f>
        <v>21952</v>
      </c>
      <c r="V744" s="10" t="str">
        <f>IFERROR(__xludf.DUMMYFUNCTION("GOOGLETRANSLATE(D744,""my"", ""en"")"),"11175")</f>
        <v>11175</v>
      </c>
      <c r="W744" s="10" t="str">
        <f>IFERROR(__xludf.DUMMYFUNCTION("GOOGLETRANSLATE(E744,""my"", ""en"")"),"4401")</f>
        <v>4401</v>
      </c>
      <c r="X744" s="10" t="str">
        <f>IFERROR(__xludf.DUMMYFUNCTION("GOOGLETRANSLATE(F744,""my"", ""en"")"),"15576")</f>
        <v>15576</v>
      </c>
      <c r="Y744" s="10" t="str">
        <f>IFERROR(__xludf.DUMMYFUNCTION("GOOGLETRANSLATE(G744,""my"", ""en"")"),"70.95")</f>
        <v>70.95</v>
      </c>
      <c r="Z744" s="10" t="str">
        <f>IFERROR(__xludf.DUMMYFUNCTION("GOOGLETRANSLATE(H744,""my"", ""en"")"),"416")</f>
        <v>416</v>
      </c>
      <c r="AA744" s="10" t="str">
        <f>IFERROR(__xludf.DUMMYFUNCTION("GOOGLETRANSLATE(I744,""my"", ""en"")"),"9")</f>
        <v>9</v>
      </c>
      <c r="AB744" s="10" t="str">
        <f>IFERROR(__xludf.DUMMYFUNCTION("GOOGLETRANSLATE(J744,""my"", ""en"")"),"425")</f>
        <v>425</v>
      </c>
      <c r="AE744" s="10" t="str">
        <f>IFERROR(__xludf.DUMMYFUNCTION("GOOGLETRANSLATE(M744,""my"", ""en"")"),"10810")</f>
        <v>10810</v>
      </c>
      <c r="AF744" s="10" t="str">
        <f>IFERROR(__xludf.DUMMYFUNCTION("GOOGLETRANSLATE(N744,""my"", ""en"")"),"4341")</f>
        <v>4341</v>
      </c>
      <c r="AG744" s="10" t="str">
        <f>IFERROR(__xludf.DUMMYFUNCTION("GOOGLETRANSLATE(O744,""my"", ""en"")"),"15151")</f>
        <v>15151</v>
      </c>
    </row>
    <row r="745" ht="22.5" customHeigh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3" t="s">
        <v>5424</v>
      </c>
      <c r="L745" s="23" t="s">
        <v>5425</v>
      </c>
      <c r="M745" s="24" t="s">
        <v>5426</v>
      </c>
      <c r="N745" s="24" t="s">
        <v>5427</v>
      </c>
      <c r="O745" s="24" t="s">
        <v>5428</v>
      </c>
      <c r="P745" s="25" t="s">
        <v>5429</v>
      </c>
      <c r="AC745" s="10" t="str">
        <f>IFERROR(__xludf.DUMMYFUNCTION("GOOGLETRANSLATE(K745,""my"", ""en"")"),"U Than Win")</f>
        <v>U Than Win</v>
      </c>
      <c r="AD745" s="10" t="str">
        <f>IFERROR(__xludf.DUMMYFUNCTION("GOOGLETRANSLATE(L745,""my"", ""en"")"),"Rakhine  Game Party")</f>
        <v>Rakhine  Game Party</v>
      </c>
      <c r="AE745" s="10" t="str">
        <f>IFERROR(__xludf.DUMMYFUNCTION("GOOGLETRANSLATE(M745,""my"", ""en"")"),"4059")</f>
        <v>4059</v>
      </c>
      <c r="AF745" s="10" t="str">
        <f>IFERROR(__xludf.DUMMYFUNCTION("GOOGLETRANSLATE(N745,""my"", ""en"")"),"930")</f>
        <v>930</v>
      </c>
      <c r="AG745" s="10" t="str">
        <f>IFERROR(__xludf.DUMMYFUNCTION("GOOGLETRANSLATE(O745,""my"", ""en"")"),"4989")</f>
        <v>4989</v>
      </c>
      <c r="AH745" s="10" t="str">
        <f>IFERROR(__xludf.DUMMYFUNCTION("GOOGLETRANSLATE(P745,""my"", ""en"")"),"32.93%")</f>
        <v>32.93%</v>
      </c>
    </row>
    <row r="746" ht="21.75" customHeigh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3" t="s">
        <v>5430</v>
      </c>
      <c r="L746" s="23" t="s">
        <v>5431</v>
      </c>
      <c r="M746" s="24" t="s">
        <v>5432</v>
      </c>
      <c r="N746" s="24" t="s">
        <v>5433</v>
      </c>
      <c r="O746" s="24" t="s">
        <v>5434</v>
      </c>
      <c r="P746" s="25" t="s">
        <v>5435</v>
      </c>
      <c r="AC746" s="10" t="str">
        <f>IFERROR(__xludf.DUMMYFUNCTION("GOOGLETRANSLATE(K746,""my"", ""en"")"),"ေဒ  deadline ေချာ")</f>
        <v>ေဒ  deadline ေချာ</v>
      </c>
      <c r="AD746" s="10" t="str">
        <f>IFERROR(__xludf.DUMMYFUNCTION("GOOGLETRANSLATE(L746,""my"", ""en"")")," Game Democracy group   Pop Party")</f>
        <v> Game Democracy group   Pop Party</v>
      </c>
      <c r="AE746" s="10" t="str">
        <f>IFERROR(__xludf.DUMMYFUNCTION("GOOGLETRANSLATE(M746,""my"", ""en"")"),"3084")</f>
        <v>3084</v>
      </c>
      <c r="AF746" s="10" t="str">
        <f>IFERROR(__xludf.DUMMYFUNCTION("GOOGLETRANSLATE(N746,""my"", ""en"")"),"1268")</f>
        <v>1268</v>
      </c>
      <c r="AG746" s="10" t="str">
        <f>IFERROR(__xludf.DUMMYFUNCTION("GOOGLETRANSLATE(O746,""my"", ""en"")"),"4352")</f>
        <v>4352</v>
      </c>
      <c r="AH746" s="10" t="str">
        <f>IFERROR(__xludf.DUMMYFUNCTION("GOOGLETRANSLATE(P746,""my"", ""en"")"),"28.72%")</f>
        <v>28.72%</v>
      </c>
    </row>
    <row r="747" ht="22.5" customHeigh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3" t="s">
        <v>5436</v>
      </c>
      <c r="L747" s="23" t="s">
        <v>5437</v>
      </c>
      <c r="M747" s="24" t="s">
        <v>5438</v>
      </c>
      <c r="N747" s="24" t="s">
        <v>5439</v>
      </c>
      <c r="O747" s="24" t="s">
        <v>5440</v>
      </c>
      <c r="P747" s="25" t="s">
        <v>5441</v>
      </c>
      <c r="AC747" s="10" t="str">
        <f>IFERROR(__xludf.DUMMYFUNCTION("GOOGLETRANSLATE(K747,""my"", ""en"")"),"Mya  ိး Friend")</f>
        <v>Mya  ိး Friend</v>
      </c>
      <c r="AD747" s="10" t="str">
        <f>IFERROR(__xludf.DUMMYFUNCTION("GOOGLETRANSLATE(L747,""my"", ""en"")"),"In the Rakhine Democracy group   Party")</f>
        <v>In the Rakhine Democracy group   Party</v>
      </c>
      <c r="AE747" s="10" t="str">
        <f>IFERROR(__xludf.DUMMYFUNCTION("GOOGLETRANSLATE(M747,""my"", ""en"")"),"2206")</f>
        <v>2206</v>
      </c>
      <c r="AF747" s="10" t="str">
        <f>IFERROR(__xludf.DUMMYFUNCTION("GOOGLETRANSLATE(N747,""my"", ""en"")"),"947")</f>
        <v>947</v>
      </c>
      <c r="AG747" s="10" t="str">
        <f>IFERROR(__xludf.DUMMYFUNCTION("GOOGLETRANSLATE(O747,""my"", ""en"")"),"3153")</f>
        <v>3153</v>
      </c>
      <c r="AH747" s="10" t="str">
        <f>IFERROR(__xludf.DUMMYFUNCTION("GOOGLETRANSLATE(P747,""my"", ""en"")"),"20.81%")</f>
        <v>20.81%</v>
      </c>
    </row>
    <row r="748" ht="22.5" customHeigh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3" t="s">
        <v>5442</v>
      </c>
      <c r="L748" s="23" t="s">
        <v>5443</v>
      </c>
      <c r="M748" s="24" t="s">
        <v>5444</v>
      </c>
      <c r="N748" s="24" t="s">
        <v>5445</v>
      </c>
      <c r="O748" s="24" t="s">
        <v>5446</v>
      </c>
      <c r="P748" s="25" t="s">
        <v>5447</v>
      </c>
      <c r="AC748" s="10" t="str">
        <f>IFERROR(__xludf.DUMMYFUNCTION("GOOGLETRANSLATE(K748,""my"", ""en"")")," Key ")</f>
        <v> Key </v>
      </c>
      <c r="AD748" s="10" t="str">
        <f>IFERROR(__xludf.DUMMYFUNCTION("GOOGLETRANSLATE(L748,""my"", ""en"")"),"Local ေထာင် soap-stone strong ေရး  under development  Phil  ေရး Party")</f>
        <v>Local ေထာင် soap-stone strong ေရး  under development  Phil  ေရး Party</v>
      </c>
      <c r="AE748" s="10" t="str">
        <f>IFERROR(__xludf.DUMMYFUNCTION("GOOGLETRANSLATE(M748,""my"", ""en"")"),"1461")</f>
        <v>1461</v>
      </c>
      <c r="AF748" s="10" t="str">
        <f>IFERROR(__xludf.DUMMYFUNCTION("GOOGLETRANSLATE(N748,""my"", ""en"")"),"1196")</f>
        <v>1196</v>
      </c>
      <c r="AG748" s="10" t="str">
        <f>IFERROR(__xludf.DUMMYFUNCTION("GOOGLETRANSLATE(O748,""my"", ""en"")"),"2657")</f>
        <v>2657</v>
      </c>
      <c r="AH748" s="10" t="str">
        <f>IFERROR(__xludf.DUMMYFUNCTION("GOOGLETRANSLATE(P748,""my"", ""en"")"),"17.54%")</f>
        <v>17.54%</v>
      </c>
    </row>
    <row r="749" ht="22.5" customHeight="1">
      <c r="A749" s="14"/>
      <c r="B749" s="15" t="s">
        <v>5448</v>
      </c>
      <c r="C749" s="16" t="s">
        <v>5449</v>
      </c>
      <c r="D749" s="16" t="s">
        <v>5450</v>
      </c>
      <c r="E749" s="16" t="s">
        <v>5451</v>
      </c>
      <c r="F749" s="16" t="s">
        <v>5452</v>
      </c>
      <c r="G749" s="16" t="s">
        <v>5453</v>
      </c>
      <c r="H749" s="16" t="s">
        <v>5454</v>
      </c>
      <c r="I749" s="16" t="s">
        <v>5455</v>
      </c>
      <c r="J749" s="16" t="s">
        <v>5456</v>
      </c>
      <c r="K749" s="14"/>
      <c r="L749" s="14"/>
      <c r="M749" s="47" t="s">
        <v>5457</v>
      </c>
      <c r="N749" s="47" t="s">
        <v>5458</v>
      </c>
      <c r="O749" s="16" t="s">
        <v>5459</v>
      </c>
      <c r="P749" s="14"/>
      <c r="T749" s="10" t="str">
        <f>IFERROR(__xludf.DUMMYFUNCTION("GOOGLETRANSLATE(B749,""my"", ""en"")"),"Yangon ေဒ  Key")</f>
        <v>Yangon ေဒ  Key</v>
      </c>
      <c r="U749" s="10" t="str">
        <f>IFERROR(__xludf.DUMMYFUNCTION("GOOGLETRANSLATE(C749,""my"", ""en"")"),"6137047")</f>
        <v>6137047</v>
      </c>
      <c r="V749" s="10" t="str">
        <f>IFERROR(__xludf.DUMMYFUNCTION("GOOGLETRANSLATE(D749,""my"", ""en"")"),"3320211")</f>
        <v>3320211</v>
      </c>
      <c r="W749" s="10" t="str">
        <f>IFERROR(__xludf.DUMMYFUNCTION("GOOGLETRANSLATE(E749,""my"", ""en"")"),"863402")</f>
        <v>863402</v>
      </c>
      <c r="X749" s="10" t="str">
        <f>IFERROR(__xludf.DUMMYFUNCTION("GOOGLETRANSLATE(F749,""my"", ""en"")"),"4183613")</f>
        <v>4183613</v>
      </c>
      <c r="Y749" s="10" t="str">
        <f>IFERROR(__xludf.DUMMYFUNCTION("GOOGLETRANSLATE(G749,""my"", ""en"")"),"68.17")</f>
        <v>68.17</v>
      </c>
      <c r="Z749" s="10" t="str">
        <f>IFERROR(__xludf.DUMMYFUNCTION("GOOGLETRANSLATE(H749,""my"", ""en"")"),"65709")</f>
        <v>65709</v>
      </c>
      <c r="AA749" s="10" t="str">
        <f>IFERROR(__xludf.DUMMYFUNCTION("GOOGLETRANSLATE(I749,""my"", ""en"")"),"6082")</f>
        <v>6082</v>
      </c>
      <c r="AB749" s="10" t="str">
        <f>IFERROR(__xludf.DUMMYFUNCTION("GOOGLETRANSLATE(J749,""my"", ""en"")"),"71791")</f>
        <v>71791</v>
      </c>
      <c r="AE749" s="10" t="str">
        <f>IFERROR(__xludf.DUMMYFUNCTION("GOOGLETRANSLATE(M749,""my"", ""en"")"),"3254664")</f>
        <v>3254664</v>
      </c>
      <c r="AF749" s="10" t="str">
        <f>IFERROR(__xludf.DUMMYFUNCTION("GOOGLETRANSLATE(N749,""my"", ""en"")"),"857158")</f>
        <v>857158</v>
      </c>
      <c r="AG749" s="10" t="str">
        <f>IFERROR(__xludf.DUMMYFUNCTION("GOOGLETRANSLATE(O749,""my"", ""en"")"),"4111822")</f>
        <v>4111822</v>
      </c>
    </row>
    <row r="750" ht="24.0" customHeight="1">
      <c r="A750" s="28" t="s">
        <v>5460</v>
      </c>
      <c r="B750" s="17" t="s">
        <v>5461</v>
      </c>
      <c r="C750" s="18" t="s">
        <v>5462</v>
      </c>
      <c r="D750" s="18" t="s">
        <v>5463</v>
      </c>
      <c r="E750" s="18" t="s">
        <v>5464</v>
      </c>
      <c r="F750" s="18" t="s">
        <v>5465</v>
      </c>
      <c r="G750" s="18" t="s">
        <v>5466</v>
      </c>
      <c r="H750" s="18" t="s">
        <v>5467</v>
      </c>
      <c r="I750" s="18" t="s">
        <v>5468</v>
      </c>
      <c r="J750" s="18" t="s">
        <v>5469</v>
      </c>
      <c r="K750" s="27"/>
      <c r="L750" s="27"/>
      <c r="M750" s="18" t="s">
        <v>5470</v>
      </c>
      <c r="N750" s="18" t="s">
        <v>5471</v>
      </c>
      <c r="O750" s="18" t="s">
        <v>5472</v>
      </c>
      <c r="P750" s="27"/>
      <c r="S750" s="10" t="str">
        <f>IFERROR(__xludf.DUMMYFUNCTION("GOOGLETRANSLATE(A750,""my"", ""en"")"),"126")</f>
        <v>126</v>
      </c>
      <c r="T750" s="10" t="str">
        <f>IFERROR(__xludf.DUMMYFUNCTION("GOOGLETRANSLATE(B750,""my"", ""en"")"),"မဲဆ  No. (1)")</f>
        <v>မဲဆ  No. (1)</v>
      </c>
      <c r="U750" s="10" t="str">
        <f>IFERROR(__xludf.DUMMYFUNCTION("GOOGLETRANSLATE(C750,""my"", ""en"")"),"440674")</f>
        <v>440674</v>
      </c>
      <c r="V750" s="10" t="str">
        <f>IFERROR(__xludf.DUMMYFUNCTION("GOOGLETRANSLATE(D750,""my"", ""en"")"),"263497")</f>
        <v>263497</v>
      </c>
      <c r="W750" s="10" t="str">
        <f>IFERROR(__xludf.DUMMYFUNCTION("GOOGLETRANSLATE(E750,""my"", ""en"")"),"79478")</f>
        <v>79478</v>
      </c>
      <c r="X750" s="10" t="str">
        <f>IFERROR(__xludf.DUMMYFUNCTION("GOOGLETRANSLATE(F750,""my"", ""en"")"),"342975")</f>
        <v>342975</v>
      </c>
      <c r="Y750" s="10" t="str">
        <f>IFERROR(__xludf.DUMMYFUNCTION("GOOGLETRANSLATE(G750,""my"", ""en"")"),"77.83")</f>
        <v>77.83</v>
      </c>
      <c r="Z750" s="10" t="str">
        <f>IFERROR(__xludf.DUMMYFUNCTION("GOOGLETRANSLATE(H750,""my"", ""en"")"),"7168")</f>
        <v>7168</v>
      </c>
      <c r="AA750" s="10" t="str">
        <f>IFERROR(__xludf.DUMMYFUNCTION("GOOGLETRANSLATE(I750,""my"", ""en"")"),"274")</f>
        <v>274</v>
      </c>
      <c r="AB750" s="10" t="str">
        <f>IFERROR(__xludf.DUMMYFUNCTION("GOOGLETRANSLATE(J750,""my"", ""en"")"),"7442")</f>
        <v>7442</v>
      </c>
      <c r="AE750" s="10" t="str">
        <f>IFERROR(__xludf.DUMMYFUNCTION("GOOGLETRANSLATE(M750,""my"", ""en"")"),"256558")</f>
        <v>256558</v>
      </c>
      <c r="AF750" s="10" t="str">
        <f>IFERROR(__xludf.DUMMYFUNCTION("GOOGLETRANSLATE(N750,""my"", ""en"")"),"78975")</f>
        <v>78975</v>
      </c>
      <c r="AG750" s="10" t="str">
        <f>IFERROR(__xludf.DUMMYFUNCTION("GOOGLETRANSLATE(O750,""my"", ""en"")"),"335533")</f>
        <v>335533</v>
      </c>
    </row>
    <row r="751" ht="24.75" customHeigh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3" t="s">
        <v>5473</v>
      </c>
      <c r="L751" s="23" t="s">
        <v>5474</v>
      </c>
      <c r="M751" s="24" t="s">
        <v>5475</v>
      </c>
      <c r="N751" s="24" t="s">
        <v>5476</v>
      </c>
      <c r="O751" s="24" t="s">
        <v>5477</v>
      </c>
      <c r="P751" s="25" t="s">
        <v>5478</v>
      </c>
      <c r="AC751" s="10" t="str">
        <f>IFERROR(__xludf.DUMMYFUNCTION("GOOGLETRANSLATE(K751,""my"", ""en"")"),"ေဒ    Lwin")</f>
        <v>ေဒ    Lwin</v>
      </c>
      <c r="AD751" s="10" t="str">
        <f>IFERROR(__xludf.DUMMYFUNCTION("GOOGLETRANSLATE(L751,""my"", ""en"")")," Game Democracy group   Pop Party")</f>
        <v> Game Democracy group   Pop Party</v>
      </c>
      <c r="AE751" s="10" t="str">
        <f>IFERROR(__xludf.DUMMYFUNCTION("GOOGLETRANSLATE(M751,""my"", ""en"")"),"182776")</f>
        <v>182776</v>
      </c>
      <c r="AF751" s="10" t="str">
        <f>IFERROR(__xludf.DUMMYFUNCTION("GOOGLETRANSLATE(N751,""my"", ""en"")"),"51175")</f>
        <v>51175</v>
      </c>
      <c r="AG751" s="10" t="str">
        <f>IFERROR(__xludf.DUMMYFUNCTION("GOOGLETRANSLATE(O751,""my"", ""en"")"),"233951")</f>
        <v>233951</v>
      </c>
      <c r="AH751" s="10" t="str">
        <f>IFERROR(__xludf.DUMMYFUNCTION("GOOGLETRANSLATE(P751,""my"", ""en"")"),"69.72%")</f>
        <v>69.72%</v>
      </c>
    </row>
    <row r="752" ht="24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6" t="s">
        <v>5479</v>
      </c>
      <c r="L752" s="36" t="s">
        <v>5480</v>
      </c>
      <c r="M752" s="37" t="s">
        <v>5481</v>
      </c>
      <c r="N752" s="37" t="s">
        <v>5482</v>
      </c>
      <c r="O752" s="37" t="s">
        <v>5483</v>
      </c>
      <c r="P752" s="38" t="s">
        <v>5484</v>
      </c>
      <c r="AC752" s="10" t="str">
        <f>IFERROR(__xludf.DUMMYFUNCTION("GOOGLETRANSLATE(K752,""my"", ""en"")"),"Khin ေမာင်")</f>
        <v>Khin ေမာင်</v>
      </c>
      <c r="AD752" s="10" t="str">
        <f>IFERROR(__xludf.DUMMYFUNCTION("GOOGLETRANSLATE(L752,""my"", ""en"")"),"Local ေထာင် soap-stone strong ေရး  under development  Phil  ေရး Party")</f>
        <v>Local ေထာင် soap-stone strong ေရး  under development  Phil  ေရး Party</v>
      </c>
      <c r="AE752" s="10" t="str">
        <f>IFERROR(__xludf.DUMMYFUNCTION("GOOGLETRANSLATE(M752,""my"", ""en"")"),"69194")</f>
        <v>69194</v>
      </c>
      <c r="AF752" s="10" t="str">
        <f>IFERROR(__xludf.DUMMYFUNCTION("GOOGLETRANSLATE(N752,""my"", ""en"")"),"26020")</f>
        <v>26020</v>
      </c>
      <c r="AG752" s="10" t="str">
        <f>IFERROR(__xludf.DUMMYFUNCTION("GOOGLETRANSLATE(O752,""my"", ""en"")"),"95214")</f>
        <v>95214</v>
      </c>
      <c r="AH752" s="10" t="str">
        <f>IFERROR(__xludf.DUMMYFUNCTION("GOOGLETRANSLATE(P752,""my"", ""en"")"),"28.38%")</f>
        <v>28.38%</v>
      </c>
    </row>
    <row r="753" ht="24.0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6" t="s">
        <v>5485</v>
      </c>
      <c r="L753" s="36" t="s">
        <v>5486</v>
      </c>
      <c r="M753" s="37" t="s">
        <v>5487</v>
      </c>
      <c r="N753" s="37" t="s">
        <v>5488</v>
      </c>
      <c r="O753" s="37" t="s">
        <v>5489</v>
      </c>
      <c r="P753" s="38" t="s">
        <v>5490</v>
      </c>
      <c r="AC753" s="10" t="str">
        <f>IFERROR(__xludf.DUMMYFUNCTION("GOOGLETRANSLATE(K753,""my"", ""en"")"),"Soe not")</f>
        <v>Soe not</v>
      </c>
      <c r="AD753" s="10" t="str">
        <f>IFERROR(__xludf.DUMMYFUNCTION("GOOGLETRANSLATE(L753,""my"", ""en"")"),"Local ေထာင် စုေ white  Game ေဆာင် Party")</f>
        <v>Local ေထာင် စုေ white  Game ေဆာင် Party</v>
      </c>
      <c r="AE753" s="10" t="str">
        <f>IFERROR(__xludf.DUMMYFUNCTION("GOOGLETRANSLATE(M753,""my"", ""en"")"),"3204")</f>
        <v>3204</v>
      </c>
      <c r="AF753" s="10" t="str">
        <f>IFERROR(__xludf.DUMMYFUNCTION("GOOGLETRANSLATE(N753,""my"", ""en"")"),"1352")</f>
        <v>1352</v>
      </c>
      <c r="AG753" s="10" t="str">
        <f>IFERROR(__xludf.DUMMYFUNCTION("GOOGLETRANSLATE(O753,""my"", ""en"")"),"4556")</f>
        <v>4556</v>
      </c>
      <c r="AH753" s="10" t="str">
        <f>IFERROR(__xludf.DUMMYFUNCTION("GOOGLETRANSLATE(P753,""my"", ""en"")"),"1.36%")</f>
        <v>1.36%</v>
      </c>
    </row>
    <row r="754" ht="24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6" t="s">
        <v>5491</v>
      </c>
      <c r="L754" s="36" t="s">
        <v>5492</v>
      </c>
      <c r="M754" s="37" t="s">
        <v>5493</v>
      </c>
      <c r="N754" s="37" t="s">
        <v>5494</v>
      </c>
      <c r="O754" s="37" t="s">
        <v>5495</v>
      </c>
      <c r="P754" s="38" t="s">
        <v>5496</v>
      </c>
      <c r="AC754" s="10" t="str">
        <f>IFERROR(__xludf.DUMMYFUNCTION("GOOGLETRANSLATE(K754,""my"", ""en"")"),"ေလာ Thang")</f>
        <v>ေလာ Thang</v>
      </c>
      <c r="AD754" s="10" t="str">
        <f>IFERROR(__xludf.DUMMYFUNCTION("GOOGLETRANSLATE(L754,""my"", ""en"")"),"ပည်သူ ေရှ  ေဆာင် Party")</f>
        <v>ပည်သူ ေရှ  ေဆာင် Party</v>
      </c>
      <c r="AE754" s="10" t="str">
        <f>IFERROR(__xludf.DUMMYFUNCTION("GOOGLETRANSLATE(M754,""my"", ""en"")"),"1384")</f>
        <v>1384</v>
      </c>
      <c r="AF754" s="10" t="str">
        <f>IFERROR(__xludf.DUMMYFUNCTION("GOOGLETRANSLATE(N754,""my"", ""en"")"),"428")</f>
        <v>428</v>
      </c>
      <c r="AG754" s="10" t="str">
        <f>IFERROR(__xludf.DUMMYFUNCTION("GOOGLETRANSLATE(O754,""my"", ""en"")"),"1812")</f>
        <v>1812</v>
      </c>
      <c r="AH754" s="10" t="str">
        <f>IFERROR(__xludf.DUMMYFUNCTION("GOOGLETRANSLATE(P754,""my"", ""en"")"),"0.54%")</f>
        <v>0.54%</v>
      </c>
    </row>
    <row r="755" ht="22.5" customHeight="1">
      <c r="A755" s="28" t="s">
        <v>5497</v>
      </c>
      <c r="B755" s="17" t="s">
        <v>5498</v>
      </c>
      <c r="C755" s="18" t="s">
        <v>5499</v>
      </c>
      <c r="D755" s="18" t="s">
        <v>5500</v>
      </c>
      <c r="E755" s="18" t="s">
        <v>5501</v>
      </c>
      <c r="F755" s="18" t="s">
        <v>5502</v>
      </c>
      <c r="G755" s="18" t="s">
        <v>5503</v>
      </c>
      <c r="H755" s="18" t="s">
        <v>5504</v>
      </c>
      <c r="I755" s="18" t="s">
        <v>5505</v>
      </c>
      <c r="J755" s="18" t="s">
        <v>5506</v>
      </c>
      <c r="K755" s="27"/>
      <c r="L755" s="27"/>
      <c r="M755" s="18" t="s">
        <v>5507</v>
      </c>
      <c r="N755" s="18" t="s">
        <v>5508</v>
      </c>
      <c r="O755" s="18" t="s">
        <v>5509</v>
      </c>
      <c r="P755" s="27"/>
      <c r="S755" s="10" t="str">
        <f>IFERROR(__xludf.DUMMYFUNCTION("GOOGLETRANSLATE(A755,""my"", ""en"")"),"127")</f>
        <v>127</v>
      </c>
      <c r="T755" s="10" t="str">
        <f>IFERROR(__xludf.DUMMYFUNCTION("GOOGLETRANSLATE(B755,""my"", ""en"")"),"မဲဆ  No. (2)")</f>
        <v>မဲဆ  No. (2)</v>
      </c>
      <c r="U755" s="10" t="str">
        <f>IFERROR(__xludf.DUMMYFUNCTION("GOOGLETRANSLATE(C755,""my"", ""en"")"),"654017")</f>
        <v>654017</v>
      </c>
      <c r="V755" s="10" t="str">
        <f>IFERROR(__xludf.DUMMYFUNCTION("GOOGLETRANSLATE(D755,""my"", ""en"")"),"358526")</f>
        <v>358526</v>
      </c>
      <c r="W755" s="10" t="str">
        <f>IFERROR(__xludf.DUMMYFUNCTION("GOOGLETRANSLATE(E755,""my"", ""en"")"),"88346")</f>
        <v>88346</v>
      </c>
      <c r="X755" s="10" t="str">
        <f>IFERROR(__xludf.DUMMYFUNCTION("GOOGLETRANSLATE(F755,""my"", ""en"")"),"446872")</f>
        <v>446872</v>
      </c>
      <c r="Y755" s="10" t="str">
        <f>IFERROR(__xludf.DUMMYFUNCTION("GOOGLETRANSLATE(G755,""my"", ""en"")"),"68.33")</f>
        <v>68.33</v>
      </c>
      <c r="Z755" s="10" t="str">
        <f>IFERROR(__xludf.DUMMYFUNCTION("GOOGLETRANSLATE(H755,""my"", ""en"")"),"9463")</f>
        <v>9463</v>
      </c>
      <c r="AA755" s="10" t="str">
        <f>IFERROR(__xludf.DUMMYFUNCTION("GOOGLETRANSLATE(I755,""my"", ""en"")"),"848")</f>
        <v>848</v>
      </c>
      <c r="AB755" s="10" t="str">
        <f>IFERROR(__xludf.DUMMYFUNCTION("GOOGLETRANSLATE(J755,""my"", ""en"")"),"10311")</f>
        <v>10311</v>
      </c>
      <c r="AE755" s="10" t="str">
        <f>IFERROR(__xludf.DUMMYFUNCTION("GOOGLETRANSLATE(M755,""my"", ""en"")"),"349788")</f>
        <v>349788</v>
      </c>
      <c r="AF755" s="10" t="str">
        <f>IFERROR(__xludf.DUMMYFUNCTION("GOOGLETRANSLATE(N755,""my"", ""en"")"),"86773")</f>
        <v>86773</v>
      </c>
      <c r="AG755" s="10" t="str">
        <f>IFERROR(__xludf.DUMMYFUNCTION("GOOGLETRANSLATE(O755,""my"", ""en"")"),"436561")</f>
        <v>436561</v>
      </c>
      <c r="AH755" s="10" t="str">
        <f>IFERROR(__xludf.DUMMYFUNCTION("GOOGLETRANSLATE(P755,""my"", ""en"")"),"#VALUE!")</f>
        <v>#VALUE!</v>
      </c>
    </row>
    <row r="756" ht="33.75" customHeigh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3" t="s">
        <v>5510</v>
      </c>
      <c r="L756" s="23" t="s">
        <v>5511</v>
      </c>
      <c r="M756" s="24" t="s">
        <v>5512</v>
      </c>
      <c r="N756" s="24" t="s">
        <v>5513</v>
      </c>
      <c r="O756" s="24" t="s">
        <v>5514</v>
      </c>
      <c r="P756" s="25" t="s">
        <v>5515</v>
      </c>
      <c r="AC756" s="10" t="str">
        <f>IFERROR(__xludf.DUMMYFUNCTION("GOOGLETRANSLATE(K756,""my"", ""en"")"),"ေမာင် ေမာင် (b) ေမာင် ေမာင်")</f>
        <v>ေမာင် ေမာင် (b) ေမာင် ေမာင်</v>
      </c>
      <c r="AD756" s="10" t="str">
        <f>IFERROR(__xludf.DUMMYFUNCTION("GOOGLETRANSLATE(L756,""my"", ""en"")")," Game Democracy group   Pop Party")</f>
        <v> Game Democracy group   Pop Party</v>
      </c>
      <c r="AE756" s="10" t="str">
        <f>IFERROR(__xludf.DUMMYFUNCTION("GOOGLETRANSLATE(M756,""my"", ""en"")"),"262233")</f>
        <v>262233</v>
      </c>
      <c r="AF756" s="10" t="str">
        <f>IFERROR(__xludf.DUMMYFUNCTION("GOOGLETRANSLATE(N756,""my"", ""en"")"),"56450")</f>
        <v>56450</v>
      </c>
      <c r="AG756" s="10" t="str">
        <f>IFERROR(__xludf.DUMMYFUNCTION("GOOGLETRANSLATE(O756,""my"", ""en"")"),"318683")</f>
        <v>318683</v>
      </c>
      <c r="AH756" s="10" t="str">
        <f>IFERROR(__xludf.DUMMYFUNCTION("GOOGLETRANSLATE(P756,""my"", ""en"")"),"73.00%")</f>
        <v>73.00%</v>
      </c>
    </row>
    <row r="757" ht="24.0" customHeigh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3" t="s">
        <v>5516</v>
      </c>
      <c r="L757" s="23" t="s">
        <v>5517</v>
      </c>
      <c r="M757" s="24" t="s">
        <v>5518</v>
      </c>
      <c r="N757" s="24" t="s">
        <v>5519</v>
      </c>
      <c r="O757" s="24" t="s">
        <v>5520</v>
      </c>
      <c r="P757" s="25" t="s">
        <v>5521</v>
      </c>
      <c r="AC757" s="10" t="str">
        <f>IFERROR(__xludf.DUMMYFUNCTION("GOOGLETRANSLATE(K757,""my"", ""en"")"),"ေဒါက် Jasmine  Union")</f>
        <v>ေဒါက် Jasmine  Union</v>
      </c>
      <c r="AD757" s="10" t="str">
        <f>IFERROR(__xludf.DUMMYFUNCTION("GOOGLETRANSLATE(L757,""my"", ""en"")"),"Local ေထာင် soap-stone strong ေရး  under development  Phil  ေရး Party")</f>
        <v>Local ေထာင် soap-stone strong ေရး  under development  Phil  ေရး Party</v>
      </c>
      <c r="AE757" s="10" t="str">
        <f>IFERROR(__xludf.DUMMYFUNCTION("GOOGLETRANSLATE(M757,""my"", ""en"")"),"72341")</f>
        <v>72341</v>
      </c>
      <c r="AF757" s="10" t="str">
        <f>IFERROR(__xludf.DUMMYFUNCTION("GOOGLETRANSLATE(N757,""my"", ""en"")"),"25539")</f>
        <v>25539</v>
      </c>
      <c r="AG757" s="10" t="str">
        <f>IFERROR(__xludf.DUMMYFUNCTION("GOOGLETRANSLATE(O757,""my"", ""en"")"),"97880")</f>
        <v>97880</v>
      </c>
      <c r="AH757" s="10" t="str">
        <f>IFERROR(__xludf.DUMMYFUNCTION("GOOGLETRANSLATE(P757,""my"", ""en"")"),"22.42%")</f>
        <v>22.42%</v>
      </c>
    </row>
    <row r="758" ht="24.0" customHeigh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3" t="s">
        <v>5522</v>
      </c>
      <c r="L758" s="23" t="s">
        <v>5523</v>
      </c>
      <c r="M758" s="24" t="s">
        <v>5524</v>
      </c>
      <c r="N758" s="24" t="s">
        <v>5525</v>
      </c>
      <c r="O758" s="24" t="s">
        <v>5526</v>
      </c>
      <c r="P758" s="25" t="s">
        <v>5527</v>
      </c>
      <c r="AC758" s="10" t="str">
        <f>IFERROR(__xludf.DUMMYFUNCTION("GOOGLETRANSLATE(K758,""my"", ""en"")"),"Bright")</f>
        <v>Bright</v>
      </c>
      <c r="AD758" s="10" t="str">
        <f>IFERROR(__xludf.DUMMYFUNCTION("GOOGLETRANSLATE(L758,""my"", ""en"")"),"Mon  working party ေရး")</f>
        <v>Mon  working party ေရး</v>
      </c>
      <c r="AE758" s="10" t="str">
        <f>IFERROR(__xludf.DUMMYFUNCTION("GOOGLETRANSLATE(M758,""my"", ""en"")"),"7708")</f>
        <v>7708</v>
      </c>
      <c r="AF758" s="10" t="str">
        <f>IFERROR(__xludf.DUMMYFUNCTION("GOOGLETRANSLATE(N758,""my"", ""en"")"),"2302")</f>
        <v>2302</v>
      </c>
      <c r="AG758" s="10" t="str">
        <f>IFERROR(__xludf.DUMMYFUNCTION("GOOGLETRANSLATE(O758,""my"", ""en"")"),"10010")</f>
        <v>10010</v>
      </c>
      <c r="AH758" s="10" t="str">
        <f>IFERROR(__xludf.DUMMYFUNCTION("GOOGLETRANSLATE(P758,""my"", ""en"")"),"2.29%")</f>
        <v>2.29%</v>
      </c>
    </row>
    <row r="759" ht="24.0" customHeigh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3" t="s">
        <v>5528</v>
      </c>
      <c r="L759" s="23" t="s">
        <v>5529</v>
      </c>
      <c r="M759" s="24" t="s">
        <v>5530</v>
      </c>
      <c r="N759" s="24" t="s">
        <v>5531</v>
      </c>
      <c r="O759" s="24" t="s">
        <v>5532</v>
      </c>
      <c r="P759" s="25" t="s">
        <v>5533</v>
      </c>
      <c r="AC759" s="10" t="str">
        <f>IFERROR(__xludf.DUMMYFUNCTION("GOOGLETRANSLATE(K759,""my"", ""en"")"),"U Thein")</f>
        <v>U Thein</v>
      </c>
      <c r="AD759" s="10" t="str">
        <f>IFERROR(__xludf.DUMMYFUNCTION("GOOGLETRANSLATE(L759,""my"", ""en"")"),"Local ေထာင် စုေ white  Game ေဆာင် Party")</f>
        <v>Local ေထာင် စုေ white  Game ေဆာင် Party</v>
      </c>
      <c r="AE759" s="10" t="str">
        <f>IFERROR(__xludf.DUMMYFUNCTION("GOOGLETRANSLATE(M759,""my"", ""en"")"),"4429")</f>
        <v>4429</v>
      </c>
      <c r="AF759" s="10" t="str">
        <f>IFERROR(__xludf.DUMMYFUNCTION("GOOGLETRANSLATE(N759,""my"", ""en"")"),"1647")</f>
        <v>1647</v>
      </c>
      <c r="AG759" s="10" t="str">
        <f>IFERROR(__xludf.DUMMYFUNCTION("GOOGLETRANSLATE(O759,""my"", ""en"")"),"6076")</f>
        <v>6076</v>
      </c>
      <c r="AH759" s="10" t="str">
        <f>IFERROR(__xludf.DUMMYFUNCTION("GOOGLETRANSLATE(P759,""my"", ""en"")"),"1.39%")</f>
        <v>1.39%</v>
      </c>
    </row>
    <row r="760" ht="22.5" customHeigh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3" t="s">
        <v>5534</v>
      </c>
      <c r="L760" s="23" t="s">
        <v>5535</v>
      </c>
      <c r="M760" s="24" t="s">
        <v>5536</v>
      </c>
      <c r="N760" s="24" t="s">
        <v>5537</v>
      </c>
      <c r="O760" s="24" t="s">
        <v>5538</v>
      </c>
      <c r="P760" s="25" t="s">
        <v>5539</v>
      </c>
      <c r="AC760" s="10" t="str">
        <f>IFERROR(__xludf.DUMMYFUNCTION("GOOGLETRANSLATE(K760,""my"", ""en"")"),"Soe not")</f>
        <v>Soe not</v>
      </c>
      <c r="AD760" s="10" t="str">
        <f>IFERROR(__xludf.DUMMYFUNCTION("GOOGLETRANSLATE(L760,""my"", ""en"")"),"Democratic Party (Myanmar)")</f>
        <v>Democratic Party (Myanmar)</v>
      </c>
      <c r="AE760" s="10" t="str">
        <f>IFERROR(__xludf.DUMMYFUNCTION("GOOGLETRANSLATE(M760,""my"", ""en"")"),"3077")</f>
        <v>3077</v>
      </c>
      <c r="AF760" s="10" t="str">
        <f>IFERROR(__xludf.DUMMYFUNCTION("GOOGLETRANSLATE(N760,""my"", ""en"")"),"835")</f>
        <v>835</v>
      </c>
      <c r="AG760" s="10" t="str">
        <f>IFERROR(__xludf.DUMMYFUNCTION("GOOGLETRANSLATE(O760,""my"", ""en"")"),"3912")</f>
        <v>3912</v>
      </c>
      <c r="AH760" s="10" t="str">
        <f>IFERROR(__xludf.DUMMYFUNCTION("GOOGLETRANSLATE(P760,""my"", ""en"")"),"0.90%")</f>
        <v>0.90%</v>
      </c>
    </row>
    <row r="761" ht="24.0" customHeight="1">
      <c r="A761" s="28" t="s">
        <v>5540</v>
      </c>
      <c r="B761" s="17" t="s">
        <v>5541</v>
      </c>
      <c r="C761" s="18" t="s">
        <v>5542</v>
      </c>
      <c r="D761" s="18" t="s">
        <v>5543</v>
      </c>
      <c r="E761" s="18" t="s">
        <v>5544</v>
      </c>
      <c r="F761" s="18" t="s">
        <v>5545</v>
      </c>
      <c r="G761" s="18" t="s">
        <v>5546</v>
      </c>
      <c r="H761" s="18" t="s">
        <v>5547</v>
      </c>
      <c r="I761" s="18" t="s">
        <v>5548</v>
      </c>
      <c r="J761" s="18" t="s">
        <v>5549</v>
      </c>
      <c r="K761" s="27"/>
      <c r="L761" s="27"/>
      <c r="M761" s="18" t="s">
        <v>5550</v>
      </c>
      <c r="N761" s="18" t="s">
        <v>5551</v>
      </c>
      <c r="O761" s="18" t="s">
        <v>5552</v>
      </c>
      <c r="P761" s="27"/>
      <c r="S761" s="10" t="str">
        <f>IFERROR(__xludf.DUMMYFUNCTION("GOOGLETRANSLATE(A761,""my"", ""en"")"),"128")</f>
        <v>128</v>
      </c>
      <c r="T761" s="10" t="str">
        <f>IFERROR(__xludf.DUMMYFUNCTION("GOOGLETRANSLATE(B761,""my"", ""en"")"),"မဲဆ  No. (3)")</f>
        <v>မဲဆ  No. (3)</v>
      </c>
      <c r="U761" s="10" t="str">
        <f>IFERROR(__xludf.DUMMYFUNCTION("GOOGLETRANSLATE(C761,""my"", ""en"")"),"525752")</f>
        <v>525752</v>
      </c>
      <c r="V761" s="10" t="str">
        <f>IFERROR(__xludf.DUMMYFUNCTION("GOOGLETRANSLATE(D761,""my"", ""en"")"),"261169")</f>
        <v>261169</v>
      </c>
      <c r="W761" s="10" t="str">
        <f>IFERROR(__xludf.DUMMYFUNCTION("GOOGLETRANSLATE(E761,""my"", ""en"")"),"77816")</f>
        <v>77816</v>
      </c>
      <c r="X761" s="10" t="str">
        <f>IFERROR(__xludf.DUMMYFUNCTION("GOOGLETRANSLATE(F761,""my"", ""en"")"),"338985")</f>
        <v>338985</v>
      </c>
      <c r="Y761" s="10" t="str">
        <f>IFERROR(__xludf.DUMMYFUNCTION("GOOGLETRANSLATE(G761,""my"", ""en"")"),"64.48")</f>
        <v>64.48</v>
      </c>
      <c r="Z761" s="10" t="str">
        <f>IFERROR(__xludf.DUMMYFUNCTION("GOOGLETRANSLATE(H761,""my"", ""en"")"),"3959")</f>
        <v>3959</v>
      </c>
      <c r="AA761" s="10" t="str">
        <f>IFERROR(__xludf.DUMMYFUNCTION("GOOGLETRANSLATE(I761,""my"", ""en"")"),"380")</f>
        <v>380</v>
      </c>
      <c r="AB761" s="10" t="str">
        <f>IFERROR(__xludf.DUMMYFUNCTION("GOOGLETRANSLATE(J761,""my"", ""en"")"),"4339")</f>
        <v>4339</v>
      </c>
      <c r="AE761" s="10" t="str">
        <f>IFERROR(__xludf.DUMMYFUNCTION("GOOGLETRANSLATE(M761,""my"", ""en"")"),"256984")</f>
        <v>256984</v>
      </c>
      <c r="AF761" s="10" t="str">
        <f>IFERROR(__xludf.DUMMYFUNCTION("GOOGLETRANSLATE(N761,""my"", ""en"")"),"77662")</f>
        <v>77662</v>
      </c>
      <c r="AG761" s="10" t="str">
        <f>IFERROR(__xludf.DUMMYFUNCTION("GOOGLETRANSLATE(O761,""my"", ""en"")"),"334646")</f>
        <v>334646</v>
      </c>
    </row>
    <row r="762" ht="24.75" customHeigh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3" t="s">
        <v>5553</v>
      </c>
      <c r="L762" s="23" t="s">
        <v>5554</v>
      </c>
      <c r="M762" s="24" t="s">
        <v>5555</v>
      </c>
      <c r="N762" s="24" t="s">
        <v>5556</v>
      </c>
      <c r="O762" s="24" t="s">
        <v>5557</v>
      </c>
      <c r="P762" s="25" t="s">
        <v>5558</v>
      </c>
      <c r="AC762" s="10" t="str">
        <f>IFERROR(__xludf.DUMMYFUNCTION("GOOGLETRANSLATE(K762,""my"", ""en"")"),"Khin ေမာင် Shein")</f>
        <v>Khin ေမာင် Shein</v>
      </c>
      <c r="AD762" s="10" t="str">
        <f>IFERROR(__xludf.DUMMYFUNCTION("GOOGLETRANSLATE(L762,""my"", ""en"")")," Game Democracy group   Pop Party")</f>
        <v> Game Democracy group   Pop Party</v>
      </c>
      <c r="AE762" s="10" t="str">
        <f>IFERROR(__xludf.DUMMYFUNCTION("GOOGLETRANSLATE(M762,""my"", ""en"")"),"208205")</f>
        <v>208205</v>
      </c>
      <c r="AF762" s="10" t="str">
        <f>IFERROR(__xludf.DUMMYFUNCTION("GOOGLETRANSLATE(N762,""my"", ""en"")"),"54181")</f>
        <v>54181</v>
      </c>
      <c r="AG762" s="10" t="str">
        <f>IFERROR(__xludf.DUMMYFUNCTION("GOOGLETRANSLATE(O762,""my"", ""en"")"),"262386")</f>
        <v>262386</v>
      </c>
      <c r="AH762" s="10" t="str">
        <f>IFERROR(__xludf.DUMMYFUNCTION("GOOGLETRANSLATE(P762,""my"", ""en"")"),"78.41%")</f>
        <v>78.41%</v>
      </c>
    </row>
    <row r="763" ht="24.0" customHeigh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3" t="s">
        <v>5559</v>
      </c>
      <c r="L763" s="23" t="s">
        <v>5560</v>
      </c>
      <c r="M763" s="24" t="s">
        <v>5561</v>
      </c>
      <c r="N763" s="24" t="s">
        <v>5562</v>
      </c>
      <c r="O763" s="24" t="s">
        <v>5563</v>
      </c>
      <c r="P763" s="25" t="s">
        <v>5564</v>
      </c>
      <c r="AC763" s="10" t="str">
        <f>IFERROR(__xludf.DUMMYFUNCTION("GOOGLETRANSLATE(K763,""my"", ""en"")"),"ေဇာ Win")</f>
        <v>ေဇာ Win</v>
      </c>
      <c r="AD763" s="10" t="str">
        <f>IFERROR(__xludf.DUMMYFUNCTION("GOOGLETRANSLATE(L763,""my"", ""en"")"),"Local ေထာင် soap-stone strong ေရး  under development  Phil  ေရး Party")</f>
        <v>Local ေထာင် soap-stone strong ေရး  under development  Phil  ေရး Party</v>
      </c>
      <c r="AE763" s="10" t="str">
        <f>IFERROR(__xludf.DUMMYFUNCTION("GOOGLETRANSLATE(M763,""my"", ""en"")"),"43256")</f>
        <v>43256</v>
      </c>
      <c r="AF763" s="10" t="str">
        <f>IFERROR(__xludf.DUMMYFUNCTION("GOOGLETRANSLATE(N763,""my"", ""en"")"),"21297")</f>
        <v>21297</v>
      </c>
      <c r="AG763" s="10" t="str">
        <f>IFERROR(__xludf.DUMMYFUNCTION("GOOGLETRANSLATE(O763,""my"", ""en"")"),"64553")</f>
        <v>64553</v>
      </c>
      <c r="AH763" s="10" t="str">
        <f>IFERROR(__xludf.DUMMYFUNCTION("GOOGLETRANSLATE(P763,""my"", ""en"")"),"19.29%")</f>
        <v>19.29%</v>
      </c>
    </row>
    <row r="764" ht="24.75" customHeigh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3" t="s">
        <v>5565</v>
      </c>
      <c r="L764" s="23" t="s">
        <v>5566</v>
      </c>
      <c r="M764" s="24" t="s">
        <v>5567</v>
      </c>
      <c r="N764" s="24" t="s">
        <v>5568</v>
      </c>
      <c r="O764" s="24" t="s">
        <v>5569</v>
      </c>
      <c r="P764" s="25" t="s">
        <v>5570</v>
      </c>
      <c r="AC764" s="10" t="str">
        <f>IFERROR(__xludf.DUMMYFUNCTION("GOOGLETRANSLATE(K764,""my"", ""en"")"),"ေဒ  Khin Khin")</f>
        <v>ေဒ  Khin Khin</v>
      </c>
      <c r="AD764" s="10" t="str">
        <f>IFERROR(__xludf.DUMMYFUNCTION("GOOGLETRANSLATE(L764,""my"", ""en"")"),"ပည်သူ ေရှ  ေဆာင် Party")</f>
        <v>ပည်သူ ေရှ  ေဆာင် Party</v>
      </c>
      <c r="AE764" s="10" t="str">
        <f>IFERROR(__xludf.DUMMYFUNCTION("GOOGLETRANSLATE(M764,""my"", ""en"")"),"3857")</f>
        <v>3857</v>
      </c>
      <c r="AF764" s="10" t="str">
        <f>IFERROR(__xludf.DUMMYFUNCTION("GOOGLETRANSLATE(N764,""my"", ""en"")"),"1294")</f>
        <v>1294</v>
      </c>
      <c r="AG764" s="10" t="str">
        <f>IFERROR(__xludf.DUMMYFUNCTION("GOOGLETRANSLATE(O764,""my"", ""en"")"),"5151")</f>
        <v>5151</v>
      </c>
      <c r="AH764" s="10" t="str">
        <f>IFERROR(__xludf.DUMMYFUNCTION("GOOGLETRANSLATE(P764,""my"", ""en"")"),"1.54%")</f>
        <v>1.54%</v>
      </c>
    </row>
    <row r="765" ht="24.75" customHeigh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3" t="s">
        <v>5571</v>
      </c>
      <c r="L765" s="23" t="s">
        <v>5572</v>
      </c>
      <c r="M765" s="24" t="s">
        <v>5573</v>
      </c>
      <c r="N765" s="24" t="s">
        <v>5574</v>
      </c>
      <c r="O765" s="24" t="s">
        <v>5575</v>
      </c>
      <c r="P765" s="25" t="s">
        <v>5576</v>
      </c>
      <c r="AC765" s="10" t="str">
        <f>IFERROR(__xludf.DUMMYFUNCTION("GOOGLETRANSLATE(K765,""my"", ""en"")")," Game Win")</f>
        <v> Game Win</v>
      </c>
      <c r="AD765" s="10" t="str">
        <f>IFERROR(__xludf.DUMMYFUNCTION("GOOGLETRANSLATE(L765,""my"", ""en"")"),"Local ေထာင် စုေ white  Game ေဆာင် Party")</f>
        <v>Local ေထာင် စုေ white  Game ေဆာင် Party</v>
      </c>
      <c r="AE765" s="10" t="str">
        <f>IFERROR(__xludf.DUMMYFUNCTION("GOOGLETRANSLATE(M765,""my"", ""en"")"),"1666")</f>
        <v>1666</v>
      </c>
      <c r="AF765" s="10" t="str">
        <f>IFERROR(__xludf.DUMMYFUNCTION("GOOGLETRANSLATE(N765,""my"", ""en"")"),"890")</f>
        <v>890</v>
      </c>
      <c r="AG765" s="10" t="str">
        <f>IFERROR(__xludf.DUMMYFUNCTION("GOOGLETRANSLATE(O765,""my"", ""en"")"),"2556")</f>
        <v>2556</v>
      </c>
      <c r="AH765" s="10" t="str">
        <f>IFERROR(__xludf.DUMMYFUNCTION("GOOGLETRANSLATE(P765,""my"", ""en"")"),"0.76%")</f>
        <v>0.76%</v>
      </c>
    </row>
    <row r="766" ht="22.5" customHeight="1">
      <c r="A766" s="28" t="s">
        <v>5577</v>
      </c>
      <c r="B766" s="17" t="s">
        <v>5578</v>
      </c>
      <c r="C766" s="18" t="s">
        <v>5579</v>
      </c>
      <c r="D766" s="18" t="s">
        <v>5580</v>
      </c>
      <c r="E766" s="18" t="s">
        <v>5581</v>
      </c>
      <c r="F766" s="17" t="s">
        <v>5582</v>
      </c>
      <c r="G766" s="18" t="s">
        <v>5583</v>
      </c>
      <c r="H766" s="18" t="s">
        <v>5584</v>
      </c>
      <c r="I766" s="18" t="s">
        <v>5585</v>
      </c>
      <c r="J766" s="18" t="s">
        <v>5586</v>
      </c>
      <c r="K766" s="27"/>
      <c r="L766" s="27"/>
      <c r="M766" s="18" t="s">
        <v>5587</v>
      </c>
      <c r="N766" s="18" t="s">
        <v>5588</v>
      </c>
      <c r="O766" s="18" t="s">
        <v>5589</v>
      </c>
      <c r="P766" s="27"/>
      <c r="S766" s="10" t="str">
        <f>IFERROR(__xludf.DUMMYFUNCTION("GOOGLETRANSLATE(A766,""my"", ""en"")"),"129")</f>
        <v>129</v>
      </c>
      <c r="T766" s="10" t="str">
        <f>IFERROR(__xludf.DUMMYFUNCTION("GOOGLETRANSLATE(B766,""my"", ""en"")"),"မဲဆ  No. (4)")</f>
        <v>မဲဆ  No. (4)</v>
      </c>
      <c r="U766" s="10" t="str">
        <f>IFERROR(__xludf.DUMMYFUNCTION("GOOGLETRANSLATE(C766,""my"", ""en"")"),"640804")</f>
        <v>640804</v>
      </c>
      <c r="V766" s="10" t="str">
        <f>IFERROR(__xludf.DUMMYFUNCTION("GOOGLETRANSLATE(D766,""my"", ""en"")"),"293968")</f>
        <v>293968</v>
      </c>
      <c r="W766" s="10" t="str">
        <f>IFERROR(__xludf.DUMMYFUNCTION("GOOGLETRANSLATE(E766,""my"", ""en"")"),"40522")</f>
        <v>40522</v>
      </c>
      <c r="X766" s="10" t="str">
        <f>IFERROR(__xludf.DUMMYFUNCTION("GOOGLETRANSLATE(F766,""my"", ""en"")"),"334490")</f>
        <v>334490</v>
      </c>
      <c r="Y766" s="10" t="str">
        <f>IFERROR(__xludf.DUMMYFUNCTION("GOOGLETRANSLATE(G766,""my"", ""en"")"),"52.20")</f>
        <v>52.20</v>
      </c>
      <c r="Z766" s="10" t="str">
        <f>IFERROR(__xludf.DUMMYFUNCTION("GOOGLETRANSLATE(H766,""my"", ""en"")"),"7651")</f>
        <v>7651</v>
      </c>
      <c r="AA766" s="10" t="str">
        <f>IFERROR(__xludf.DUMMYFUNCTION("GOOGLETRANSLATE(I766,""my"", ""en"")"),"459")</f>
        <v>459</v>
      </c>
      <c r="AB766" s="10" t="str">
        <f>IFERROR(__xludf.DUMMYFUNCTION("GOOGLETRANSLATE(J766,""my"", ""en"")"),"8110")</f>
        <v>8110</v>
      </c>
      <c r="AE766" s="10" t="str">
        <f>IFERROR(__xludf.DUMMYFUNCTION("GOOGLETRANSLATE(M766,""my"", ""en"")"),"285906")</f>
        <v>285906</v>
      </c>
      <c r="AF766" s="10" t="str">
        <f>IFERROR(__xludf.DUMMYFUNCTION("GOOGLETRANSLATE(N766,""my"", ""en"")"),"40474")</f>
        <v>40474</v>
      </c>
      <c r="AG766" s="10" t="str">
        <f>IFERROR(__xludf.DUMMYFUNCTION("GOOGLETRANSLATE(O766,""my"", ""en"")"),"326380")</f>
        <v>326380</v>
      </c>
    </row>
    <row r="767" ht="21.75" customHeigh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3" t="s">
        <v>5590</v>
      </c>
      <c r="L767" s="23" t="s">
        <v>5591</v>
      </c>
      <c r="M767" s="24" t="s">
        <v>5592</v>
      </c>
      <c r="N767" s="24" t="s">
        <v>5593</v>
      </c>
      <c r="O767" s="24" t="s">
        <v>5594</v>
      </c>
      <c r="P767" s="25" t="s">
        <v>5595</v>
      </c>
      <c r="AC767" s="10" t="str">
        <f>IFERROR(__xludf.DUMMYFUNCTION("GOOGLETRANSLATE(K767,""my"", ""en"")"),"Aye army")</f>
        <v>Aye army</v>
      </c>
      <c r="AD767" s="10" t="str">
        <f>IFERROR(__xludf.DUMMYFUNCTION("GOOGLETRANSLATE(L767,""my"", ""en"")")," Game Democracy group   Pop Party")</f>
        <v> Game Democracy group   Pop Party</v>
      </c>
      <c r="AE767" s="10" t="str">
        <f>IFERROR(__xludf.DUMMYFUNCTION("GOOGLETRANSLATE(M767,""my"", ""en"")"),"246687")</f>
        <v>246687</v>
      </c>
      <c r="AF767" s="10" t="str">
        <f>IFERROR(__xludf.DUMMYFUNCTION("GOOGLETRANSLATE(N767,""my"", ""en"")"),"33179")</f>
        <v>33179</v>
      </c>
      <c r="AG767" s="10" t="str">
        <f>IFERROR(__xludf.DUMMYFUNCTION("GOOGLETRANSLATE(O767,""my"", ""en"")"),"279866")</f>
        <v>279866</v>
      </c>
      <c r="AH767" s="10" t="str">
        <f>IFERROR(__xludf.DUMMYFUNCTION("GOOGLETRANSLATE(P767,""my"", ""en"")"),"85.75%")</f>
        <v>85.75%</v>
      </c>
    </row>
    <row r="768" ht="36.75" customHeigh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3" t="s">
        <v>5596</v>
      </c>
      <c r="L768" s="23" t="s">
        <v>5597</v>
      </c>
      <c r="M768" s="24" t="s">
        <v>5598</v>
      </c>
      <c r="N768" s="24" t="s">
        <v>5599</v>
      </c>
      <c r="O768" s="24" t="s">
        <v>5600</v>
      </c>
      <c r="P768" s="31" t="s">
        <v>5601</v>
      </c>
      <c r="AC768" s="10" t="str">
        <f>IFERROR(__xludf.DUMMYFUNCTION("GOOGLETRANSLATE(K768,""my"", ""en"")"),"U Thein (b)  Key U Thein")</f>
        <v>U Thein (b)  Key U Thein</v>
      </c>
      <c r="AD768" s="10" t="str">
        <f>IFERROR(__xludf.DUMMYFUNCTION("GOOGLETRANSLATE(L768,""my"", ""en"")"),"Local ေထာင် soap-stone strong ေရး  under development  Phil  ေရး Party")</f>
        <v>Local ေထာင် soap-stone strong ေရး  under development  Phil  ေရး Party</v>
      </c>
      <c r="AE768" s="10" t="str">
        <f>IFERROR(__xludf.DUMMYFUNCTION("GOOGLETRANSLATE(M768,""my"", ""en"")"),"28855")</f>
        <v>28855</v>
      </c>
      <c r="AF768" s="10" t="str">
        <f>IFERROR(__xludf.DUMMYFUNCTION("GOOGLETRANSLATE(N768,""my"", ""en"")"),"5159")</f>
        <v>5159</v>
      </c>
      <c r="AG768" s="10" t="str">
        <f>IFERROR(__xludf.DUMMYFUNCTION("GOOGLETRANSLATE(O768,""my"", ""en"")"),"34014")</f>
        <v>34014</v>
      </c>
      <c r="AH768" s="10" t="str">
        <f>IFERROR(__xludf.DUMMYFUNCTION("GOOGLETRANSLATE(P768,""my"", ""en"")"),"10.42%")</f>
        <v>10.42%</v>
      </c>
    </row>
    <row r="769" ht="24.75" customHeigh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3" t="s">
        <v>5602</v>
      </c>
      <c r="L769" s="23" t="s">
        <v>5603</v>
      </c>
      <c r="M769" s="24" t="s">
        <v>5604</v>
      </c>
      <c r="N769" s="24" t="s">
        <v>5605</v>
      </c>
      <c r="O769" s="24" t="s">
        <v>5606</v>
      </c>
      <c r="P769" s="25" t="s">
        <v>5607</v>
      </c>
      <c r="AC769" s="10" t="str">
        <f>IFERROR(__xludf.DUMMYFUNCTION("GOOGLETRANSLATE(K769,""my"", ""en"")"),"ေဒ   Lwin")</f>
        <v>ေဒ   Lwin</v>
      </c>
      <c r="AD769" s="10" t="str">
        <f>IFERROR(__xludf.DUMMYFUNCTION("GOOGLETRANSLATE(L769,""my"", ""en"")"),"Ethnic unity  working party ေရး")</f>
        <v>Ethnic unity  working party ေရး</v>
      </c>
      <c r="AE769" s="10" t="str">
        <f>IFERROR(__xludf.DUMMYFUNCTION("GOOGLETRANSLATE(M769,""my"", ""en"")"),"2992")</f>
        <v>2992</v>
      </c>
      <c r="AF769" s="10" t="str">
        <f>IFERROR(__xludf.DUMMYFUNCTION("GOOGLETRANSLATE(N769,""my"", ""en"")"),"646")</f>
        <v>646</v>
      </c>
      <c r="AG769" s="10" t="str">
        <f>IFERROR(__xludf.DUMMYFUNCTION("GOOGLETRANSLATE(O769,""my"", ""en"")"),"3638")</f>
        <v>3638</v>
      </c>
      <c r="AH769" s="10" t="str">
        <f>IFERROR(__xludf.DUMMYFUNCTION("GOOGLETRANSLATE(P769,""my"", ""en"")"),"1.11%")</f>
        <v>1.11%</v>
      </c>
    </row>
    <row r="770" ht="22.5" customHeigh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3" t="s">
        <v>5608</v>
      </c>
      <c r="L770" s="23" t="s">
        <v>5609</v>
      </c>
      <c r="M770" s="24" t="s">
        <v>5610</v>
      </c>
      <c r="N770" s="24" t="s">
        <v>5611</v>
      </c>
      <c r="O770" s="24" t="s">
        <v>5612</v>
      </c>
      <c r="P770" s="25" t="s">
        <v>5613</v>
      </c>
      <c r="AC770" s="10" t="str">
        <f>IFERROR(__xludf.DUMMYFUNCTION("GOOGLETRANSLATE(K770,""my"", ""en"")"),"A strong ေဇ arbitrary")</f>
        <v>A strong ေဇ arbitrary</v>
      </c>
      <c r="AD770" s="10" t="str">
        <f>IFERROR(__xludf.DUMMYFUNCTION("GOOGLETRANSLATE(L770,""my"", ""en"")"),"ပည်သူ ေရှ  ေဆာင် Party")</f>
        <v>ပည်သူ ေရှ  ေဆာင် Party</v>
      </c>
      <c r="AE770" s="10" t="str">
        <f>IFERROR(__xludf.DUMMYFUNCTION("GOOGLETRANSLATE(M770,""my"", ""en"")"),"2390")</f>
        <v>2390</v>
      </c>
      <c r="AF770" s="10" t="str">
        <f>IFERROR(__xludf.DUMMYFUNCTION("GOOGLETRANSLATE(N770,""my"", ""en"")"),"449")</f>
        <v>449</v>
      </c>
      <c r="AG770" s="10" t="str">
        <f>IFERROR(__xludf.DUMMYFUNCTION("GOOGLETRANSLATE(O770,""my"", ""en"")"),"2839")</f>
        <v>2839</v>
      </c>
      <c r="AH770" s="10" t="str">
        <f>IFERROR(__xludf.DUMMYFUNCTION("GOOGLETRANSLATE(P770,""my"", ""en"")"),"0.87%")</f>
        <v>0.87%</v>
      </c>
    </row>
    <row r="771" ht="24.75" customHeigh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3" t="s">
        <v>5614</v>
      </c>
      <c r="L771" s="23" t="s">
        <v>5615</v>
      </c>
      <c r="M771" s="24" t="s">
        <v>5616</v>
      </c>
      <c r="N771" s="24" t="s">
        <v>5617</v>
      </c>
      <c r="O771" s="24" t="s">
        <v>5618</v>
      </c>
      <c r="P771" s="25" t="s">
        <v>5619</v>
      </c>
      <c r="AC771" s="10" t="str">
        <f>IFERROR(__xludf.DUMMYFUNCTION("GOOGLETRANSLATE(K771,""my"", ""en"")"),"ေဒ  ေသာ")</f>
        <v>ေဒ  ေသာ</v>
      </c>
      <c r="AD771" s="10" t="str">
        <f>IFERROR(__xludf.DUMMYFUNCTION("GOOGLETRANSLATE(L771,""my"", ""en"")")," Game Democracy Force")</f>
        <v> Game Democracy Force</v>
      </c>
      <c r="AE771" s="10" t="str">
        <f>IFERROR(__xludf.DUMMYFUNCTION("GOOGLETRANSLATE(M771,""my"", ""en"")"),"2360")</f>
        <v>2360</v>
      </c>
      <c r="AF771" s="10" t="str">
        <f>IFERROR(__xludf.DUMMYFUNCTION("GOOGLETRANSLATE(N771,""my"", ""en"")"),"421")</f>
        <v>421</v>
      </c>
      <c r="AG771" s="10" t="str">
        <f>IFERROR(__xludf.DUMMYFUNCTION("GOOGLETRANSLATE(O771,""my"", ""en"")"),"2781")</f>
        <v>2781</v>
      </c>
      <c r="AH771" s="10" t="str">
        <f>IFERROR(__xludf.DUMMYFUNCTION("GOOGLETRANSLATE(P771,""my"", ""en"")"),"0.85%")</f>
        <v>0.85%</v>
      </c>
    </row>
    <row r="772" ht="22.5" customHeigh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3" t="s">
        <v>5620</v>
      </c>
      <c r="L772" s="23" t="s">
        <v>5621</v>
      </c>
      <c r="M772" s="24" t="s">
        <v>5622</v>
      </c>
      <c r="N772" s="24" t="s">
        <v>5623</v>
      </c>
      <c r="O772" s="24" t="s">
        <v>5624</v>
      </c>
      <c r="P772" s="25" t="s">
        <v>5625</v>
      </c>
      <c r="AC772" s="10" t="str">
        <f>IFERROR(__xludf.DUMMYFUNCTION("GOOGLETRANSLATE(K772,""my"", ""en"")"),"U Min Min ေဇာ")</f>
        <v>U Min Min ေဇာ</v>
      </c>
      <c r="AD772" s="10" t="str">
        <f>IFERROR(__xludf.DUMMYFUNCTION("GOOGLETRANSLATE(L772,""my"", ""en"")"),"Local ေထာင် စုေ white  Game ေဆာင် Party")</f>
        <v>Local ေထာင် စုေ white  Game ေဆာင် Party</v>
      </c>
      <c r="AE772" s="10" t="str">
        <f>IFERROR(__xludf.DUMMYFUNCTION("GOOGLETRANSLATE(M772,""my"", ""en"")"),"1469")</f>
        <v>1469</v>
      </c>
      <c r="AF772" s="10" t="str">
        <f>IFERROR(__xludf.DUMMYFUNCTION("GOOGLETRANSLATE(N772,""my"", ""en"")"),"375")</f>
        <v>375</v>
      </c>
      <c r="AG772" s="10" t="str">
        <f>IFERROR(__xludf.DUMMYFUNCTION("GOOGLETRANSLATE(O772,""my"", ""en"")"),"1844")</f>
        <v>1844</v>
      </c>
      <c r="AH772" s="10" t="str">
        <f>IFERROR(__xludf.DUMMYFUNCTION("GOOGLETRANSLATE(P772,""my"", ""en"")"),"0.57%")</f>
        <v>0.57%</v>
      </c>
    </row>
    <row r="773" ht="21.75" customHeigh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9" t="s">
        <v>5626</v>
      </c>
      <c r="L773" s="23" t="s">
        <v>5627</v>
      </c>
      <c r="M773" s="24" t="s">
        <v>5628</v>
      </c>
      <c r="N773" s="24" t="s">
        <v>5629</v>
      </c>
      <c r="O773" s="24" t="s">
        <v>5630</v>
      </c>
      <c r="P773" s="25" t="s">
        <v>5631</v>
      </c>
      <c r="AC773" s="10" t="str">
        <f>IFERROR(__xludf.DUMMYFUNCTION("GOOGLETRANSLATE(K773,""my"", ""en"")"),"ေအာင် ေကျာ Tun  ုိင်")</f>
        <v>ေအာင် ေကျာ Tun  ုိင်</v>
      </c>
      <c r="AD773" s="10" t="str">
        <f>IFERROR(__xludf.DUMMYFUNCTION("GOOGLETRANSLATE(L773,""my"", ""en"")"),"Personal ")</f>
        <v>Personal </v>
      </c>
      <c r="AE773" s="10" t="str">
        <f>IFERROR(__xludf.DUMMYFUNCTION("GOOGLETRANSLATE(M773,""my"", ""en"")"),"1153")</f>
        <v>1153</v>
      </c>
      <c r="AF773" s="10" t="str">
        <f>IFERROR(__xludf.DUMMYFUNCTION("GOOGLETRANSLATE(N773,""my"", ""en"")"),"245")</f>
        <v>245</v>
      </c>
      <c r="AG773" s="10" t="str">
        <f>IFERROR(__xludf.DUMMYFUNCTION("GOOGLETRANSLATE(O773,""my"", ""en"")"),"1398")</f>
        <v>1398</v>
      </c>
      <c r="AH773" s="10" t="str">
        <f>IFERROR(__xludf.DUMMYFUNCTION("GOOGLETRANSLATE(P773,""my"", ""en"")"),"0.43%")</f>
        <v>0.43%</v>
      </c>
    </row>
    <row r="774" ht="21.0" customHeight="1">
      <c r="A774" s="28" t="s">
        <v>5632</v>
      </c>
      <c r="B774" s="17" t="s">
        <v>5633</v>
      </c>
      <c r="C774" s="18" t="s">
        <v>5634</v>
      </c>
      <c r="D774" s="18" t="s">
        <v>5635</v>
      </c>
      <c r="E774" s="18" t="s">
        <v>5636</v>
      </c>
      <c r="F774" s="17" t="s">
        <v>5637</v>
      </c>
      <c r="G774" s="18" t="s">
        <v>5638</v>
      </c>
      <c r="H774" s="18" t="s">
        <v>5639</v>
      </c>
      <c r="I774" s="18" t="s">
        <v>5640</v>
      </c>
      <c r="J774" s="18" t="s">
        <v>5641</v>
      </c>
      <c r="K774" s="27"/>
      <c r="L774" s="27"/>
      <c r="M774" s="18" t="s">
        <v>5642</v>
      </c>
      <c r="N774" s="18" t="s">
        <v>5643</v>
      </c>
      <c r="O774" s="18" t="s">
        <v>5644</v>
      </c>
      <c r="P774" s="27"/>
      <c r="S774" s="10" t="str">
        <f>IFERROR(__xludf.DUMMYFUNCTION("GOOGLETRANSLATE(A774,""my"", ""en"")"),"130")</f>
        <v>130</v>
      </c>
      <c r="T774" s="10" t="str">
        <f>IFERROR(__xludf.DUMMYFUNCTION("GOOGLETRANSLATE(B774,""my"", ""en"")"),"မဲဆ  (5 points)")</f>
        <v>မဲဆ  (5 points)</v>
      </c>
      <c r="U774" s="10" t="str">
        <f>IFERROR(__xludf.DUMMYFUNCTION("GOOGLETRANSLATE(C774,""my"", ""en"")"),"503775")</f>
        <v>503775</v>
      </c>
      <c r="V774" s="10" t="str">
        <f>IFERROR(__xludf.DUMMYFUNCTION("GOOGLETRANSLATE(D774,""my"", ""en"")"),"262320")</f>
        <v>262320</v>
      </c>
      <c r="W774" s="10" t="str">
        <f>IFERROR(__xludf.DUMMYFUNCTION("GOOGLETRANSLATE(E774,""my"", ""en"")"),"88046")</f>
        <v>88046</v>
      </c>
      <c r="X774" s="10" t="str">
        <f>IFERROR(__xludf.DUMMYFUNCTION("GOOGLETRANSLATE(F774,""my"", ""en"")"),"350366")</f>
        <v>350366</v>
      </c>
      <c r="Y774" s="10" t="str">
        <f>IFERROR(__xludf.DUMMYFUNCTION("GOOGLETRANSLATE(G774,""my"", ""en"")"),"69.55")</f>
        <v>69.55</v>
      </c>
      <c r="Z774" s="10" t="str">
        <f>IFERROR(__xludf.DUMMYFUNCTION("GOOGLETRANSLATE(H774,""my"", ""en"")"),"2937")</f>
        <v>2937</v>
      </c>
      <c r="AA774" s="10" t="str">
        <f>IFERROR(__xludf.DUMMYFUNCTION("GOOGLETRANSLATE(I774,""my"", ""en"")"),"173")</f>
        <v>173</v>
      </c>
      <c r="AB774" s="10" t="str">
        <f>IFERROR(__xludf.DUMMYFUNCTION("GOOGLETRANSLATE(J774,""my"", ""en"")"),"3110")</f>
        <v>3110</v>
      </c>
      <c r="AE774" s="10" t="str">
        <f>IFERROR(__xludf.DUMMYFUNCTION("GOOGLETRANSLATE(M774,""my"", ""en"")"),"259289")</f>
        <v>259289</v>
      </c>
      <c r="AF774" s="10" t="str">
        <f>IFERROR(__xludf.DUMMYFUNCTION("GOOGLETRANSLATE(N774,""my"", ""en"")"),"87967")</f>
        <v>87967</v>
      </c>
      <c r="AG774" s="10" t="str">
        <f>IFERROR(__xludf.DUMMYFUNCTION("GOOGLETRANSLATE(O774,""my"", ""en"")"),"347256")</f>
        <v>347256</v>
      </c>
    </row>
    <row r="775" ht="21.75" customHeigh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3" t="s">
        <v>5645</v>
      </c>
      <c r="L775" s="23" t="s">
        <v>5646</v>
      </c>
      <c r="M775" s="24" t="s">
        <v>5647</v>
      </c>
      <c r="N775" s="24" t="s">
        <v>5648</v>
      </c>
      <c r="O775" s="24" t="s">
        <v>5649</v>
      </c>
      <c r="P775" s="25" t="s">
        <v>5650</v>
      </c>
      <c r="AC775" s="10" t="str">
        <f>IFERROR(__xludf.DUMMYFUNCTION("GOOGLETRANSLATE(K775,""my"", ""en"")"),"ေဒါက် March  over several o")</f>
        <v>ေဒါက် March  over several o</v>
      </c>
      <c r="AD775" s="10" t="str">
        <f>IFERROR(__xludf.DUMMYFUNCTION("GOOGLETRANSLATE(L775,""my"", ""en"")")," Game Democracy group   Pop Party")</f>
        <v> Game Democracy group   Pop Party</v>
      </c>
      <c r="AE775" s="10" t="str">
        <f>IFERROR(__xludf.DUMMYFUNCTION("GOOGLETRANSLATE(M775,""my"", ""en"")"),"227750")</f>
        <v>227750</v>
      </c>
      <c r="AF775" s="10" t="str">
        <f>IFERROR(__xludf.DUMMYFUNCTION("GOOGLETRANSLATE(N775,""my"", ""en"")"),"75940")</f>
        <v>75940</v>
      </c>
      <c r="AG775" s="10" t="str">
        <f>IFERROR(__xludf.DUMMYFUNCTION("GOOGLETRANSLATE(O775,""my"", ""en"")"),"303690")</f>
        <v>303690</v>
      </c>
      <c r="AH775" s="10" t="str">
        <f>IFERROR(__xludf.DUMMYFUNCTION("GOOGLETRANSLATE(P775,""my"", ""en"")"),"87.45%")</f>
        <v>87.45%</v>
      </c>
    </row>
    <row r="776" ht="36.0" customHeigh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3" t="s">
        <v>5651</v>
      </c>
      <c r="L776" s="23" t="s">
        <v>5652</v>
      </c>
      <c r="M776" s="24" t="s">
        <v>5653</v>
      </c>
      <c r="N776" s="24" t="s">
        <v>5654</v>
      </c>
      <c r="O776" s="24" t="s">
        <v>5655</v>
      </c>
      <c r="P776" s="31" t="s">
        <v>5656</v>
      </c>
      <c r="AC776" s="10" t="str">
        <f>IFERROR(__xludf.DUMMYFUNCTION("GOOGLETRANSLATE(K776,""my"", ""en"")"),"Tin ေအာင် (b) insists, ေမာင် March  petitioners")</f>
        <v>Tin ေအာင် (b) insists, ေမာင် March  petitioners</v>
      </c>
      <c r="AD776" s="10" t="str">
        <f>IFERROR(__xludf.DUMMYFUNCTION("GOOGLETRANSLATE(L776,""my"", ""en"")"),"Local ေထာင် soap-stone strong ေရး  under development  Phil  ေရး Party")</f>
        <v>Local ေထာင် soap-stone strong ေရး  under development  Phil  ေရး Party</v>
      </c>
      <c r="AE776" s="10" t="str">
        <f>IFERROR(__xludf.DUMMYFUNCTION("GOOGLETRANSLATE(M776,""my"", ""en"")"),"21204")</f>
        <v>21204</v>
      </c>
      <c r="AF776" s="10" t="str">
        <f>IFERROR(__xludf.DUMMYFUNCTION("GOOGLETRANSLATE(N776,""my"", ""en"")"),"8512")</f>
        <v>8512</v>
      </c>
      <c r="AG776" s="10" t="str">
        <f>IFERROR(__xludf.DUMMYFUNCTION("GOOGLETRANSLATE(O776,""my"", ""en"")"),"29716")</f>
        <v>29716</v>
      </c>
      <c r="AH776" s="10" t="str">
        <f>IFERROR(__xludf.DUMMYFUNCTION("GOOGLETRANSLATE(P776,""my"", ""en"")"),"8.56%")</f>
        <v>8.56%</v>
      </c>
    </row>
    <row r="777" ht="22.5" customHeigh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3" t="s">
        <v>5657</v>
      </c>
      <c r="L777" s="23" t="s">
        <v>5658</v>
      </c>
      <c r="M777" s="24" t="s">
        <v>5659</v>
      </c>
      <c r="N777" s="24" t="s">
        <v>5660</v>
      </c>
      <c r="O777" s="24" t="s">
        <v>5661</v>
      </c>
      <c r="P777" s="25" t="s">
        <v>5662</v>
      </c>
      <c r="AC777" s="10" t="str">
        <f>IFERROR(__xludf.DUMMYFUNCTION("GOOGLETRANSLATE(K777,""my"", ""en"")"),"ေကာလ် Lian")</f>
        <v>ေကာလ် Lian</v>
      </c>
      <c r="AD777" s="10" t="str">
        <f>IFERROR(__xludf.DUMMYFUNCTION("GOOGLETRANSLATE(L777,""my"", ""en"")"),"ပည်သူ Party")</f>
        <v>ပည်သူ Party</v>
      </c>
      <c r="AE777" s="10" t="str">
        <f>IFERROR(__xludf.DUMMYFUNCTION("GOOGLETRANSLATE(M777,""my"", ""en"")"),"3503")</f>
        <v>3503</v>
      </c>
      <c r="AF777" s="10" t="str">
        <f>IFERROR(__xludf.DUMMYFUNCTION("GOOGLETRANSLATE(N777,""my"", ""en"")"),"983")</f>
        <v>983</v>
      </c>
      <c r="AG777" s="10" t="str">
        <f>IFERROR(__xludf.DUMMYFUNCTION("GOOGLETRANSLATE(O777,""my"", ""en"")"),"4486")</f>
        <v>4486</v>
      </c>
      <c r="AH777" s="10" t="str">
        <f>IFERROR(__xludf.DUMMYFUNCTION("GOOGLETRANSLATE(P777,""my"", ""en"")"),"1.29%")</f>
        <v>1.29%</v>
      </c>
    </row>
    <row r="778" ht="22.5" customHeigh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3" t="s">
        <v>5663</v>
      </c>
      <c r="L778" s="23" t="s">
        <v>5664</v>
      </c>
      <c r="M778" s="24" t="s">
        <v>5665</v>
      </c>
      <c r="N778" s="24" t="s">
        <v>5666</v>
      </c>
      <c r="O778" s="24" t="s">
        <v>5667</v>
      </c>
      <c r="P778" s="25" t="s">
        <v>5668</v>
      </c>
      <c r="AC778" s="10" t="str">
        <f>IFERROR(__xludf.DUMMYFUNCTION("GOOGLETRANSLATE(K778,""my"", ""en"")"),"The phone's ေအာင်")</f>
        <v>The phone's ေအာင်</v>
      </c>
      <c r="AD778" s="10" t="str">
        <f>IFERROR(__xludf.DUMMYFUNCTION("GOOGLETRANSLATE(L778,""my"", ""en"")")," Game Democracy Force")</f>
        <v> Game Democracy Force</v>
      </c>
      <c r="AE778" s="10" t="str">
        <f>IFERROR(__xludf.DUMMYFUNCTION("GOOGLETRANSLATE(M778,""my"", ""en"")"),"2552")</f>
        <v>2552</v>
      </c>
      <c r="AF778" s="10" t="str">
        <f>IFERROR(__xludf.DUMMYFUNCTION("GOOGLETRANSLATE(N778,""my"", ""en"")"),"990")</f>
        <v>990</v>
      </c>
      <c r="AG778" s="10" t="str">
        <f>IFERROR(__xludf.DUMMYFUNCTION("GOOGLETRANSLATE(O778,""my"", ""en"")"),"3542")</f>
        <v>3542</v>
      </c>
      <c r="AH778" s="10" t="str">
        <f>IFERROR(__xludf.DUMMYFUNCTION("GOOGLETRANSLATE(P778,""my"", ""en"")"),"1.02%")</f>
        <v>1.02%</v>
      </c>
    </row>
    <row r="779" ht="22.5" customHeigh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3" t="s">
        <v>5669</v>
      </c>
      <c r="L779" s="23" t="s">
        <v>5670</v>
      </c>
      <c r="M779" s="24" t="s">
        <v>5671</v>
      </c>
      <c r="N779" s="24" t="s">
        <v>5672</v>
      </c>
      <c r="O779" s="24" t="s">
        <v>5673</v>
      </c>
      <c r="P779" s="25" t="s">
        <v>5674</v>
      </c>
      <c r="AC779" s="10" t="str">
        <f>IFERROR(__xludf.DUMMYFUNCTION("GOOGLETRANSLATE(K779,""my"", ""en"")"),"ေအာင်  Union")</f>
        <v>ေအာင်  Union</v>
      </c>
      <c r="AD779" s="10" t="str">
        <f>IFERROR(__xludf.DUMMYFUNCTION("GOOGLETRANSLATE(L779,""my"", ""en"")"),"Ethnic unity  working party ေရး")</f>
        <v>Ethnic unity  working party ေရး</v>
      </c>
      <c r="AE779" s="10" t="str">
        <f>IFERROR(__xludf.DUMMYFUNCTION("GOOGLETRANSLATE(M779,""my"", ""en"")"),"2208")</f>
        <v>2208</v>
      </c>
      <c r="AF779" s="10" t="str">
        <f>IFERROR(__xludf.DUMMYFUNCTION("GOOGLETRANSLATE(N779,""my"", ""en"")"),"739")</f>
        <v>739</v>
      </c>
      <c r="AG779" s="10" t="str">
        <f>IFERROR(__xludf.DUMMYFUNCTION("GOOGLETRANSLATE(O779,""my"", ""en"")"),"2947")</f>
        <v>2947</v>
      </c>
      <c r="AH779" s="10" t="str">
        <f>IFERROR(__xludf.DUMMYFUNCTION("GOOGLETRANSLATE(P779,""my"", ""en"")"),"0.85%")</f>
        <v>0.85%</v>
      </c>
    </row>
    <row r="780" ht="22.5" customHeigh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3" t="s">
        <v>5675</v>
      </c>
      <c r="L780" s="23" t="s">
        <v>5676</v>
      </c>
      <c r="M780" s="24" t="s">
        <v>5677</v>
      </c>
      <c r="N780" s="24" t="s">
        <v>5678</v>
      </c>
      <c r="O780" s="24" t="s">
        <v>5679</v>
      </c>
      <c r="P780" s="25" t="s">
        <v>5680</v>
      </c>
      <c r="AC780" s="10" t="str">
        <f>IFERROR(__xludf.DUMMYFUNCTION("GOOGLETRANSLATE(K780,""my"", ""en"")"),"လှြ")</f>
        <v>လှြ</v>
      </c>
      <c r="AD780" s="10" t="str">
        <f>IFERROR(__xludf.DUMMYFUNCTION("GOOGLETRANSLATE(L780,""my"", ""en"")"),"Local ေထာင် စုေ white  Game ေဆာင် Party")</f>
        <v>Local ေထာင် စုေ white  Game ေဆာင် Party</v>
      </c>
      <c r="AE780" s="10" t="str">
        <f>IFERROR(__xludf.DUMMYFUNCTION("GOOGLETRANSLATE(M780,""my"", ""en"")"),"2072")</f>
        <v>2072</v>
      </c>
      <c r="AF780" s="10" t="str">
        <f>IFERROR(__xludf.DUMMYFUNCTION("GOOGLETRANSLATE(N780,""my"", ""en"")"),"803")</f>
        <v>803</v>
      </c>
      <c r="AG780" s="10" t="str">
        <f>IFERROR(__xludf.DUMMYFUNCTION("GOOGLETRANSLATE(O780,""my"", ""en"")"),"2875")</f>
        <v>2875</v>
      </c>
      <c r="AH780" s="10" t="str">
        <f>IFERROR(__xludf.DUMMYFUNCTION("GOOGLETRANSLATE(P780,""my"", ""en"")"),"0.83%")</f>
        <v>0.83%</v>
      </c>
    </row>
    <row r="781" ht="24.0" customHeight="1">
      <c r="A781" s="28" t="s">
        <v>5681</v>
      </c>
      <c r="B781" s="17" t="s">
        <v>5682</v>
      </c>
      <c r="C781" s="18" t="s">
        <v>5683</v>
      </c>
      <c r="D781" s="18" t="s">
        <v>5684</v>
      </c>
      <c r="E781" s="18" t="s">
        <v>5685</v>
      </c>
      <c r="F781" s="17" t="s">
        <v>5686</v>
      </c>
      <c r="G781" s="18" t="s">
        <v>5687</v>
      </c>
      <c r="H781" s="18" t="s">
        <v>5688</v>
      </c>
      <c r="I781" s="18" t="s">
        <v>5689</v>
      </c>
      <c r="J781" s="18" t="s">
        <v>5690</v>
      </c>
      <c r="K781" s="27"/>
      <c r="L781" s="27"/>
      <c r="M781" s="18" t="s">
        <v>5691</v>
      </c>
      <c r="N781" s="18" t="s">
        <v>5692</v>
      </c>
      <c r="O781" s="18" t="s">
        <v>5693</v>
      </c>
      <c r="P781" s="27"/>
      <c r="S781" s="10" t="str">
        <f>IFERROR(__xludf.DUMMYFUNCTION("GOOGLETRANSLATE(A781,""my"", ""en"")"),"131")</f>
        <v>131</v>
      </c>
      <c r="T781" s="10" t="str">
        <f>IFERROR(__xludf.DUMMYFUNCTION("GOOGLETRANSLATE(B781,""my"", ""en"")"),"မဲဆ  No. (6)")</f>
        <v>မဲဆ  No. (6)</v>
      </c>
      <c r="U781" s="10" t="str">
        <f>IFERROR(__xludf.DUMMYFUNCTION("GOOGLETRANSLATE(C781,""my"", ""en"")"),"462402")</f>
        <v>462402</v>
      </c>
      <c r="V781" s="10" t="str">
        <f>IFERROR(__xludf.DUMMYFUNCTION("GOOGLETRANSLATE(D781,""my"", ""en"")"),"246956")</f>
        <v>246956</v>
      </c>
      <c r="W781" s="10" t="str">
        <f>IFERROR(__xludf.DUMMYFUNCTION("GOOGLETRANSLATE(E781,""my"", ""en"")"),"46949")</f>
        <v>46949</v>
      </c>
      <c r="X781" s="10" t="str">
        <f>IFERROR(__xludf.DUMMYFUNCTION("GOOGLETRANSLATE(F781,""my"", ""en"")"),"293905")</f>
        <v>293905</v>
      </c>
      <c r="Y781" s="10" t="str">
        <f>IFERROR(__xludf.DUMMYFUNCTION("GOOGLETRANSLATE(G781,""my"", ""en"")"),"63.56")</f>
        <v>63.56</v>
      </c>
      <c r="Z781" s="10" t="str">
        <f>IFERROR(__xludf.DUMMYFUNCTION("GOOGLETRANSLATE(H781,""my"", ""en"")"),"4932")</f>
        <v>4932</v>
      </c>
      <c r="AA781" s="10" t="str">
        <f>IFERROR(__xludf.DUMMYFUNCTION("GOOGLETRANSLATE(I781,""my"", ""en"")"),"593")</f>
        <v>593</v>
      </c>
      <c r="AB781" s="10" t="str">
        <f>IFERROR(__xludf.DUMMYFUNCTION("GOOGLETRANSLATE(J781,""my"", ""en"")"),"5525")</f>
        <v>5525</v>
      </c>
      <c r="AE781" s="10" t="str">
        <f>IFERROR(__xludf.DUMMYFUNCTION("GOOGLETRANSLATE(M781,""my"", ""en"")"),"241874")</f>
        <v>241874</v>
      </c>
      <c r="AF781" s="10" t="str">
        <f>IFERROR(__xludf.DUMMYFUNCTION("GOOGLETRANSLATE(N781,""my"", ""en"")"),"46506")</f>
        <v>46506</v>
      </c>
      <c r="AG781" s="10" t="str">
        <f>IFERROR(__xludf.DUMMYFUNCTION("GOOGLETRANSLATE(O781,""my"", ""en"")"),"288380")</f>
        <v>288380</v>
      </c>
    </row>
    <row r="782" ht="24.0" customHeigh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3" t="s">
        <v>5694</v>
      </c>
      <c r="L782" s="23" t="s">
        <v>5695</v>
      </c>
      <c r="M782" s="24" t="s">
        <v>5696</v>
      </c>
      <c r="N782" s="24" t="s">
        <v>5697</v>
      </c>
      <c r="O782" s="24" t="s">
        <v>5698</v>
      </c>
      <c r="P782" s="25" t="s">
        <v>5699</v>
      </c>
      <c r="AC782" s="10" t="str">
        <f>IFERROR(__xludf.DUMMYFUNCTION("GOOGLETRANSLATE(K782,""my"", ""en"")"),"ေနေ precisely")</f>
        <v>ေနေ precisely</v>
      </c>
      <c r="AD782" s="10" t="str">
        <f>IFERROR(__xludf.DUMMYFUNCTION("GOOGLETRANSLATE(L782,""my"", ""en"")")," Game Democracy group   Pop Party")</f>
        <v> Game Democracy group   Pop Party</v>
      </c>
      <c r="AE782" s="10" t="str">
        <f>IFERROR(__xludf.DUMMYFUNCTION("GOOGLETRANSLATE(M782,""my"", ""en"")"),"209966")</f>
        <v>209966</v>
      </c>
      <c r="AF782" s="10" t="str">
        <f>IFERROR(__xludf.DUMMYFUNCTION("GOOGLETRANSLATE(N782,""my"", ""en"")"),"38126")</f>
        <v>38126</v>
      </c>
      <c r="AG782" s="10" t="str">
        <f>IFERROR(__xludf.DUMMYFUNCTION("GOOGLETRANSLATE(O782,""my"", ""en"")"),"248092")</f>
        <v>248092</v>
      </c>
      <c r="AH782" s="10" t="str">
        <f>IFERROR(__xludf.DUMMYFUNCTION("GOOGLETRANSLATE(P782,""my"", ""en"")"),"86.03%")</f>
        <v>86.03%</v>
      </c>
    </row>
    <row r="783" ht="24.0" customHeigh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3" t="s">
        <v>5700</v>
      </c>
      <c r="L783" s="23" t="s">
        <v>5701</v>
      </c>
      <c r="M783" s="24" t="s">
        <v>5702</v>
      </c>
      <c r="N783" s="24" t="s">
        <v>5703</v>
      </c>
      <c r="O783" s="24" t="s">
        <v>5704</v>
      </c>
      <c r="P783" s="25" t="s">
        <v>5705</v>
      </c>
      <c r="AC783" s="10" t="str">
        <f>IFERROR(__xludf.DUMMYFUNCTION("GOOGLETRANSLATE(K783,""my"", ""en"")"),"O   Game")</f>
        <v>O   Game</v>
      </c>
      <c r="AD783" s="10" t="str">
        <f>IFERROR(__xludf.DUMMYFUNCTION("GOOGLETRANSLATE(L783,""my"", ""en"")"),"Local ေထာင် soap-stone strong ေရး  under development  Phil  ေရး Party")</f>
        <v>Local ေထာင် soap-stone strong ေရး  under development  Phil  ေရး Party</v>
      </c>
      <c r="AE783" s="10" t="str">
        <f>IFERROR(__xludf.DUMMYFUNCTION("GOOGLETRANSLATE(M783,""my"", ""en"")"),"27062")</f>
        <v>27062</v>
      </c>
      <c r="AF783" s="10" t="str">
        <f>IFERROR(__xludf.DUMMYFUNCTION("GOOGLETRANSLATE(N783,""my"", ""en"")"),"7077")</f>
        <v>7077</v>
      </c>
      <c r="AG783" s="10" t="str">
        <f>IFERROR(__xludf.DUMMYFUNCTION("GOOGLETRANSLATE(O783,""my"", ""en"")"),"34139")</f>
        <v>34139</v>
      </c>
      <c r="AH783" s="10" t="str">
        <f>IFERROR(__xludf.DUMMYFUNCTION("GOOGLETRANSLATE(P783,""my"", ""en"")"),"11.84%")</f>
        <v>11.84%</v>
      </c>
    </row>
    <row r="784" ht="24.75" customHeigh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3" t="s">
        <v>5706</v>
      </c>
      <c r="L784" s="23" t="s">
        <v>5707</v>
      </c>
      <c r="M784" s="24" t="s">
        <v>5708</v>
      </c>
      <c r="N784" s="24" t="s">
        <v>5709</v>
      </c>
      <c r="O784" s="24" t="s">
        <v>5710</v>
      </c>
      <c r="P784" s="25" t="s">
        <v>5711</v>
      </c>
      <c r="AC784" s="10" t="str">
        <f>IFERROR(__xludf.DUMMYFUNCTION("GOOGLETRANSLATE(K784,""my"", ""en"")"),"Yu million")</f>
        <v>Yu million</v>
      </c>
      <c r="AD784" s="10" t="str">
        <f>IFERROR(__xludf.DUMMYFUNCTION("GOOGLETRANSLATE(L784,""my"", ""en"")"),"ပည်သူ ေရှ  ေဆာင် Party")</f>
        <v>ပည်သူ ေရှ  ေဆာင် Party</v>
      </c>
      <c r="AE784" s="10" t="str">
        <f>IFERROR(__xludf.DUMMYFUNCTION("GOOGLETRANSLATE(M784,""my"", ""en"")"),"2098")</f>
        <v>2098</v>
      </c>
      <c r="AF784" s="10" t="str">
        <f>IFERROR(__xludf.DUMMYFUNCTION("GOOGLETRANSLATE(N784,""my"", ""en"")"),"397")</f>
        <v>397</v>
      </c>
      <c r="AG784" s="10" t="str">
        <f>IFERROR(__xludf.DUMMYFUNCTION("GOOGLETRANSLATE(O784,""my"", ""en"")"),"2495")</f>
        <v>2495</v>
      </c>
      <c r="AH784" s="10" t="str">
        <f>IFERROR(__xludf.DUMMYFUNCTION("GOOGLETRANSLATE(P784,""my"", ""en"")"),"0.86%")</f>
        <v>0.86%</v>
      </c>
    </row>
    <row r="785" ht="24.0" customHeigh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3" t="s">
        <v>5712</v>
      </c>
      <c r="L785" s="23" t="s">
        <v>5713</v>
      </c>
      <c r="M785" s="24" t="s">
        <v>5714</v>
      </c>
      <c r="N785" s="24" t="s">
        <v>5715</v>
      </c>
      <c r="O785" s="24" t="s">
        <v>5716</v>
      </c>
      <c r="P785" s="25" t="s">
        <v>5717</v>
      </c>
      <c r="AC785" s="10" t="str">
        <f>IFERROR(__xludf.DUMMYFUNCTION("GOOGLETRANSLATE(K785,""my"", ""en"")"),"ေဒါက် Error")</f>
        <v>ေဒါက် Error</v>
      </c>
      <c r="AD785" s="10" t="str">
        <f>IFERROR(__xludf.DUMMYFUNCTION("GOOGLETRANSLATE(L785,""my"", ""en"")"),"Local ေထာင် စုေ white  Game ေဆာင် Party")</f>
        <v>Local ေထာင် စုေ white  Game ေဆာင် Party</v>
      </c>
      <c r="AE785" s="10" t="str">
        <f>IFERROR(__xludf.DUMMYFUNCTION("GOOGLETRANSLATE(M785,""my"", ""en"")"),"1941")</f>
        <v>1941</v>
      </c>
      <c r="AF785" s="10" t="str">
        <f>IFERROR(__xludf.DUMMYFUNCTION("GOOGLETRANSLATE(N785,""my"", ""en"")"),"705")</f>
        <v>705</v>
      </c>
      <c r="AG785" s="10" t="str">
        <f>IFERROR(__xludf.DUMMYFUNCTION("GOOGLETRANSLATE(O785,""my"", ""en"")"),"2646")</f>
        <v>2646</v>
      </c>
      <c r="AH785" s="10" t="str">
        <f>IFERROR(__xludf.DUMMYFUNCTION("GOOGLETRANSLATE(P785,""my"", ""en"")"),"0.92%")</f>
        <v>0.92%</v>
      </c>
    </row>
    <row r="786" ht="24.0" customHeigh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3" t="s">
        <v>5718</v>
      </c>
      <c r="L786" s="23" t="s">
        <v>5719</v>
      </c>
      <c r="M786" s="24" t="s">
        <v>5720</v>
      </c>
      <c r="N786" s="24" t="s">
        <v>5721</v>
      </c>
      <c r="O786" s="24" t="s">
        <v>5722</v>
      </c>
      <c r="P786" s="25" t="s">
        <v>5723</v>
      </c>
      <c r="AC786" s="10" t="str">
        <f>IFERROR(__xludf.DUMMYFUNCTION("GOOGLETRANSLATE(K786,""my"", ""en"")"),"Win ေဇာ ေမာင်")</f>
        <v>Win ေဇာ ေမာင်</v>
      </c>
      <c r="AD786" s="10" t="str">
        <f>IFERROR(__xludf.DUMMYFUNCTION("GOOGLETRANSLATE(L786,""my"", ""en"")"),"B class life's big party ေရး")</f>
        <v>B class life's big party ေရး</v>
      </c>
      <c r="AE786" s="10" t="str">
        <f>IFERROR(__xludf.DUMMYFUNCTION("GOOGLETRANSLATE(M786,""my"", ""en"")"),"807")</f>
        <v>807</v>
      </c>
      <c r="AF786" s="10" t="str">
        <f>IFERROR(__xludf.DUMMYFUNCTION("GOOGLETRANSLATE(N786,""my"", ""en"")"),"201")</f>
        <v>201</v>
      </c>
      <c r="AG786" s="10" t="str">
        <f>IFERROR(__xludf.DUMMYFUNCTION("GOOGLETRANSLATE(O786,""my"", ""en"")"),"1008")</f>
        <v>1008</v>
      </c>
      <c r="AH786" s="10" t="str">
        <f>IFERROR(__xludf.DUMMYFUNCTION("GOOGLETRANSLATE(P786,""my"", ""en"")"),"0.35%")</f>
        <v>0.35%</v>
      </c>
    </row>
    <row r="787" ht="24.0" customHeight="1">
      <c r="A787" s="28" t="s">
        <v>5724</v>
      </c>
      <c r="B787" s="17" t="s">
        <v>5725</v>
      </c>
      <c r="C787" s="18" t="s">
        <v>5726</v>
      </c>
      <c r="D787" s="18" t="s">
        <v>5727</v>
      </c>
      <c r="E787" s="18" t="s">
        <v>5728</v>
      </c>
      <c r="F787" s="17" t="s">
        <v>5729</v>
      </c>
      <c r="G787" s="18" t="s">
        <v>5730</v>
      </c>
      <c r="H787" s="18" t="s">
        <v>5731</v>
      </c>
      <c r="I787" s="18" t="s">
        <v>5732</v>
      </c>
      <c r="J787" s="18" t="s">
        <v>5733</v>
      </c>
      <c r="K787" s="27"/>
      <c r="L787" s="27"/>
      <c r="M787" s="18" t="s">
        <v>5734</v>
      </c>
      <c r="N787" s="18" t="s">
        <v>5735</v>
      </c>
      <c r="O787" s="18" t="s">
        <v>5736</v>
      </c>
      <c r="P787" s="27"/>
      <c r="S787" s="10" t="str">
        <f>IFERROR(__xludf.DUMMYFUNCTION("GOOGLETRANSLATE(A787,""my"", ""en"")"),"132")</f>
        <v>132</v>
      </c>
      <c r="T787" s="10" t="str">
        <f>IFERROR(__xludf.DUMMYFUNCTION("GOOGLETRANSLATE(B787,""my"", ""en"")"),"မဲဆ  No. (7)")</f>
        <v>မဲဆ  No. (7)</v>
      </c>
      <c r="U787" s="10" t="str">
        <f>IFERROR(__xludf.DUMMYFUNCTION("GOOGLETRANSLATE(C787,""my"", ""en"")"),"591811")</f>
        <v>591811</v>
      </c>
      <c r="V787" s="10" t="str">
        <f>IFERROR(__xludf.DUMMYFUNCTION("GOOGLETRANSLATE(D787,""my"", ""en"")"),"322137")</f>
        <v>322137</v>
      </c>
      <c r="W787" s="10" t="str">
        <f>IFERROR(__xludf.DUMMYFUNCTION("GOOGLETRANSLATE(E787,""my"", ""en"")"),"83249")</f>
        <v>83249</v>
      </c>
      <c r="X787" s="10" t="str">
        <f>IFERROR(__xludf.DUMMYFUNCTION("GOOGLETRANSLATE(F787,""my"", ""en"")"),"405386")</f>
        <v>405386</v>
      </c>
      <c r="Y787" s="10" t="str">
        <f>IFERROR(__xludf.DUMMYFUNCTION("GOOGLETRANSLATE(G787,""my"", ""en"")"),"68.50")</f>
        <v>68.50</v>
      </c>
      <c r="Z787" s="10" t="str">
        <f>IFERROR(__xludf.DUMMYFUNCTION("GOOGLETRANSLATE(H787,""my"", ""en"")"),"4578")</f>
        <v>4578</v>
      </c>
      <c r="AA787" s="10" t="str">
        <f>IFERROR(__xludf.DUMMYFUNCTION("GOOGLETRANSLATE(I787,""my"", ""en"")"),"806")</f>
        <v>806</v>
      </c>
      <c r="AB787" s="10" t="str">
        <f>IFERROR(__xludf.DUMMYFUNCTION("GOOGLETRANSLATE(J787,""my"", ""en"")"),"5384")</f>
        <v>5384</v>
      </c>
      <c r="AE787" s="10" t="str">
        <f>IFERROR(__xludf.DUMMYFUNCTION("GOOGLETRANSLATE(M787,""my"", ""en"")"),"317284")</f>
        <v>317284</v>
      </c>
      <c r="AF787" s="10" t="str">
        <f>IFERROR(__xludf.DUMMYFUNCTION("GOOGLETRANSLATE(N787,""my"", ""en"")"),"82718")</f>
        <v>82718</v>
      </c>
      <c r="AG787" s="10" t="str">
        <f>IFERROR(__xludf.DUMMYFUNCTION("GOOGLETRANSLATE(O787,""my"", ""en"")"),"400002")</f>
        <v>400002</v>
      </c>
    </row>
    <row r="788" ht="22.5" customHeigh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3" t="s">
        <v>5737</v>
      </c>
      <c r="L788" s="23" t="s">
        <v>5738</v>
      </c>
      <c r="M788" s="24" t="s">
        <v>5739</v>
      </c>
      <c r="N788" s="24" t="s">
        <v>5740</v>
      </c>
      <c r="O788" s="24" t="s">
        <v>5741</v>
      </c>
      <c r="P788" s="25" t="s">
        <v>5742</v>
      </c>
      <c r="AC788" s="10" t="str">
        <f>IFERROR(__xludf.DUMMYFUNCTION("GOOGLETRANSLATE(K788,""my"", ""en"")"),"Space  Game")</f>
        <v>Space  Game</v>
      </c>
      <c r="AD788" s="10" t="str">
        <f>IFERROR(__xludf.DUMMYFUNCTION("GOOGLETRANSLATE(L788,""my"", ""en"")")," Game Democracy group   Pop Party")</f>
        <v> Game Democracy group   Pop Party</v>
      </c>
      <c r="AE788" s="10" t="str">
        <f>IFERROR(__xludf.DUMMYFUNCTION("GOOGLETRANSLATE(M788,""my"", ""en"")"),"277957")</f>
        <v>277957</v>
      </c>
      <c r="AF788" s="10" t="str">
        <f>IFERROR(__xludf.DUMMYFUNCTION("GOOGLETRANSLATE(N788,""my"", ""en"")"),"69546")</f>
        <v>69546</v>
      </c>
      <c r="AG788" s="10" t="str">
        <f>IFERROR(__xludf.DUMMYFUNCTION("GOOGLETRANSLATE(O788,""my"", ""en"")"),"347503")</f>
        <v>347503</v>
      </c>
      <c r="AH788" s="10" t="str">
        <f>IFERROR(__xludf.DUMMYFUNCTION("GOOGLETRANSLATE(P788,""my"", ""en"")"),"86.87%")</f>
        <v>86.87%</v>
      </c>
    </row>
    <row r="789" ht="22.5" customHeigh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3" t="s">
        <v>5743</v>
      </c>
      <c r="L789" s="23" t="s">
        <v>5744</v>
      </c>
      <c r="M789" s="24" t="s">
        <v>5745</v>
      </c>
      <c r="N789" s="24" t="s">
        <v>5746</v>
      </c>
      <c r="O789" s="24" t="s">
        <v>5747</v>
      </c>
      <c r="P789" s="25" t="s">
        <v>5748</v>
      </c>
      <c r="AC789" s="10" t="str">
        <f>IFERROR(__xludf.DUMMYFUNCTION("GOOGLETRANSLATE(K789,""my"", ""en"")"),"Dr. Golden Legend")</f>
        <v>Dr. Golden Legend</v>
      </c>
      <c r="AD789" s="10" t="str">
        <f>IFERROR(__xludf.DUMMYFUNCTION("GOOGLETRANSLATE(L789,""my"", ""en"")"),"Local ေထာင် soap-stone strong ေရး  under development  Phil  ေရး Party")</f>
        <v>Local ေထာင် soap-stone strong ေရး  under development  Phil  ေရး Party</v>
      </c>
      <c r="AE789" s="10" t="str">
        <f>IFERROR(__xludf.DUMMYFUNCTION("GOOGLETRANSLATE(M789,""my"", ""en"")"),"32405")</f>
        <v>32405</v>
      </c>
      <c r="AF789" s="10" t="str">
        <f>IFERROR(__xludf.DUMMYFUNCTION("GOOGLETRANSLATE(N789,""my"", ""en"")"),"10979")</f>
        <v>10979</v>
      </c>
      <c r="AG789" s="10" t="str">
        <f>IFERROR(__xludf.DUMMYFUNCTION("GOOGLETRANSLATE(O789,""my"", ""en"")"),"43384")</f>
        <v>43384</v>
      </c>
      <c r="AH789" s="10" t="str">
        <f>IFERROR(__xludf.DUMMYFUNCTION("GOOGLETRANSLATE(P789,""my"", ""en"")"),"10.85%")</f>
        <v>10.85%</v>
      </c>
    </row>
    <row r="790" ht="24.0" customHeigh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3" t="s">
        <v>5749</v>
      </c>
      <c r="L790" s="23" t="s">
        <v>5750</v>
      </c>
      <c r="M790" s="24" t="s">
        <v>5751</v>
      </c>
      <c r="N790" s="24" t="s">
        <v>5752</v>
      </c>
      <c r="O790" s="24" t="s">
        <v>5753</v>
      </c>
      <c r="P790" s="25" t="s">
        <v>5754</v>
      </c>
      <c r="AC790" s="10" t="str">
        <f>IFERROR(__xludf.DUMMYFUNCTION("GOOGLETRANSLATE(K790,""my"", ""en"")"),"Data  ငျွ complex")</f>
        <v>Data  ငျွ complex</v>
      </c>
      <c r="AD790" s="10" t="str">
        <f>IFERROR(__xludf.DUMMYFUNCTION("GOOGLETRANSLATE(L790,""my"", ""en"")"),"ပည်သူ ေရှ  ေဆာင် Party")</f>
        <v>ပည်သူ ေရှ  ေဆာင် Party</v>
      </c>
      <c r="AE790" s="10" t="str">
        <f>IFERROR(__xludf.DUMMYFUNCTION("GOOGLETRANSLATE(M790,""my"", ""en"")"),"3676")</f>
        <v>3676</v>
      </c>
      <c r="AF790" s="10" t="str">
        <f>IFERROR(__xludf.DUMMYFUNCTION("GOOGLETRANSLATE(N790,""my"", ""en"")"),"849")</f>
        <v>849</v>
      </c>
      <c r="AG790" s="10" t="str">
        <f>IFERROR(__xludf.DUMMYFUNCTION("GOOGLETRANSLATE(O790,""my"", ""en"")"),"4525")</f>
        <v>4525</v>
      </c>
      <c r="AH790" s="10" t="str">
        <f>IFERROR(__xludf.DUMMYFUNCTION("GOOGLETRANSLATE(P790,""my"", ""en"")"),"1.13%")</f>
        <v>1.13%</v>
      </c>
    </row>
    <row r="791" ht="22.5" customHeigh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3" t="s">
        <v>5755</v>
      </c>
      <c r="L791" s="23" t="s">
        <v>5756</v>
      </c>
      <c r="M791" s="24" t="s">
        <v>5757</v>
      </c>
      <c r="N791" s="24" t="s">
        <v>5758</v>
      </c>
      <c r="O791" s="24" t="s">
        <v>5759</v>
      </c>
      <c r="P791" s="25" t="s">
        <v>5760</v>
      </c>
      <c r="AC791" s="10" t="str">
        <f>IFERROR(__xludf.DUMMYFUNCTION("GOOGLETRANSLATE(K791,""my"", ""en"")"),"ေဒ  ကည် ")</f>
        <v>ေဒ  ကည် </v>
      </c>
      <c r="AD791" s="10" t="str">
        <f>IFERROR(__xludf.DUMMYFUNCTION("GOOGLETRANSLATE(L791,""my"", ""en"")"),"Local ေထာင် စုေ white  Game ေဆာင် Party")</f>
        <v>Local ေထာင် စုေ white  Game ေဆာင် Party</v>
      </c>
      <c r="AE791" s="10" t="str">
        <f>IFERROR(__xludf.DUMMYFUNCTION("GOOGLETRANSLATE(M791,""my"", ""en"")"),"2280")</f>
        <v>2280</v>
      </c>
      <c r="AF791" s="10" t="str">
        <f>IFERROR(__xludf.DUMMYFUNCTION("GOOGLETRANSLATE(N791,""my"", ""en"")"),"1063")</f>
        <v>1063</v>
      </c>
      <c r="AG791" s="10" t="str">
        <f>IFERROR(__xludf.DUMMYFUNCTION("GOOGLETRANSLATE(O791,""my"", ""en"")"),"3343")</f>
        <v>3343</v>
      </c>
      <c r="AH791" s="10" t="str">
        <f>IFERROR(__xludf.DUMMYFUNCTION("GOOGLETRANSLATE(P791,""my"", ""en"")"),"0.84%")</f>
        <v>0.84%</v>
      </c>
    </row>
    <row r="792" ht="34.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6" t="s">
        <v>5761</v>
      </c>
      <c r="L792" s="36" t="s">
        <v>5762</v>
      </c>
      <c r="M792" s="37" t="s">
        <v>5763</v>
      </c>
      <c r="N792" s="37" t="s">
        <v>5764</v>
      </c>
      <c r="O792" s="37" t="s">
        <v>5765</v>
      </c>
      <c r="P792" s="38" t="s">
        <v>5766</v>
      </c>
      <c r="AC792" s="10" t="str">
        <f>IFERROR(__xludf.DUMMYFUNCTION("GOOGLETRANSLATE(K792,""my"", ""en"")"),"Data  Friend")</f>
        <v>Data  Friend</v>
      </c>
      <c r="AD792" s="10" t="str">
        <f>IFERROR(__xludf.DUMMYFUNCTION("GOOGLETRANSLATE(L792,""my"", ""en"")")," Union ေသာ ethnic  Game Democracy Party")</f>
        <v> Union ေသာ ethnic  Game Democracy Party</v>
      </c>
      <c r="AE792" s="10" t="str">
        <f>IFERROR(__xludf.DUMMYFUNCTION("GOOGLETRANSLATE(M792,""my"", ""en"")"),"966")</f>
        <v>966</v>
      </c>
      <c r="AF792" s="10" t="str">
        <f>IFERROR(__xludf.DUMMYFUNCTION("GOOGLETRANSLATE(N792,""my"", ""en"")"),"281")</f>
        <v>281</v>
      </c>
      <c r="AG792" s="10" t="str">
        <f>IFERROR(__xludf.DUMMYFUNCTION("GOOGLETRANSLATE(O792,""my"", ""en"")"),"1247")</f>
        <v>1247</v>
      </c>
      <c r="AH792" s="10" t="str">
        <f>IFERROR(__xludf.DUMMYFUNCTION("GOOGLETRANSLATE(P792,""my"", ""en"")"),"0.31%")</f>
        <v>0.31%</v>
      </c>
    </row>
    <row r="793" ht="21.75" customHeight="1">
      <c r="A793" s="28" t="s">
        <v>5767</v>
      </c>
      <c r="B793" s="17" t="s">
        <v>5768</v>
      </c>
      <c r="C793" s="18" t="s">
        <v>5769</v>
      </c>
      <c r="D793" s="18" t="s">
        <v>5770</v>
      </c>
      <c r="E793" s="18" t="s">
        <v>5771</v>
      </c>
      <c r="F793" s="17" t="s">
        <v>5772</v>
      </c>
      <c r="G793" s="18" t="s">
        <v>5773</v>
      </c>
      <c r="H793" s="18" t="s">
        <v>5774</v>
      </c>
      <c r="I793" s="18" t="s">
        <v>5775</v>
      </c>
      <c r="J793" s="18" t="s">
        <v>5776</v>
      </c>
      <c r="K793" s="27"/>
      <c r="L793" s="27"/>
      <c r="M793" s="18" t="s">
        <v>5777</v>
      </c>
      <c r="N793" s="18" t="s">
        <v>5778</v>
      </c>
      <c r="O793" s="18" t="s">
        <v>5779</v>
      </c>
      <c r="P793" s="27"/>
      <c r="S793" s="10" t="str">
        <f>IFERROR(__xludf.DUMMYFUNCTION("GOOGLETRANSLATE(A793,""my"", ""en"")"),"133")</f>
        <v>133</v>
      </c>
      <c r="T793" s="10" t="str">
        <f>IFERROR(__xludf.DUMMYFUNCTION("GOOGLETRANSLATE(B793,""my"", ""en"")"),"မဲဆ  No. (8)")</f>
        <v>မဲဆ  No. (8)</v>
      </c>
      <c r="U793" s="10" t="str">
        <f>IFERROR(__xludf.DUMMYFUNCTION("GOOGLETRANSLATE(C793,""my"", ""en"")"),"418700")</f>
        <v>418700</v>
      </c>
      <c r="V793" s="10" t="str">
        <f>IFERROR(__xludf.DUMMYFUNCTION("GOOGLETRANSLATE(D793,""my"", ""en"")"),"223567")</f>
        <v>223567</v>
      </c>
      <c r="W793" s="10" t="str">
        <f>IFERROR(__xludf.DUMMYFUNCTION("GOOGLETRANSLATE(E793,""my"", ""en"")"),"60399")</f>
        <v>60399</v>
      </c>
      <c r="X793" s="10" t="str">
        <f>IFERROR(__xludf.DUMMYFUNCTION("GOOGLETRANSLATE(F793,""my"", ""en"")"),"283966")</f>
        <v>283966</v>
      </c>
      <c r="Y793" s="10" t="str">
        <f>IFERROR(__xludf.DUMMYFUNCTION("GOOGLETRANSLATE(G793,""my"", ""en"")"),"67.82")</f>
        <v>67.82</v>
      </c>
      <c r="Z793" s="10" t="str">
        <f>IFERROR(__xludf.DUMMYFUNCTION("GOOGLETRANSLATE(H793,""my"", ""en"")"),"3714")</f>
        <v>3714</v>
      </c>
      <c r="AA793" s="10" t="str">
        <f>IFERROR(__xludf.DUMMYFUNCTION("GOOGLETRANSLATE(I793,""my"", ""en"")"),"248")</f>
        <v>248</v>
      </c>
      <c r="AB793" s="10" t="str">
        <f>IFERROR(__xludf.DUMMYFUNCTION("GOOGLETRANSLATE(J793,""my"", ""en"")"),"3962")</f>
        <v>3962</v>
      </c>
      <c r="AE793" s="10" t="str">
        <f>IFERROR(__xludf.DUMMYFUNCTION("GOOGLETRANSLATE(M793,""my"", ""en"")"),"219995")</f>
        <v>219995</v>
      </c>
      <c r="AF793" s="10" t="str">
        <f>IFERROR(__xludf.DUMMYFUNCTION("GOOGLETRANSLATE(N793,""my"", ""en"")"),"60009")</f>
        <v>60009</v>
      </c>
      <c r="AG793" s="10" t="str">
        <f>IFERROR(__xludf.DUMMYFUNCTION("GOOGLETRANSLATE(O793,""my"", ""en"")"),"280004")</f>
        <v>280004</v>
      </c>
    </row>
    <row r="794" ht="22.5" customHeigh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3" t="s">
        <v>5780</v>
      </c>
      <c r="L794" s="23" t="s">
        <v>5781</v>
      </c>
      <c r="M794" s="24" t="s">
        <v>5782</v>
      </c>
      <c r="N794" s="24" t="s">
        <v>5783</v>
      </c>
      <c r="O794" s="24" t="s">
        <v>5784</v>
      </c>
      <c r="P794" s="25" t="s">
        <v>5785</v>
      </c>
      <c r="AC794" s="10" t="str">
        <f>IFERROR(__xludf.DUMMYFUNCTION("GOOGLETRANSLATE(K794,""my"", ""en"")"),"ေကျာ Zin Win")</f>
        <v>ေကျာ Zin Win</v>
      </c>
      <c r="AD794" s="10" t="str">
        <f>IFERROR(__xludf.DUMMYFUNCTION("GOOGLETRANSLATE(L794,""my"", ""en"")")," Game Democracy group   Pop Party")</f>
        <v> Game Democracy group   Pop Party</v>
      </c>
      <c r="AE794" s="10" t="str">
        <f>IFERROR(__xludf.DUMMYFUNCTION("GOOGLETRANSLATE(M794,""my"", ""en"")"),"195338")</f>
        <v>195338</v>
      </c>
      <c r="AF794" s="10" t="str">
        <f>IFERROR(__xludf.DUMMYFUNCTION("GOOGLETRANSLATE(N794,""my"", ""en"")"),"49779")</f>
        <v>49779</v>
      </c>
      <c r="AG794" s="10" t="str">
        <f>IFERROR(__xludf.DUMMYFUNCTION("GOOGLETRANSLATE(O794,""my"", ""en"")"),"245117")</f>
        <v>245117</v>
      </c>
      <c r="AH794" s="10" t="str">
        <f>IFERROR(__xludf.DUMMYFUNCTION("GOOGLETRANSLATE(P794,""my"", ""en"")"),"87.54%")</f>
        <v>87.54%</v>
      </c>
    </row>
    <row r="795" ht="22.5" customHeigh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9" t="s">
        <v>5786</v>
      </c>
      <c r="L795" s="23" t="s">
        <v>5787</v>
      </c>
      <c r="M795" s="24" t="s">
        <v>5788</v>
      </c>
      <c r="N795" s="24" t="s">
        <v>5789</v>
      </c>
      <c r="O795" s="24" t="s">
        <v>5790</v>
      </c>
      <c r="P795" s="25" t="s">
        <v>5791</v>
      </c>
      <c r="AC795" s="10" t="str">
        <f>IFERROR(__xludf.DUMMYFUNCTION("GOOGLETRANSLATE(K795,""my"", ""en"")"),"Dr. Maung moderate")</f>
        <v>Dr. Maung moderate</v>
      </c>
      <c r="AD795" s="10" t="str">
        <f>IFERROR(__xludf.DUMMYFUNCTION("GOOGLETRANSLATE(L795,""my"", ""en"")"),"Local ေထာင် soap-stone strong ေရး  under development  Phil  ေရး Party")</f>
        <v>Local ေထာင် soap-stone strong ေရး  under development  Phil  ေရး Party</v>
      </c>
      <c r="AE795" s="10" t="str">
        <f>IFERROR(__xludf.DUMMYFUNCTION("GOOGLETRANSLATE(M795,""my"", ""en"")"),"21791")</f>
        <v>21791</v>
      </c>
      <c r="AF795" s="10" t="str">
        <f>IFERROR(__xludf.DUMMYFUNCTION("GOOGLETRANSLATE(N795,""my"", ""en"")"),"9284")</f>
        <v>9284</v>
      </c>
      <c r="AG795" s="10" t="str">
        <f>IFERROR(__xludf.DUMMYFUNCTION("GOOGLETRANSLATE(O795,""my"", ""en"")"),"31075")</f>
        <v>31075</v>
      </c>
      <c r="AH795" s="10" t="str">
        <f>IFERROR(__xludf.DUMMYFUNCTION("GOOGLETRANSLATE(P795,""my"", ""en"")"),"11.10%")</f>
        <v>11.10%</v>
      </c>
    </row>
    <row r="796" ht="24.0" customHeigh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3" t="s">
        <v>5792</v>
      </c>
      <c r="L796" s="23" t="s">
        <v>5793</v>
      </c>
      <c r="M796" s="24" t="s">
        <v>5794</v>
      </c>
      <c r="N796" s="24" t="s">
        <v>5795</v>
      </c>
      <c r="O796" s="24" t="s">
        <v>5796</v>
      </c>
      <c r="P796" s="25" t="s">
        <v>5797</v>
      </c>
      <c r="AC796" s="10" t="str">
        <f>IFERROR(__xludf.DUMMYFUNCTION("GOOGLETRANSLATE(K796,""my"", ""en"")"),"Soe not")</f>
        <v>Soe not</v>
      </c>
      <c r="AD796" s="10" t="str">
        <f>IFERROR(__xludf.DUMMYFUNCTION("GOOGLETRANSLATE(L796,""my"", ""en"")"),"Local ေထာင် စုေ white  Game ေဆာင် Party")</f>
        <v>Local ေထာင် စုေ white  Game ေဆာင် Party</v>
      </c>
      <c r="AE796" s="10" t="str">
        <f>IFERROR(__xludf.DUMMYFUNCTION("GOOGLETRANSLATE(M796,""my"", ""en"")"),"2866")</f>
        <v>2866</v>
      </c>
      <c r="AF796" s="10" t="str">
        <f>IFERROR(__xludf.DUMMYFUNCTION("GOOGLETRANSLATE(N796,""my"", ""en"")"),"946")</f>
        <v>946</v>
      </c>
      <c r="AG796" s="10" t="str">
        <f>IFERROR(__xludf.DUMMYFUNCTION("GOOGLETRANSLATE(O796,""my"", ""en"")"),"3812")</f>
        <v>3812</v>
      </c>
      <c r="AH796" s="10" t="str">
        <f>IFERROR(__xludf.DUMMYFUNCTION("GOOGLETRANSLATE(P796,""my"", ""en"")"),"1.36%")</f>
        <v>1.36%</v>
      </c>
    </row>
    <row r="797" ht="21.75" customHeight="1">
      <c r="A797" s="28" t="s">
        <v>5798</v>
      </c>
      <c r="B797" s="17" t="s">
        <v>5799</v>
      </c>
      <c r="C797" s="18" t="s">
        <v>5800</v>
      </c>
      <c r="D797" s="18" t="s">
        <v>5801</v>
      </c>
      <c r="E797" s="18" t="s">
        <v>5802</v>
      </c>
      <c r="F797" s="17" t="s">
        <v>5803</v>
      </c>
      <c r="G797" s="18" t="s">
        <v>5804</v>
      </c>
      <c r="H797" s="18" t="s">
        <v>5805</v>
      </c>
      <c r="I797" s="18" t="s">
        <v>5806</v>
      </c>
      <c r="J797" s="18" t="s">
        <v>5807</v>
      </c>
      <c r="K797" s="27"/>
      <c r="L797" s="27"/>
      <c r="M797" s="18" t="s">
        <v>5808</v>
      </c>
      <c r="N797" s="18" t="s">
        <v>5809</v>
      </c>
      <c r="O797" s="18" t="s">
        <v>5810</v>
      </c>
      <c r="P797" s="27"/>
      <c r="S797" s="10" t="str">
        <f>IFERROR(__xludf.DUMMYFUNCTION("GOOGLETRANSLATE(A797,""my"", ""en"")"),"134")</f>
        <v>134</v>
      </c>
      <c r="T797" s="10" t="str">
        <f>IFERROR(__xludf.DUMMYFUNCTION("GOOGLETRANSLATE(B797,""my"", ""en"")"),"မဲဆ  No. (9)")</f>
        <v>မဲဆ  No. (9)</v>
      </c>
      <c r="U797" s="10" t="str">
        <f>IFERROR(__xludf.DUMMYFUNCTION("GOOGLETRANSLATE(C797,""my"", ""en"")"),"521171")</f>
        <v>521171</v>
      </c>
      <c r="V797" s="10" t="str">
        <f>IFERROR(__xludf.DUMMYFUNCTION("GOOGLETRANSLATE(D797,""my"", ""en"")"),"334757")</f>
        <v>334757</v>
      </c>
      <c r="W797" s="10" t="str">
        <f>IFERROR(__xludf.DUMMYFUNCTION("GOOGLETRANSLATE(E797,""my"", ""en"")"),"73650")</f>
        <v>73650</v>
      </c>
      <c r="X797" s="10" t="str">
        <f>IFERROR(__xludf.DUMMYFUNCTION("GOOGLETRANSLATE(F797,""my"", ""en"")"),"408407")</f>
        <v>408407</v>
      </c>
      <c r="Y797" s="10" t="str">
        <f>IFERROR(__xludf.DUMMYFUNCTION("GOOGLETRANSLATE(G797,""my"", ""en"")"),"78.36")</f>
        <v>78.36</v>
      </c>
      <c r="Z797" s="10" t="str">
        <f>IFERROR(__xludf.DUMMYFUNCTION("GOOGLETRANSLATE(H797,""my"", ""en"")"),"6005")</f>
        <v>6005</v>
      </c>
      <c r="AA797" s="10" t="str">
        <f>IFERROR(__xludf.DUMMYFUNCTION("GOOGLETRANSLATE(I797,""my"", ""en"")"),"510")</f>
        <v>510</v>
      </c>
      <c r="AB797" s="10" t="str">
        <f>IFERROR(__xludf.DUMMYFUNCTION("GOOGLETRANSLATE(J797,""my"", ""en"")"),"6515")</f>
        <v>6515</v>
      </c>
      <c r="AE797" s="10" t="str">
        <f>IFERROR(__xludf.DUMMYFUNCTION("GOOGLETRANSLATE(M797,""my"", ""en"")"),"329514")</f>
        <v>329514</v>
      </c>
      <c r="AF797" s="10" t="str">
        <f>IFERROR(__xludf.DUMMYFUNCTION("GOOGLETRANSLATE(N797,""my"", ""en"")"),"72378")</f>
        <v>72378</v>
      </c>
      <c r="AG797" s="10" t="str">
        <f>IFERROR(__xludf.DUMMYFUNCTION("GOOGLETRANSLATE(O797,""my"", ""en"")"),"401892")</f>
        <v>401892</v>
      </c>
    </row>
    <row r="798" ht="21.75" customHeigh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3" t="s">
        <v>5811</v>
      </c>
      <c r="L798" s="23" t="s">
        <v>5812</v>
      </c>
      <c r="M798" s="24" t="s">
        <v>5813</v>
      </c>
      <c r="N798" s="24" t="s">
        <v>5814</v>
      </c>
      <c r="O798" s="24" t="s">
        <v>5815</v>
      </c>
      <c r="P798" s="25" t="s">
        <v>5816</v>
      </c>
      <c r="AC798" s="10" t="str">
        <f>IFERROR(__xludf.DUMMYFUNCTION("GOOGLETRANSLATE(K798,""my"", ""en"")"),"ေကျာ Moe Lwin")</f>
        <v>ေကျာ Moe Lwin</v>
      </c>
      <c r="AD798" s="10" t="str">
        <f>IFERROR(__xludf.DUMMYFUNCTION("GOOGLETRANSLATE(L798,""my"", ""en"")")," Game Democracy group   Pop Party")</f>
        <v> Game Democracy group   Pop Party</v>
      </c>
      <c r="AE798" s="10" t="str">
        <f>IFERROR(__xludf.DUMMYFUNCTION("GOOGLETRANSLATE(M798,""my"", ""en"")"),"265058")</f>
        <v>265058</v>
      </c>
      <c r="AF798" s="10" t="str">
        <f>IFERROR(__xludf.DUMMYFUNCTION("GOOGLETRANSLATE(N798,""my"", ""en"")"),"56141")</f>
        <v>56141</v>
      </c>
      <c r="AG798" s="10" t="str">
        <f>IFERROR(__xludf.DUMMYFUNCTION("GOOGLETRANSLATE(O798,""my"", ""en"")"),"321199")</f>
        <v>321199</v>
      </c>
      <c r="AH798" s="10" t="str">
        <f>IFERROR(__xludf.DUMMYFUNCTION("GOOGLETRANSLATE(P798,""my"", ""en"")"),"79.92%")</f>
        <v>79.92%</v>
      </c>
    </row>
    <row r="799" ht="21.0" customHeigh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3" t="s">
        <v>5817</v>
      </c>
      <c r="L799" s="23" t="s">
        <v>5818</v>
      </c>
      <c r="M799" s="24" t="s">
        <v>5819</v>
      </c>
      <c r="N799" s="24" t="s">
        <v>5820</v>
      </c>
      <c r="O799" s="24" t="s">
        <v>5821</v>
      </c>
      <c r="P799" s="25" t="s">
        <v>5822</v>
      </c>
      <c r="AC799" s="10" t="str">
        <f>IFERROR(__xludf.DUMMYFUNCTION("GOOGLETRANSLATE(K799,""my"", ""en"")"),"U San Win")</f>
        <v>U San Win</v>
      </c>
      <c r="AD799" s="10" t="str">
        <f>IFERROR(__xludf.DUMMYFUNCTION("GOOGLETRANSLATE(L799,""my"", ""en"")"),"Local ေထာင် soap-stone strong ေရး  under development  Phil  ေရး Party")</f>
        <v>Local ေထာင် soap-stone strong ေရး  under development  Phil  ေရး Party</v>
      </c>
      <c r="AE799" s="10" t="str">
        <f>IFERROR(__xludf.DUMMYFUNCTION("GOOGLETRANSLATE(M799,""my"", ""en"")"),"57719")</f>
        <v>57719</v>
      </c>
      <c r="AF799" s="10" t="str">
        <f>IFERROR(__xludf.DUMMYFUNCTION("GOOGLETRANSLATE(N799,""my"", ""en"")"),"14620")</f>
        <v>14620</v>
      </c>
      <c r="AG799" s="10" t="str">
        <f>IFERROR(__xludf.DUMMYFUNCTION("GOOGLETRANSLATE(O799,""my"", ""en"")"),"72339")</f>
        <v>72339</v>
      </c>
      <c r="AH799" s="10" t="str">
        <f>IFERROR(__xludf.DUMMYFUNCTION("GOOGLETRANSLATE(P799,""my"", ""en"")"),"18.00%")</f>
        <v>18.00%</v>
      </c>
    </row>
    <row r="800" ht="21.75" customHeigh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3" t="s">
        <v>5823</v>
      </c>
      <c r="L800" s="23" t="s">
        <v>5824</v>
      </c>
      <c r="M800" s="24" t="s">
        <v>5825</v>
      </c>
      <c r="N800" s="24" t="s">
        <v>5826</v>
      </c>
      <c r="O800" s="24" t="s">
        <v>5827</v>
      </c>
      <c r="P800" s="25" t="s">
        <v>5828</v>
      </c>
      <c r="AC800" s="10" t="str">
        <f>IFERROR(__xludf.DUMMYFUNCTION("GOOGLETRANSLATE(K800,""my"", ""en"")"),"Khin congress ")</f>
        <v>Khin congress </v>
      </c>
      <c r="AD800" s="10" t="str">
        <f>IFERROR(__xludf.DUMMYFUNCTION("GOOGLETRANSLATE(L800,""my"", ""en"")"),"Local ေထာင် စုေ white  Game ေဆာင် Party")</f>
        <v>Local ေထာင် စုေ white  Game ေဆာင် Party</v>
      </c>
      <c r="AE800" s="10" t="str">
        <f>IFERROR(__xludf.DUMMYFUNCTION("GOOGLETRANSLATE(M800,""my"", ""en"")"),"4839")</f>
        <v>4839</v>
      </c>
      <c r="AF800" s="10" t="str">
        <f>IFERROR(__xludf.DUMMYFUNCTION("GOOGLETRANSLATE(N800,""my"", ""en"")"),"1192")</f>
        <v>1192</v>
      </c>
      <c r="AG800" s="10" t="str">
        <f>IFERROR(__xludf.DUMMYFUNCTION("GOOGLETRANSLATE(O800,""my"", ""en"")"),"6031")</f>
        <v>6031</v>
      </c>
      <c r="AH800" s="10" t="str">
        <f>IFERROR(__xludf.DUMMYFUNCTION("GOOGLETRANSLATE(P800,""my"", ""en"")"),"1.50%")</f>
        <v>1.50%</v>
      </c>
    </row>
    <row r="801" ht="21.75" customHeigh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3" t="s">
        <v>5829</v>
      </c>
      <c r="L801" s="23" t="s">
        <v>5830</v>
      </c>
      <c r="M801" s="24" t="s">
        <v>5831</v>
      </c>
      <c r="N801" s="24" t="s">
        <v>5832</v>
      </c>
      <c r="O801" s="24" t="s">
        <v>5833</v>
      </c>
      <c r="P801" s="25" t="s">
        <v>5834</v>
      </c>
      <c r="AC801" s="10" t="str">
        <f>IFERROR(__xludf.DUMMYFUNCTION("GOOGLETRANSLATE(K801,""my"", ""en"")")," Game Thiha Tun")</f>
        <v> Game Thiha Tun</v>
      </c>
      <c r="AD801" s="10" t="str">
        <f>IFERROR(__xludf.DUMMYFUNCTION("GOOGLETRANSLATE(L801,""my"", ""en"")"),"ပည်သူ Party")</f>
        <v>ပည်သူ Party</v>
      </c>
      <c r="AE801" s="10" t="str">
        <f>IFERROR(__xludf.DUMMYFUNCTION("GOOGLETRANSLATE(M801,""my"", ""en"")"),"1898")</f>
        <v>1898</v>
      </c>
      <c r="AF801" s="10" t="str">
        <f>IFERROR(__xludf.DUMMYFUNCTION("GOOGLETRANSLATE(N801,""my"", ""en"")"),"425")</f>
        <v>425</v>
      </c>
      <c r="AG801" s="10" t="str">
        <f>IFERROR(__xludf.DUMMYFUNCTION("GOOGLETRANSLATE(O801,""my"", ""en"")"),"2323")</f>
        <v>2323</v>
      </c>
      <c r="AH801" s="10" t="str">
        <f>IFERROR(__xludf.DUMMYFUNCTION("GOOGLETRANSLATE(P801,""my"", ""en"")"),"0.58%")</f>
        <v>0.58%</v>
      </c>
    </row>
    <row r="802" ht="21.75" customHeight="1">
      <c r="A802" s="28" t="s">
        <v>5835</v>
      </c>
      <c r="B802" s="17" t="s">
        <v>5836</v>
      </c>
      <c r="C802" s="18" t="s">
        <v>5837</v>
      </c>
      <c r="D802" s="18" t="s">
        <v>5838</v>
      </c>
      <c r="E802" s="18" t="s">
        <v>5839</v>
      </c>
      <c r="F802" s="17" t="s">
        <v>5840</v>
      </c>
      <c r="G802" s="18" t="s">
        <v>5841</v>
      </c>
      <c r="H802" s="18" t="s">
        <v>5842</v>
      </c>
      <c r="I802" s="18" t="s">
        <v>5843</v>
      </c>
      <c r="J802" s="18" t="s">
        <v>5844</v>
      </c>
      <c r="K802" s="27"/>
      <c r="L802" s="27"/>
      <c r="M802" s="18" t="s">
        <v>5845</v>
      </c>
      <c r="N802" s="18" t="s">
        <v>5846</v>
      </c>
      <c r="O802" s="18" t="s">
        <v>5847</v>
      </c>
      <c r="P802" s="27"/>
      <c r="S802" s="10" t="str">
        <f>IFERROR(__xludf.DUMMYFUNCTION("GOOGLETRANSLATE(A802,""my"", ""en"")"),"135")</f>
        <v>135</v>
      </c>
      <c r="T802" s="10" t="str">
        <f>IFERROR(__xludf.DUMMYFUNCTION("GOOGLETRANSLATE(B802,""my"", ""en"")"),"မဲဆ  No. (10)")</f>
        <v>မဲဆ  No. (10)</v>
      </c>
      <c r="U802" s="10" t="str">
        <f>IFERROR(__xludf.DUMMYFUNCTION("GOOGLETRANSLATE(C802,""my"", ""en"")"),"608662")</f>
        <v>608662</v>
      </c>
      <c r="V802" s="10" t="str">
        <f>IFERROR(__xludf.DUMMYFUNCTION("GOOGLETRANSLATE(D802,""my"", ""en"")"),"365545")</f>
        <v>365545</v>
      </c>
      <c r="W802" s="10" t="str">
        <f>IFERROR(__xludf.DUMMYFUNCTION("GOOGLETRANSLATE(E802,""my"", ""en"")"),"99827")</f>
        <v>99827</v>
      </c>
      <c r="X802" s="10" t="str">
        <f>IFERROR(__xludf.DUMMYFUNCTION("GOOGLETRANSLATE(F802,""my"", ""en"")"),"465372")</f>
        <v>465372</v>
      </c>
      <c r="Y802" s="10" t="str">
        <f>IFERROR(__xludf.DUMMYFUNCTION("GOOGLETRANSLATE(G802,""my"", ""en"")"),"76.46")</f>
        <v>76.46</v>
      </c>
      <c r="Z802" s="10" t="str">
        <f>IFERROR(__xludf.DUMMYFUNCTION("GOOGLETRANSLATE(H802,""my"", ""en"")"),"10716")</f>
        <v>10716</v>
      </c>
      <c r="AA802" s="10" t="str">
        <f>IFERROR(__xludf.DUMMYFUNCTION("GOOGLETRANSLATE(I802,""my"", ""en"")"),"1160")</f>
        <v>1160</v>
      </c>
      <c r="AB802" s="10" t="str">
        <f>IFERROR(__xludf.DUMMYFUNCTION("GOOGLETRANSLATE(J802,""my"", ""en"")"),"11876")</f>
        <v>11876</v>
      </c>
      <c r="AE802" s="10" t="str">
        <f>IFERROR(__xludf.DUMMYFUNCTION("GOOGLETRANSLATE(M802,""my"", ""en"")"),"353888")</f>
        <v>353888</v>
      </c>
      <c r="AF802" s="10" t="str">
        <f>IFERROR(__xludf.DUMMYFUNCTION("GOOGLETRANSLATE(N802,""my"", ""en"")"),"99608")</f>
        <v>99608</v>
      </c>
      <c r="AG802" s="10" t="str">
        <f>IFERROR(__xludf.DUMMYFUNCTION("GOOGLETRANSLATE(O802,""my"", ""en"")"),"453496")</f>
        <v>453496</v>
      </c>
    </row>
    <row r="803" ht="21.75" customHeigh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3" t="s">
        <v>5848</v>
      </c>
      <c r="L803" s="23" t="s">
        <v>5849</v>
      </c>
      <c r="M803" s="24" t="s">
        <v>5850</v>
      </c>
      <c r="N803" s="24" t="s">
        <v>5851</v>
      </c>
      <c r="O803" s="24" t="s">
        <v>5852</v>
      </c>
      <c r="P803" s="25" t="s">
        <v>5853</v>
      </c>
      <c r="AC803" s="10" t="str">
        <f>IFERROR(__xludf.DUMMYFUNCTION("GOOGLETRANSLATE(K803,""my"", ""en"")"),"Dr. Htay")</f>
        <v>Dr. Htay</v>
      </c>
      <c r="AD803" s="10" t="str">
        <f>IFERROR(__xludf.DUMMYFUNCTION("GOOGLETRANSLATE(L803,""my"", ""en"")")," Game Democracy group   Pop Party")</f>
        <v> Game Democracy group   Pop Party</v>
      </c>
      <c r="AE803" s="10" t="str">
        <f>IFERROR(__xludf.DUMMYFUNCTION("GOOGLETRANSLATE(M803,""my"", ""en"")"),"262297")</f>
        <v>262297</v>
      </c>
      <c r="AF803" s="10" t="str">
        <f>IFERROR(__xludf.DUMMYFUNCTION("GOOGLETRANSLATE(N803,""my"", ""en"")"),"67807")</f>
        <v>67807</v>
      </c>
      <c r="AG803" s="10" t="str">
        <f>IFERROR(__xludf.DUMMYFUNCTION("GOOGLETRANSLATE(O803,""my"", ""en"")"),"330104")</f>
        <v>330104</v>
      </c>
      <c r="AH803" s="10" t="str">
        <f>IFERROR(__xludf.DUMMYFUNCTION("GOOGLETRANSLATE(P803,""my"", ""en"")"),"72.79%")</f>
        <v>72.79%</v>
      </c>
    </row>
    <row r="804" ht="22.5" customHeigh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3" t="s">
        <v>5854</v>
      </c>
      <c r="L804" s="23" t="s">
        <v>5855</v>
      </c>
      <c r="M804" s="24" t="s">
        <v>5856</v>
      </c>
      <c r="N804" s="24" t="s">
        <v>5857</v>
      </c>
      <c r="O804" s="24" t="s">
        <v>5858</v>
      </c>
      <c r="P804" s="25" t="s">
        <v>5859</v>
      </c>
      <c r="AC804" s="10" t="str">
        <f>IFERROR(__xludf.DUMMYFUNCTION("GOOGLETRANSLATE(K804,""my"", ""en"")"),"U Nyein")</f>
        <v>U Nyein</v>
      </c>
      <c r="AD804" s="10" t="str">
        <f>IFERROR(__xludf.DUMMYFUNCTION("GOOGLETRANSLATE(L804,""my"", ""en"")"),"Local ေထာင် soap-stone strong ေရး  under development  Phil  ေရး Party")</f>
        <v>Local ေထာင် soap-stone strong ေရး  under development  Phil  ေရး Party</v>
      </c>
      <c r="AE804" s="10" t="str">
        <f>IFERROR(__xludf.DUMMYFUNCTION("GOOGLETRANSLATE(M804,""my"", ""en"")"),"71745")</f>
        <v>71745</v>
      </c>
      <c r="AF804" s="10" t="str">
        <f>IFERROR(__xludf.DUMMYFUNCTION("GOOGLETRANSLATE(N804,""my"", ""en"")"),"26274")</f>
        <v>26274</v>
      </c>
      <c r="AG804" s="10" t="str">
        <f>IFERROR(__xludf.DUMMYFUNCTION("GOOGLETRANSLATE(O804,""my"", ""en"")"),"98019")</f>
        <v>98019</v>
      </c>
      <c r="AH804" s="10" t="str">
        <f>IFERROR(__xludf.DUMMYFUNCTION("GOOGLETRANSLATE(P804,""my"", ""en"")"),"21.62%")</f>
        <v>21.62%</v>
      </c>
    </row>
    <row r="805" ht="22.5" customHeigh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3" t="s">
        <v>5860</v>
      </c>
      <c r="L805" s="23" t="s">
        <v>5861</v>
      </c>
      <c r="M805" s="24" t="s">
        <v>5862</v>
      </c>
      <c r="N805" s="24" t="s">
        <v>5863</v>
      </c>
      <c r="O805" s="24" t="s">
        <v>5864</v>
      </c>
      <c r="P805" s="25" t="s">
        <v>5865</v>
      </c>
      <c r="AC805" s="10" t="str">
        <f>IFERROR(__xludf.DUMMYFUNCTION("GOOGLETRANSLATE(K805,""my"", ""en"")"),"Dozens ေအာင်")</f>
        <v>Dozens ေအာင်</v>
      </c>
      <c r="AD805" s="10" t="str">
        <f>IFERROR(__xludf.DUMMYFUNCTION("GOOGLETRANSLATE(L805,""my"", ""en"")"),"Democratic Party for new members Mark ေဘာင်")</f>
        <v>Democratic Party for new members Mark ေဘာင်</v>
      </c>
      <c r="AE805" s="10" t="str">
        <f>IFERROR(__xludf.DUMMYFUNCTION("GOOGLETRANSLATE(M805,""my"", ""en"")"),"9508")</f>
        <v>9508</v>
      </c>
      <c r="AF805" s="10" t="str">
        <f>IFERROR(__xludf.DUMMYFUNCTION("GOOGLETRANSLATE(N805,""my"", ""en"")"),"1978")</f>
        <v>1978</v>
      </c>
      <c r="AG805" s="10" t="str">
        <f>IFERROR(__xludf.DUMMYFUNCTION("GOOGLETRANSLATE(O805,""my"", ""en"")"),"11486")</f>
        <v>11486</v>
      </c>
      <c r="AH805" s="10" t="str">
        <f>IFERROR(__xludf.DUMMYFUNCTION("GOOGLETRANSLATE(P805,""my"", ""en"")"),"2.53%")</f>
        <v>2.53%</v>
      </c>
    </row>
    <row r="806" ht="22.5" customHeigh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3" t="s">
        <v>5866</v>
      </c>
      <c r="L806" s="23" t="s">
        <v>5867</v>
      </c>
      <c r="M806" s="24" t="s">
        <v>5868</v>
      </c>
      <c r="N806" s="24" t="s">
        <v>5869</v>
      </c>
      <c r="O806" s="24" t="s">
        <v>5870</v>
      </c>
      <c r="P806" s="25" t="s">
        <v>5871</v>
      </c>
      <c r="AC806" s="10" t="str">
        <f>IFERROR(__xludf.DUMMYFUNCTION("GOOGLETRANSLATE(K806,""my"", ""en"")"),"ေဇာ")</f>
        <v>ေဇာ</v>
      </c>
      <c r="AD806" s="10" t="str">
        <f>IFERROR(__xludf.DUMMYFUNCTION("GOOGLETRANSLATE(L806,""my"", ""en"")"),"ပည်သူ  Game  ေကျာင်း Party")</f>
        <v>ပည်သူ  Game  ေကျာင်း Party</v>
      </c>
      <c r="AE806" s="10" t="str">
        <f>IFERROR(__xludf.DUMMYFUNCTION("GOOGLETRANSLATE(M806,""my"", ""en"")"),"4655")</f>
        <v>4655</v>
      </c>
      <c r="AF806" s="10" t="str">
        <f>IFERROR(__xludf.DUMMYFUNCTION("GOOGLETRANSLATE(N806,""my"", ""en"")"),"1761")</f>
        <v>1761</v>
      </c>
      <c r="AG806" s="10" t="str">
        <f>IFERROR(__xludf.DUMMYFUNCTION("GOOGLETRANSLATE(O806,""my"", ""en"")"),"6416")</f>
        <v>6416</v>
      </c>
      <c r="AH806" s="10" t="str">
        <f>IFERROR(__xludf.DUMMYFUNCTION("GOOGLETRANSLATE(P806,""my"", ""en"")"),"1.41%")</f>
        <v>1.41%</v>
      </c>
    </row>
    <row r="807" ht="21.75" customHeigh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3" t="s">
        <v>5872</v>
      </c>
      <c r="L807" s="23" t="s">
        <v>5873</v>
      </c>
      <c r="M807" s="24" t="s">
        <v>5874</v>
      </c>
      <c r="N807" s="24" t="s">
        <v>5875</v>
      </c>
      <c r="O807" s="24" t="s">
        <v>5876</v>
      </c>
      <c r="P807" s="25" t="s">
        <v>5877</v>
      </c>
      <c r="AC807" s="10" t="str">
        <f>IFERROR(__xludf.DUMMYFUNCTION("GOOGLETRANSLATE(K807,""my"", ""en"")"),"U San Win")</f>
        <v>U San Win</v>
      </c>
      <c r="AD807" s="10" t="str">
        <f>IFERROR(__xludf.DUMMYFUNCTION("GOOGLETRANSLATE(L807,""my"", ""en"")"),"Local ေထာင် စုေ white  Game ေဆာင် Party")</f>
        <v>Local ေထာင် စုေ white  Game ေဆာင် Party</v>
      </c>
      <c r="AE807" s="10" t="str">
        <f>IFERROR(__xludf.DUMMYFUNCTION("GOOGLETRANSLATE(M807,""my"", ""en"")"),"3695")</f>
        <v>3695</v>
      </c>
      <c r="AF807" s="10" t="str">
        <f>IFERROR(__xludf.DUMMYFUNCTION("GOOGLETRANSLATE(N807,""my"", ""en"")"),"1094")</f>
        <v>1094</v>
      </c>
      <c r="AG807" s="10" t="str">
        <f>IFERROR(__xludf.DUMMYFUNCTION("GOOGLETRANSLATE(O807,""my"", ""en"")"),"4789")</f>
        <v>4789</v>
      </c>
      <c r="AH807" s="10" t="str">
        <f>IFERROR(__xludf.DUMMYFUNCTION("GOOGLETRANSLATE(P807,""my"", ""en"")"),"1.06%")</f>
        <v>1.06%</v>
      </c>
    </row>
    <row r="808" ht="22.5" customHeigh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3" t="s">
        <v>5878</v>
      </c>
      <c r="L808" s="23" t="s">
        <v>5879</v>
      </c>
      <c r="M808" s="24" t="s">
        <v>5880</v>
      </c>
      <c r="N808" s="24" t="s">
        <v>5881</v>
      </c>
      <c r="O808" s="24" t="s">
        <v>5882</v>
      </c>
      <c r="P808" s="25" t="s">
        <v>5883</v>
      </c>
      <c r="AC808" s="10" t="str">
        <f>IFERROR(__xludf.DUMMYFUNCTION("GOOGLETRANSLATE(K808,""my"", ""en"")"),"ေဇာ  Cashier")</f>
        <v>ေဇာ  Cashier</v>
      </c>
      <c r="AD808" s="10" t="str">
        <f>IFERROR(__xludf.DUMMYFUNCTION("GOOGLETRANSLATE(L808,""my"", ""en"")"),"ပည်သူ ေရှ  ေဆာင် Party")</f>
        <v>ပည်သူ ေရှ  ေဆာင် Party</v>
      </c>
      <c r="AE808" s="10" t="str">
        <f>IFERROR(__xludf.DUMMYFUNCTION("GOOGLETRANSLATE(M808,""my"", ""en"")"),"1988")</f>
        <v>1988</v>
      </c>
      <c r="AF808" s="10" t="str">
        <f>IFERROR(__xludf.DUMMYFUNCTION("GOOGLETRANSLATE(N808,""my"", ""en"")"),"694")</f>
        <v>694</v>
      </c>
      <c r="AG808" s="10" t="str">
        <f>IFERROR(__xludf.DUMMYFUNCTION("GOOGLETRANSLATE(O808,""my"", ""en"")"),"2682")</f>
        <v>2682</v>
      </c>
      <c r="AH808" s="10" t="str">
        <f>IFERROR(__xludf.DUMMYFUNCTION("GOOGLETRANSLATE(P808,""my"", ""en"")"),"0.59%")</f>
        <v>0.59%</v>
      </c>
    </row>
    <row r="809" ht="21.0" customHeight="1">
      <c r="A809" s="28" t="s">
        <v>5884</v>
      </c>
      <c r="B809" s="17" t="s">
        <v>5885</v>
      </c>
      <c r="C809" s="18" t="s">
        <v>5886</v>
      </c>
      <c r="D809" s="18" t="s">
        <v>5887</v>
      </c>
      <c r="E809" s="18" t="s">
        <v>5888</v>
      </c>
      <c r="F809" s="18" t="s">
        <v>5889</v>
      </c>
      <c r="G809" s="18" t="s">
        <v>5890</v>
      </c>
      <c r="H809" s="18" t="s">
        <v>5891</v>
      </c>
      <c r="I809" s="18" t="s">
        <v>5892</v>
      </c>
      <c r="J809" s="18" t="s">
        <v>5893</v>
      </c>
      <c r="K809" s="27"/>
      <c r="L809" s="27"/>
      <c r="M809" s="18" t="s">
        <v>5894</v>
      </c>
      <c r="N809" s="18" t="s">
        <v>5895</v>
      </c>
      <c r="O809" s="18" t="s">
        <v>5896</v>
      </c>
      <c r="P809" s="27"/>
      <c r="S809" s="10" t="str">
        <f>IFERROR(__xludf.DUMMYFUNCTION("GOOGLETRANSLATE(A809,""my"", ""en"")"),"136")</f>
        <v>136</v>
      </c>
      <c r="T809" s="10" t="str">
        <f>IFERROR(__xludf.DUMMYFUNCTION("GOOGLETRANSLATE(B809,""my"", ""en"")"),"မဲဆ  No. (11)")</f>
        <v>မဲဆ  No. (11)</v>
      </c>
      <c r="U809" s="10" t="str">
        <f>IFERROR(__xludf.DUMMYFUNCTION("GOOGLETRANSLATE(C809,""my"", ""en"")"),"396154")</f>
        <v>396154</v>
      </c>
      <c r="V809" s="10" t="str">
        <f>IFERROR(__xludf.DUMMYFUNCTION("GOOGLETRANSLATE(D809,""my"", ""en"")"),"198232")</f>
        <v>198232</v>
      </c>
      <c r="W809" s="10" t="str">
        <f>IFERROR(__xludf.DUMMYFUNCTION("GOOGLETRANSLATE(E809,""my"", ""en"")"),"68922")</f>
        <v>68922</v>
      </c>
      <c r="X809" s="10" t="str">
        <f>IFERROR(__xludf.DUMMYFUNCTION("GOOGLETRANSLATE(F809,""my"", ""en"")"),"267154")</f>
        <v>267154</v>
      </c>
      <c r="Y809" s="10" t="str">
        <f>IFERROR(__xludf.DUMMYFUNCTION("GOOGLETRANSLATE(G809,""my"", ""en"")"),"67.44")</f>
        <v>67.44</v>
      </c>
      <c r="Z809" s="10" t="str">
        <f>IFERROR(__xludf.DUMMYFUNCTION("GOOGLETRANSLATE(H809,""my"", ""en"")"),"2495")</f>
        <v>2495</v>
      </c>
      <c r="AA809" s="10" t="str">
        <f>IFERROR(__xludf.DUMMYFUNCTION("GOOGLETRANSLATE(I809,""my"", ""en"")"),"429")</f>
        <v>429</v>
      </c>
      <c r="AB809" s="10" t="str">
        <f>IFERROR(__xludf.DUMMYFUNCTION("GOOGLETRANSLATE(J809,""my"", ""en"")"),"2924")</f>
        <v>2924</v>
      </c>
      <c r="AE809" s="10" t="str">
        <f>IFERROR(__xludf.DUMMYFUNCTION("GOOGLETRANSLATE(M809,""my"", ""en"")"),"195890")</f>
        <v>195890</v>
      </c>
      <c r="AF809" s="10" t="str">
        <f>IFERROR(__xludf.DUMMYFUNCTION("GOOGLETRANSLATE(N809,""my"", ""en"")"),"68340")</f>
        <v>68340</v>
      </c>
      <c r="AG809" s="10" t="str">
        <f>IFERROR(__xludf.DUMMYFUNCTION("GOOGLETRANSLATE(O809,""my"", ""en"")"),"264230")</f>
        <v>264230</v>
      </c>
    </row>
    <row r="810" ht="21.75" customHeigh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3" t="s">
        <v>5897</v>
      </c>
      <c r="L810" s="23" t="s">
        <v>5898</v>
      </c>
      <c r="M810" s="24" t="s">
        <v>5899</v>
      </c>
      <c r="N810" s="24" t="s">
        <v>5900</v>
      </c>
      <c r="O810" s="24" t="s">
        <v>5901</v>
      </c>
      <c r="P810" s="25" t="s">
        <v>5902</v>
      </c>
      <c r="AC810" s="10" t="str">
        <f>IFERROR(__xludf.DUMMYFUNCTION("GOOGLETRANSLATE(K810,""my"", ""en"")")," Game Thein")</f>
        <v> Game Thein</v>
      </c>
      <c r="AD810" s="10" t="str">
        <f>IFERROR(__xludf.DUMMYFUNCTION("GOOGLETRANSLATE(L810,""my"", ""en"")")," Game Democracy group   Pop Party")</f>
        <v> Game Democracy group   Pop Party</v>
      </c>
      <c r="AE810" s="10" t="str">
        <f>IFERROR(__xludf.DUMMYFUNCTION("GOOGLETRANSLATE(M810,""my"", ""en"")"),"171239")</f>
        <v>171239</v>
      </c>
      <c r="AF810" s="10" t="str">
        <f>IFERROR(__xludf.DUMMYFUNCTION("GOOGLETRANSLATE(N810,""my"", ""en"")"),"55270")</f>
        <v>55270</v>
      </c>
      <c r="AG810" s="10" t="str">
        <f>IFERROR(__xludf.DUMMYFUNCTION("GOOGLETRANSLATE(O810,""my"", ""en"")"),"226509")</f>
        <v>226509</v>
      </c>
      <c r="AH810" s="10" t="str">
        <f>IFERROR(__xludf.DUMMYFUNCTION("GOOGLETRANSLATE(P810,""my"", ""en"")"),"85.72%")</f>
        <v>85.72%</v>
      </c>
    </row>
    <row r="811" ht="21.75" customHeigh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3" t="s">
        <v>5903</v>
      </c>
      <c r="L811" s="23" t="s">
        <v>5904</v>
      </c>
      <c r="M811" s="24" t="s">
        <v>5905</v>
      </c>
      <c r="N811" s="24" t="s">
        <v>5906</v>
      </c>
      <c r="O811" s="24" t="s">
        <v>5907</v>
      </c>
      <c r="P811" s="25" t="s">
        <v>5908</v>
      </c>
      <c r="AC811" s="10" t="str">
        <f>IFERROR(__xludf.DUMMYFUNCTION("GOOGLETRANSLATE(K811,""my"", ""en"")")," ာဏ် ဝင်းထိုက်")</f>
        <v> ာဏ် ဝင်းထိုက်</v>
      </c>
      <c r="AD811" s="10" t="str">
        <f>IFERROR(__xludf.DUMMYFUNCTION("GOOGLETRANSLATE(L811,""my"", ""en"")"),"Local ေထာင် soap-stone strong ေရး  under development  Phil  ေရး Party")</f>
        <v>Local ေထာင် soap-stone strong ေရး  under development  Phil  ေရး Party</v>
      </c>
      <c r="AE811" s="10" t="str">
        <f>IFERROR(__xludf.DUMMYFUNCTION("GOOGLETRANSLATE(M811,""my"", ""en"")"),"16091")</f>
        <v>16091</v>
      </c>
      <c r="AF811" s="10" t="str">
        <f>IFERROR(__xludf.DUMMYFUNCTION("GOOGLETRANSLATE(N811,""my"", ""en"")"),"9474")</f>
        <v>9474</v>
      </c>
      <c r="AG811" s="10" t="str">
        <f>IFERROR(__xludf.DUMMYFUNCTION("GOOGLETRANSLATE(O811,""my"", ""en"")"),"25565")</f>
        <v>25565</v>
      </c>
      <c r="AH811" s="10" t="str">
        <f>IFERROR(__xludf.DUMMYFUNCTION("GOOGLETRANSLATE(P811,""my"", ""en"")"),"9.68%")</f>
        <v>9.68%</v>
      </c>
    </row>
    <row r="812" ht="22.5" customHeigh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3" t="s">
        <v>5909</v>
      </c>
      <c r="L812" s="23" t="s">
        <v>5910</v>
      </c>
      <c r="M812" s="24" t="s">
        <v>5911</v>
      </c>
      <c r="N812" s="24" t="s">
        <v>5912</v>
      </c>
      <c r="O812" s="24" t="s">
        <v>5913</v>
      </c>
      <c r="P812" s="25" t="s">
        <v>5914</v>
      </c>
      <c r="AC812" s="10" t="str">
        <f>IFERROR(__xludf.DUMMYFUNCTION("GOOGLETRANSLATE(K812,""my"", ""en"")"),"ေကျာ ေဇ")</f>
        <v>ေကျာ ေဇ</v>
      </c>
      <c r="AD812" s="10" t="str">
        <f>IFERROR(__xludf.DUMMYFUNCTION("GOOGLETRANSLATE(L812,""my"", ""en"")"),"ပည်သူ ေရှ  ေဆာင် Party")</f>
        <v>ပည်သူ ေရှ  ေဆာင် Party</v>
      </c>
      <c r="AE812" s="10" t="str">
        <f>IFERROR(__xludf.DUMMYFUNCTION("GOOGLETRANSLATE(M812,""my"", ""en"")"),"7170")</f>
        <v>7170</v>
      </c>
      <c r="AF812" s="10" t="str">
        <f>IFERROR(__xludf.DUMMYFUNCTION("GOOGLETRANSLATE(N812,""my"", ""en"")"),"2806")</f>
        <v>2806</v>
      </c>
      <c r="AG812" s="10" t="str">
        <f>IFERROR(__xludf.DUMMYFUNCTION("GOOGLETRANSLATE(O812,""my"", ""en"")"),"9976")</f>
        <v>9976</v>
      </c>
      <c r="AH812" s="10" t="str">
        <f>IFERROR(__xludf.DUMMYFUNCTION("GOOGLETRANSLATE(P812,""my"", ""en"")"),"3.78%")</f>
        <v>3.78%</v>
      </c>
    </row>
    <row r="813" ht="21.75" customHeigh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3" t="s">
        <v>5915</v>
      </c>
      <c r="L813" s="23" t="s">
        <v>5916</v>
      </c>
      <c r="M813" s="24" t="s">
        <v>5917</v>
      </c>
      <c r="N813" s="24" t="s">
        <v>5918</v>
      </c>
      <c r="O813" s="24" t="s">
        <v>5919</v>
      </c>
      <c r="P813" s="25" t="s">
        <v>5920</v>
      </c>
      <c r="AC813" s="10" t="str">
        <f>IFERROR(__xludf.DUMMYFUNCTION("GOOGLETRANSLATE(K813,""my"", ""en"")"),"ေဒါက် strengthen ေအာင်")</f>
        <v>ေဒါက် strengthen ေအာင်</v>
      </c>
      <c r="AD813" s="10" t="str">
        <f>IFERROR(__xludf.DUMMYFUNCTION("GOOGLETRANSLATE(L813,""my"", ""en"")"),"Local ေထာင် စုေ white  Game ေဆာင် Party")</f>
        <v>Local ေထာင် စုေ white  Game ေဆာင် Party</v>
      </c>
      <c r="AE813" s="10" t="str">
        <f>IFERROR(__xludf.DUMMYFUNCTION("GOOGLETRANSLATE(M813,""my"", ""en"")"),"1390")</f>
        <v>1390</v>
      </c>
      <c r="AF813" s="10" t="str">
        <f>IFERROR(__xludf.DUMMYFUNCTION("GOOGLETRANSLATE(N813,""my"", ""en"")"),"790")</f>
        <v>790</v>
      </c>
      <c r="AG813" s="10" t="str">
        <f>IFERROR(__xludf.DUMMYFUNCTION("GOOGLETRANSLATE(O813,""my"", ""en"")"),"2180")</f>
        <v>2180</v>
      </c>
      <c r="AH813" s="10" t="str">
        <f>IFERROR(__xludf.DUMMYFUNCTION("GOOGLETRANSLATE(P813,""my"", ""en"")"),"0.82%")</f>
        <v>0.82%</v>
      </c>
    </row>
    <row r="814" ht="21.75" customHeight="1">
      <c r="A814" s="28" t="s">
        <v>5921</v>
      </c>
      <c r="B814" s="17" t="s">
        <v>5922</v>
      </c>
      <c r="C814" s="18" t="s">
        <v>5923</v>
      </c>
      <c r="D814" s="18" t="s">
        <v>5924</v>
      </c>
      <c r="E814" s="18" t="s">
        <v>5925</v>
      </c>
      <c r="F814" s="18" t="s">
        <v>5926</v>
      </c>
      <c r="G814" s="18" t="s">
        <v>5927</v>
      </c>
      <c r="H814" s="18" t="s">
        <v>5928</v>
      </c>
      <c r="I814" s="18" t="s">
        <v>5929</v>
      </c>
      <c r="J814" s="18" t="s">
        <v>5930</v>
      </c>
      <c r="K814" s="27"/>
      <c r="L814" s="27"/>
      <c r="M814" s="18" t="s">
        <v>5931</v>
      </c>
      <c r="N814" s="18" t="s">
        <v>5932</v>
      </c>
      <c r="O814" s="18" t="s">
        <v>5933</v>
      </c>
      <c r="P814" s="27"/>
      <c r="S814" s="10" t="str">
        <f>IFERROR(__xludf.DUMMYFUNCTION("GOOGLETRANSLATE(A814,""my"", ""en"")"),"137")</f>
        <v>137</v>
      </c>
      <c r="T814" s="10" t="str">
        <f>IFERROR(__xludf.DUMMYFUNCTION("GOOGLETRANSLATE(B814,""my"", ""en"")"),"မဲဆ  No. (12)")</f>
        <v>မဲဆ  No. (12)</v>
      </c>
      <c r="U814" s="10" t="str">
        <f>IFERROR(__xludf.DUMMYFUNCTION("GOOGLETRANSLATE(C814,""my"", ""en"")"),"373125")</f>
        <v>373125</v>
      </c>
      <c r="V814" s="10" t="str">
        <f>IFERROR(__xludf.DUMMYFUNCTION("GOOGLETRANSLATE(D814,""my"", ""en"")"),"189537")</f>
        <v>189537</v>
      </c>
      <c r="W814" s="10" t="str">
        <f>IFERROR(__xludf.DUMMYFUNCTION("GOOGLETRANSLATE(E814,""my"", ""en"")"),"56198")</f>
        <v>56198</v>
      </c>
      <c r="X814" s="10" t="str">
        <f>IFERROR(__xludf.DUMMYFUNCTION("GOOGLETRANSLATE(F814,""my"", ""en"")"),"245735")</f>
        <v>245735</v>
      </c>
      <c r="Y814" s="10" t="str">
        <f>IFERROR(__xludf.DUMMYFUNCTION("GOOGLETRANSLATE(G814,""my"", ""en"")"),"65.86")</f>
        <v>65.86</v>
      </c>
      <c r="Z814" s="10" t="str">
        <f>IFERROR(__xludf.DUMMYFUNCTION("GOOGLETRANSLATE(H814,""my"", ""en"")"),"2091")</f>
        <v>2091</v>
      </c>
      <c r="AA814" s="10" t="str">
        <f>IFERROR(__xludf.DUMMYFUNCTION("GOOGLETRANSLATE(I814,""my"", ""en"")"),"202")</f>
        <v>202</v>
      </c>
      <c r="AB814" s="10" t="str">
        <f>IFERROR(__xludf.DUMMYFUNCTION("GOOGLETRANSLATE(J814,""my"", ""en"")"),"2293")</f>
        <v>2293</v>
      </c>
      <c r="AE814" s="10" t="str">
        <f>IFERROR(__xludf.DUMMYFUNCTION("GOOGLETRANSLATE(M814,""my"", ""en"")"),"187694")</f>
        <v>187694</v>
      </c>
      <c r="AF814" s="10" t="str">
        <f>IFERROR(__xludf.DUMMYFUNCTION("GOOGLETRANSLATE(N814,""my"", ""en"")"),"55748")</f>
        <v>55748</v>
      </c>
      <c r="AG814" s="10" t="str">
        <f>IFERROR(__xludf.DUMMYFUNCTION("GOOGLETRANSLATE(O814,""my"", ""en"")"),"243442")</f>
        <v>243442</v>
      </c>
    </row>
    <row r="815" ht="21.75" customHeigh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3" t="s">
        <v>5934</v>
      </c>
      <c r="L815" s="23" t="s">
        <v>5935</v>
      </c>
      <c r="M815" s="24" t="s">
        <v>5936</v>
      </c>
      <c r="N815" s="24" t="s">
        <v>5937</v>
      </c>
      <c r="O815" s="24" t="s">
        <v>5938</v>
      </c>
      <c r="P815" s="25" t="s">
        <v>5939</v>
      </c>
      <c r="AC815" s="10" t="str">
        <f>IFERROR(__xludf.DUMMYFUNCTION("GOOGLETRANSLATE(K815,""my"", ""en"")"),"Cold data  There Mya  ိး")</f>
        <v>Cold data  There Mya  ိး</v>
      </c>
      <c r="AD815" s="10" t="str">
        <f>IFERROR(__xludf.DUMMYFUNCTION("GOOGLETRANSLATE(L815,""my"", ""en"")")," Game Democracy group   Pop Party")</f>
        <v> Game Democracy group   Pop Party</v>
      </c>
      <c r="AE815" s="10" t="str">
        <f>IFERROR(__xludf.DUMMYFUNCTION("GOOGLETRANSLATE(M815,""my"", ""en"")"),"168381")</f>
        <v>168381</v>
      </c>
      <c r="AF815" s="10" t="str">
        <f>IFERROR(__xludf.DUMMYFUNCTION("GOOGLETRANSLATE(N815,""my"", ""en"")"),"49245")</f>
        <v>49245</v>
      </c>
      <c r="AG815" s="10" t="str">
        <f>IFERROR(__xludf.DUMMYFUNCTION("GOOGLETRANSLATE(O815,""my"", ""en"")"),"217626")</f>
        <v>217626</v>
      </c>
      <c r="AH815" s="10" t="str">
        <f>IFERROR(__xludf.DUMMYFUNCTION("GOOGLETRANSLATE(P815,""my"", ""en"")"),"89.40%")</f>
        <v>89.40%</v>
      </c>
    </row>
    <row r="816" ht="21.75" customHeigh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3" t="s">
        <v>5940</v>
      </c>
      <c r="L816" s="23" t="s">
        <v>5941</v>
      </c>
      <c r="M816" s="24" t="s">
        <v>5942</v>
      </c>
      <c r="N816" s="24" t="s">
        <v>5943</v>
      </c>
      <c r="O816" s="24" t="s">
        <v>5944</v>
      </c>
      <c r="P816" s="25" t="s">
        <v>5945</v>
      </c>
      <c r="AC816" s="10" t="str">
        <f>IFERROR(__xludf.DUMMYFUNCTION("GOOGLETRANSLATE(K816,""my"", ""en"")"),"Khin ေမာင် ေအး")</f>
        <v>Khin ေမာင် ေအး</v>
      </c>
      <c r="AD816" s="10" t="str">
        <f>IFERROR(__xludf.DUMMYFUNCTION("GOOGLETRANSLATE(L816,""my"", ""en"")"),"Local ေထာင် soap-stone strong ေရး  under development  Phil  ေရး Party")</f>
        <v>Local ေထာင် soap-stone strong ေရး  under development  Phil  ေရး Party</v>
      </c>
      <c r="AE816" s="10" t="str">
        <f>IFERROR(__xludf.DUMMYFUNCTION("GOOGLETRANSLATE(M816,""my"", ""en"")"),"13903")</f>
        <v>13903</v>
      </c>
      <c r="AF816" s="10" t="str">
        <f>IFERROR(__xludf.DUMMYFUNCTION("GOOGLETRANSLATE(N816,""my"", ""en"")"),"4984")</f>
        <v>4984</v>
      </c>
      <c r="AG816" s="10" t="str">
        <f>IFERROR(__xludf.DUMMYFUNCTION("GOOGLETRANSLATE(O816,""my"", ""en"")"),"18887")</f>
        <v>18887</v>
      </c>
      <c r="AH816" s="10" t="str">
        <f>IFERROR(__xludf.DUMMYFUNCTION("GOOGLETRANSLATE(P816,""my"", ""en"")"),"7.76%")</f>
        <v>7.76%</v>
      </c>
    </row>
    <row r="817" ht="21.75" customHeigh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3" t="s">
        <v>5946</v>
      </c>
      <c r="L817" s="23" t="s">
        <v>5947</v>
      </c>
      <c r="M817" s="24" t="s">
        <v>5948</v>
      </c>
      <c r="N817" s="24" t="s">
        <v>5949</v>
      </c>
      <c r="O817" s="24" t="s">
        <v>5950</v>
      </c>
      <c r="P817" s="25" t="s">
        <v>5951</v>
      </c>
      <c r="AC817" s="10" t="str">
        <f>IFERROR(__xludf.DUMMYFUNCTION("GOOGLETRANSLATE(K817,""my"", ""en"")"),"ေအာင် not Win")</f>
        <v>ေအာင် not Win</v>
      </c>
      <c r="AD817" s="10" t="str">
        <f>IFERROR(__xludf.DUMMYFUNCTION("GOOGLETRANSLATE(L817,""my"", ""en"")"),"ပည်သူ ေရှ  ေဆာင် Party")</f>
        <v>ပည်သူ ေရှ  ေဆာင် Party</v>
      </c>
      <c r="AE817" s="10" t="str">
        <f>IFERROR(__xludf.DUMMYFUNCTION("GOOGLETRANSLATE(M817,""my"", ""en"")"),"3224")</f>
        <v>3224</v>
      </c>
      <c r="AF817" s="10" t="str">
        <f>IFERROR(__xludf.DUMMYFUNCTION("GOOGLETRANSLATE(N817,""my"", ""en"")"),"723")</f>
        <v>723</v>
      </c>
      <c r="AG817" s="10" t="str">
        <f>IFERROR(__xludf.DUMMYFUNCTION("GOOGLETRANSLATE(O817,""my"", ""en"")"),"3947")</f>
        <v>3947</v>
      </c>
      <c r="AH817" s="10" t="str">
        <f>IFERROR(__xludf.DUMMYFUNCTION("GOOGLETRANSLATE(P817,""my"", ""en"")"),"1.62%")</f>
        <v>1.62%</v>
      </c>
    </row>
    <row r="818" ht="21.0" customHeigh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3" t="s">
        <v>5952</v>
      </c>
      <c r="L818" s="23" t="s">
        <v>5953</v>
      </c>
      <c r="M818" s="24" t="s">
        <v>5954</v>
      </c>
      <c r="N818" s="24" t="s">
        <v>5955</v>
      </c>
      <c r="O818" s="24" t="s">
        <v>5956</v>
      </c>
      <c r="P818" s="25" t="s">
        <v>5957</v>
      </c>
      <c r="AC818" s="10" t="str">
        <f>IFERROR(__xludf.DUMMYFUNCTION("GOOGLETRANSLATE(K818,""my"", ""en"")"),"ေဒ  sapphire strong")</f>
        <v>ေဒ  sapphire strong</v>
      </c>
      <c r="AD818" s="10" t="str">
        <f>IFERROR(__xludf.DUMMYFUNCTION("GOOGLETRANSLATE(L818,""my"", ""en"")"),"ပည်သူ Party")</f>
        <v>ပည်သူ Party</v>
      </c>
      <c r="AE818" s="10" t="str">
        <f>IFERROR(__xludf.DUMMYFUNCTION("GOOGLETRANSLATE(M818,""my"", ""en"")"),"1267")</f>
        <v>1267</v>
      </c>
      <c r="AF818" s="10" t="str">
        <f>IFERROR(__xludf.DUMMYFUNCTION("GOOGLETRANSLATE(N818,""my"", ""en"")"),"367")</f>
        <v>367</v>
      </c>
      <c r="AG818" s="10" t="str">
        <f>IFERROR(__xludf.DUMMYFUNCTION("GOOGLETRANSLATE(O818,""my"", ""en"")"),"1634")</f>
        <v>1634</v>
      </c>
      <c r="AH818" s="10" t="str">
        <f>IFERROR(__xludf.DUMMYFUNCTION("GOOGLETRANSLATE(P818,""my"", ""en"")"),"0.67%")</f>
        <v>0.67%</v>
      </c>
    </row>
    <row r="819" ht="21.75" customHeigh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3" t="s">
        <v>5958</v>
      </c>
      <c r="L819" s="23" t="s">
        <v>5959</v>
      </c>
      <c r="M819" s="24" t="s">
        <v>5960</v>
      </c>
      <c r="N819" s="24" t="s">
        <v>5961</v>
      </c>
      <c r="O819" s="24" t="s">
        <v>5962</v>
      </c>
      <c r="P819" s="25" t="s">
        <v>5963</v>
      </c>
      <c r="AC819" s="10" t="str">
        <f>IFERROR(__xludf.DUMMYFUNCTION("GOOGLETRANSLATE(K819,""my"", ""en"")"),"Win  Cashier")</f>
        <v>Win  Cashier</v>
      </c>
      <c r="AD819" s="10" t="str">
        <f>IFERROR(__xludf.DUMMYFUNCTION("GOOGLETRANSLATE(L819,""my"", ""en"")"),"Local ေထာင် စုေ white  Game ေဆာင် Party")</f>
        <v>Local ေထာင် စုေ white  Game ေဆာင် Party</v>
      </c>
      <c r="AE819" s="10" t="str">
        <f>IFERROR(__xludf.DUMMYFUNCTION("GOOGLETRANSLATE(M819,""my"", ""en"")"),"919")</f>
        <v>919</v>
      </c>
      <c r="AF819" s="10" t="str">
        <f>IFERROR(__xludf.DUMMYFUNCTION("GOOGLETRANSLATE(N819,""my"", ""en"")"),"429")</f>
        <v>429</v>
      </c>
      <c r="AG819" s="10" t="str">
        <f>IFERROR(__xludf.DUMMYFUNCTION("GOOGLETRANSLATE(O819,""my"", ""en"")"),"1348")</f>
        <v>1348</v>
      </c>
      <c r="AH819" s="10" t="str">
        <f>IFERROR(__xludf.DUMMYFUNCTION("GOOGLETRANSLATE(P819,""my"", ""en"")"),"0.55%")</f>
        <v>0.55%</v>
      </c>
    </row>
    <row r="820" ht="22.5" customHeight="1">
      <c r="A820" s="14"/>
      <c r="B820" s="15" t="s">
        <v>5964</v>
      </c>
      <c r="C820" s="16" t="s">
        <v>5965</v>
      </c>
      <c r="D820" s="16" t="s">
        <v>5966</v>
      </c>
      <c r="E820" s="16" t="s">
        <v>5967</v>
      </c>
      <c r="F820" s="16" t="s">
        <v>5968</v>
      </c>
      <c r="G820" s="16" t="s">
        <v>5969</v>
      </c>
      <c r="H820" s="16" t="s">
        <v>5970</v>
      </c>
      <c r="I820" s="16" t="s">
        <v>5971</v>
      </c>
      <c r="J820" s="16" t="s">
        <v>5972</v>
      </c>
      <c r="K820" s="14"/>
      <c r="L820" s="14"/>
      <c r="M820" s="47" t="s">
        <v>5973</v>
      </c>
      <c r="N820" s="47" t="s">
        <v>5974</v>
      </c>
      <c r="O820" s="16" t="s">
        <v>5975</v>
      </c>
      <c r="P820" s="14"/>
      <c r="T820" s="10" t="str">
        <f>IFERROR(__xludf.DUMMYFUNCTION("GOOGLETRANSLATE(B820,""my"", ""en"")"),"Shan State")</f>
        <v>Shan State</v>
      </c>
      <c r="U820" s="10" t="str">
        <f>IFERROR(__xludf.DUMMYFUNCTION("GOOGLETRANSLATE(C820,""my"", ""en"")"),"3634283")</f>
        <v>3634283</v>
      </c>
      <c r="V820" s="10" t="str">
        <f>IFERROR(__xludf.DUMMYFUNCTION("GOOGLETRANSLATE(D820,""my"", ""en"")"),"1945389")</f>
        <v>1945389</v>
      </c>
      <c r="W820" s="10" t="str">
        <f>IFERROR(__xludf.DUMMYFUNCTION("GOOGLETRANSLATE(E820,""my"", ""en"")"),"474620")</f>
        <v>474620</v>
      </c>
      <c r="X820" s="10" t="str">
        <f>IFERROR(__xludf.DUMMYFUNCTION("GOOGLETRANSLATE(F820,""my"", ""en"")"),"2420009")</f>
        <v>2420009</v>
      </c>
      <c r="Y820" s="10" t="str">
        <f>IFERROR(__xludf.DUMMYFUNCTION("GOOGLETRANSLATE(G820,""my"", ""en"")"),"66.59")</f>
        <v>66.59</v>
      </c>
      <c r="Z820" s="10" t="str">
        <f>IFERROR(__xludf.DUMMYFUNCTION("GOOGLETRANSLATE(H820,""my"", ""en"")"),"127333")</f>
        <v>127333</v>
      </c>
      <c r="AA820" s="10" t="str">
        <f>IFERROR(__xludf.DUMMYFUNCTION("GOOGLETRANSLATE(I820,""my"", ""en"")"),"3262")</f>
        <v>3262</v>
      </c>
      <c r="AB820" s="10" t="str">
        <f>IFERROR(__xludf.DUMMYFUNCTION("GOOGLETRANSLATE(J820,""my"", ""en"")"),"130595")</f>
        <v>130595</v>
      </c>
      <c r="AE820" s="10" t="str">
        <f>IFERROR(__xludf.DUMMYFUNCTION("GOOGLETRANSLATE(M820,""my"", ""en"")"),"1830801")</f>
        <v>1830801</v>
      </c>
      <c r="AF820" s="10" t="str">
        <f>IFERROR(__xludf.DUMMYFUNCTION("GOOGLETRANSLATE(N820,""my"", ""en"")"),"458613")</f>
        <v>458613</v>
      </c>
      <c r="AG820" s="10" t="str">
        <f>IFERROR(__xludf.DUMMYFUNCTION("GOOGLETRANSLATE(O820,""my"", ""en"")"),"2289414")</f>
        <v>2289414</v>
      </c>
    </row>
    <row r="821" ht="21.75" customHeight="1">
      <c r="A821" s="28" t="s">
        <v>5976</v>
      </c>
      <c r="B821" s="17" t="s">
        <v>5977</v>
      </c>
      <c r="C821" s="18" t="s">
        <v>5978</v>
      </c>
      <c r="D821" s="18" t="s">
        <v>5979</v>
      </c>
      <c r="E821" s="18" t="s">
        <v>5980</v>
      </c>
      <c r="F821" s="18" t="s">
        <v>5981</v>
      </c>
      <c r="G821" s="18" t="s">
        <v>5982</v>
      </c>
      <c r="H821" s="18" t="s">
        <v>5983</v>
      </c>
      <c r="I821" s="18" t="s">
        <v>5984</v>
      </c>
      <c r="J821" s="18" t="s">
        <v>5985</v>
      </c>
      <c r="K821" s="27"/>
      <c r="L821" s="27"/>
      <c r="M821" s="18" t="s">
        <v>5986</v>
      </c>
      <c r="N821" s="18" t="s">
        <v>5987</v>
      </c>
      <c r="O821" s="18" t="s">
        <v>5988</v>
      </c>
      <c r="P821" s="27"/>
      <c r="S821" s="10" t="str">
        <f>IFERROR(__xludf.DUMMYFUNCTION("GOOGLETRANSLATE(A821,""my"", ""en"")"),"138")</f>
        <v>138</v>
      </c>
      <c r="T821" s="10" t="str">
        <f>IFERROR(__xludf.DUMMYFUNCTION("GOOGLETRANSLATE(B821,""my"", ""en"")"),"မဲဆ  No. (1)")</f>
        <v>မဲဆ  No. (1)</v>
      </c>
      <c r="U821" s="10" t="str">
        <f>IFERROR(__xludf.DUMMYFUNCTION("GOOGLETRANSLATE(C821,""my"", ""en"")"),"474055")</f>
        <v>474055</v>
      </c>
      <c r="V821" s="10" t="str">
        <f>IFERROR(__xludf.DUMMYFUNCTION("GOOGLETRANSLATE(D821,""my"", ""en"")"),"277560")</f>
        <v>277560</v>
      </c>
      <c r="W821" s="10" t="str">
        <f>IFERROR(__xludf.DUMMYFUNCTION("GOOGLETRANSLATE(E821,""my"", ""en"")"),"47858")</f>
        <v>47858</v>
      </c>
      <c r="X821" s="10" t="str">
        <f>IFERROR(__xludf.DUMMYFUNCTION("GOOGLETRANSLATE(F821,""my"", ""en"")"),"325418")</f>
        <v>325418</v>
      </c>
      <c r="Y821" s="10" t="str">
        <f>IFERROR(__xludf.DUMMYFUNCTION("GOOGLETRANSLATE(G821,""my"", ""en"")"),"68.65")</f>
        <v>68.65</v>
      </c>
      <c r="Z821" s="10" t="str">
        <f>IFERROR(__xludf.DUMMYFUNCTION("GOOGLETRANSLATE(H821,""my"", ""en"")"),"10368")</f>
        <v>10368</v>
      </c>
      <c r="AA821" s="10" t="str">
        <f>IFERROR(__xludf.DUMMYFUNCTION("GOOGLETRANSLATE(I821,""my"", ""en"")"),"276")</f>
        <v>276</v>
      </c>
      <c r="AB821" s="10" t="str">
        <f>IFERROR(__xludf.DUMMYFUNCTION("GOOGLETRANSLATE(J821,""my"", ""en"")"),"10644")</f>
        <v>10644</v>
      </c>
      <c r="AE821" s="10" t="str">
        <f>IFERROR(__xludf.DUMMYFUNCTION("GOOGLETRANSLATE(M821,""my"", ""en"")"),"267939")</f>
        <v>267939</v>
      </c>
      <c r="AF821" s="10" t="str">
        <f>IFERROR(__xludf.DUMMYFUNCTION("GOOGLETRANSLATE(N821,""my"", ""en"")"),"46835")</f>
        <v>46835</v>
      </c>
      <c r="AG821" s="10" t="str">
        <f>IFERROR(__xludf.DUMMYFUNCTION("GOOGLETRANSLATE(O821,""my"", ""en"")"),"314774")</f>
        <v>314774</v>
      </c>
    </row>
    <row r="822" ht="22.5" customHeigh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3" t="s">
        <v>5989</v>
      </c>
      <c r="L822" s="23" t="s">
        <v>5990</v>
      </c>
      <c r="M822" s="24" t="s">
        <v>5991</v>
      </c>
      <c r="N822" s="24" t="s">
        <v>5992</v>
      </c>
      <c r="O822" s="24" t="s">
        <v>5993</v>
      </c>
      <c r="P822" s="25" t="s">
        <v>5994</v>
      </c>
      <c r="AC822" s="10" t="str">
        <f>IFERROR(__xludf.DUMMYFUNCTION("GOOGLETRANSLATE(K822,""my"", ""en"")"),"Worthy ေဇာ")</f>
        <v>Worthy ေဇာ</v>
      </c>
      <c r="AD822" s="10" t="str">
        <f>IFERROR(__xludf.DUMMYFUNCTION("GOOGLETRANSLATE(L822,""my"", ""en"")")," Game Democracy group   Pop Party")</f>
        <v> Game Democracy group   Pop Party</v>
      </c>
      <c r="AE822" s="10" t="str">
        <f>IFERROR(__xludf.DUMMYFUNCTION("GOOGLETRANSLATE(M822,""my"", ""en"")"),"91423")</f>
        <v>91423</v>
      </c>
      <c r="AF822" s="10" t="str">
        <f>IFERROR(__xludf.DUMMYFUNCTION("GOOGLETRANSLATE(N822,""my"", ""en"")"),"18068")</f>
        <v>18068</v>
      </c>
      <c r="AG822" s="10" t="str">
        <f>IFERROR(__xludf.DUMMYFUNCTION("GOOGLETRANSLATE(O822,""my"", ""en"")"),"109491")</f>
        <v>109491</v>
      </c>
      <c r="AH822" s="10" t="str">
        <f>IFERROR(__xludf.DUMMYFUNCTION("GOOGLETRANSLATE(P822,""my"", ""en"")"),"34.78%")</f>
        <v>34.78%</v>
      </c>
    </row>
    <row r="823" ht="36.75" customHeigh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9" t="s">
        <v>5995</v>
      </c>
      <c r="L823" s="29" t="s">
        <v>5996</v>
      </c>
      <c r="M823" s="30" t="s">
        <v>5997</v>
      </c>
      <c r="N823" s="30" t="s">
        <v>5998</v>
      </c>
      <c r="O823" s="24" t="s">
        <v>5999</v>
      </c>
      <c r="P823" s="31" t="s">
        <v>6000</v>
      </c>
      <c r="AC823" s="10" t="str">
        <f>IFERROR(__xludf.DUMMYFUNCTION("GOOGLETRANSLATE(K823,""my"", ""en"")"),"Sai Tun pull-Hein (b) Sai Sam လျဲန်း")</f>
        <v>Sai Tun pull-Hein (b) Sai Sam လျဲန်း</v>
      </c>
      <c r="AD823" s="10" t="str">
        <f>IFERROR(__xludf.DUMMYFUNCTION("GOOGLETRANSLATE(L823,""my"", ""en"")"),"In the Shan Nationalities League for Democracy members   Party")</f>
        <v>In the Shan Nationalities League for Democracy members   Party</v>
      </c>
      <c r="AE823" s="10" t="str">
        <f>IFERROR(__xludf.DUMMYFUNCTION("GOOGLETRANSLATE(M823,""my"", ""en"")"),"99311")</f>
        <v>99311</v>
      </c>
      <c r="AF823" s="10" t="str">
        <f>IFERROR(__xludf.DUMMYFUNCTION("GOOGLETRANSLATE(N823,""my"", ""en"")"),"10126")</f>
        <v>10126</v>
      </c>
      <c r="AG823" s="10" t="str">
        <f>IFERROR(__xludf.DUMMYFUNCTION("GOOGLETRANSLATE(O823,""my"", ""en"")"),"109437")</f>
        <v>109437</v>
      </c>
      <c r="AH823" s="10" t="str">
        <f>IFERROR(__xludf.DUMMYFUNCTION("GOOGLETRANSLATE(P823,""my"", ""en"")"),"34.77%")</f>
        <v>34.77%</v>
      </c>
    </row>
    <row r="824" ht="24.0" customHeigh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3" t="s">
        <v>6001</v>
      </c>
      <c r="L824" s="23" t="s">
        <v>6002</v>
      </c>
      <c r="M824" s="24" t="s">
        <v>6003</v>
      </c>
      <c r="N824" s="24" t="s">
        <v>6004</v>
      </c>
      <c r="O824" s="24" t="s">
        <v>6005</v>
      </c>
      <c r="P824" s="25" t="s">
        <v>6006</v>
      </c>
      <c r="AC824" s="10" t="str">
        <f>IFERROR(__xludf.DUMMYFUNCTION("GOOGLETRANSLATE(K824,""my"", ""en"")"),"ေကျာ diamond")</f>
        <v>ေကျာ diamond</v>
      </c>
      <c r="AD824" s="10" t="str">
        <f>IFERROR(__xludf.DUMMYFUNCTION("GOOGLETRANSLATE(L824,""my"", ""en"")"),"Local ေထာင် soap-stone strong ေရး  under development  Phil  ေရး Party")</f>
        <v>Local ေထာင် soap-stone strong ေရး  under development  Phil  ေရး Party</v>
      </c>
      <c r="AE824" s="10" t="str">
        <f>IFERROR(__xludf.DUMMYFUNCTION("GOOGLETRANSLATE(M824,""my"", ""en"")"),"36716")</f>
        <v>36716</v>
      </c>
      <c r="AF824" s="10" t="str">
        <f>IFERROR(__xludf.DUMMYFUNCTION("GOOGLETRANSLATE(N824,""my"", ""en"")"),"12392")</f>
        <v>12392</v>
      </c>
      <c r="AG824" s="10" t="str">
        <f>IFERROR(__xludf.DUMMYFUNCTION("GOOGLETRANSLATE(O824,""my"", ""en"")"),"49108")</f>
        <v>49108</v>
      </c>
      <c r="AH824" s="10" t="str">
        <f>IFERROR(__xludf.DUMMYFUNCTION("GOOGLETRANSLATE(P824,""my"", ""en"")"),"15.60%")</f>
        <v>15.60%</v>
      </c>
    </row>
    <row r="825" ht="23.25" customHeigh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3" t="s">
        <v>6007</v>
      </c>
      <c r="L825" s="23" t="s">
        <v>6008</v>
      </c>
      <c r="M825" s="24" t="s">
        <v>6009</v>
      </c>
      <c r="N825" s="24" t="s">
        <v>6010</v>
      </c>
      <c r="O825" s="24" t="s">
        <v>6011</v>
      </c>
      <c r="P825" s="25" t="s">
        <v>6012</v>
      </c>
      <c r="AC825" s="10" t="str">
        <f>IFERROR(__xludf.DUMMYFUNCTION("GOOGLETRANSLATE(K825,""my"", ""en"")"),"Sai shine")</f>
        <v>Sai shine</v>
      </c>
      <c r="AD825" s="10" t="str">
        <f>IFERROR(__xludf.DUMMYFUNCTION("GOOGLETRANSLATE(L825,""my"", ""en"")"),"Shan Nationalities")</f>
        <v>Shan Nationalities</v>
      </c>
      <c r="AE825" s="10" t="str">
        <f>IFERROR(__xludf.DUMMYFUNCTION("GOOGLETRANSLATE(M825,""my"", ""en"")"),"22518")</f>
        <v>22518</v>
      </c>
      <c r="AF825" s="10" t="str">
        <f>IFERROR(__xludf.DUMMYFUNCTION("GOOGLETRANSLATE(N825,""my"", ""en"")"),"3379")</f>
        <v>3379</v>
      </c>
      <c r="AG825" s="10" t="str">
        <f>IFERROR(__xludf.DUMMYFUNCTION("GOOGLETRANSLATE(O825,""my"", ""en"")"),"25897")</f>
        <v>25897</v>
      </c>
      <c r="AH825" s="10" t="str">
        <f>IFERROR(__xludf.DUMMYFUNCTION("GOOGLETRANSLATE(P825,""my"", ""en"")"),"8.23%")</f>
        <v>8.23%</v>
      </c>
    </row>
    <row r="826" ht="24.75" customHeigh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3" t="s">
        <v>6013</v>
      </c>
      <c r="L826" s="23" t="s">
        <v>6014</v>
      </c>
      <c r="M826" s="24" t="s">
        <v>6015</v>
      </c>
      <c r="N826" s="24" t="s">
        <v>6016</v>
      </c>
      <c r="O826" s="24" t="s">
        <v>6017</v>
      </c>
      <c r="P826" s="25" t="s">
        <v>6018</v>
      </c>
      <c r="AC826" s="10" t="str">
        <f>IFERROR(__xludf.DUMMYFUNCTION("GOOGLETRANSLATE(K826,""my"", ""en"")"),"ေဒ  advent of the Union")</f>
        <v>ေဒ  advent of the Union</v>
      </c>
      <c r="AD826" s="10" t="str">
        <f>IFERROR(__xludf.DUMMYFUNCTION("GOOGLETRANSLATE(L826,""my"", ""en"")"),"Ta'ang (လာင်)  Game Party")</f>
        <v>Ta'ang (လာင်)  Game Party</v>
      </c>
      <c r="AE826" s="10" t="str">
        <f>IFERROR(__xludf.DUMMYFUNCTION("GOOGLETRANSLATE(M826,""my"", ""en"")"),"13613")</f>
        <v>13613</v>
      </c>
      <c r="AF826" s="10" t="str">
        <f>IFERROR(__xludf.DUMMYFUNCTION("GOOGLETRANSLATE(N826,""my"", ""en"")"),"1852")</f>
        <v>1852</v>
      </c>
      <c r="AG826" s="10" t="str">
        <f>IFERROR(__xludf.DUMMYFUNCTION("GOOGLETRANSLATE(O826,""my"", ""en"")"),"15465")</f>
        <v>15465</v>
      </c>
      <c r="AH826" s="10" t="str">
        <f>IFERROR(__xludf.DUMMYFUNCTION("GOOGLETRANSLATE(P826,""my"", ""en"")"),"4.91%")</f>
        <v>4.91%</v>
      </c>
    </row>
    <row r="827" ht="24.0" customHeigh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3" t="s">
        <v>6019</v>
      </c>
      <c r="L827" s="23" t="s">
        <v>6020</v>
      </c>
      <c r="M827" s="24" t="s">
        <v>6021</v>
      </c>
      <c r="N827" s="24" t="s">
        <v>6022</v>
      </c>
      <c r="O827" s="24" t="s">
        <v>6023</v>
      </c>
      <c r="P827" s="25" t="s">
        <v>6024</v>
      </c>
      <c r="AC827" s="10" t="str">
        <f>IFERROR(__xludf.DUMMYFUNCTION("GOOGLETRANSLATE(K827,""my"", ""en"")"),"Soe Khaing")</f>
        <v>Soe Khaing</v>
      </c>
      <c r="AD827" s="10" t="str">
        <f>IFERROR(__xludf.DUMMYFUNCTION("GOOGLETRANSLATE(L827,""my"", ""en"")"),"Local ေထာင် စုေ white  Game ေဆာင် Party")</f>
        <v>Local ေထာင် စုေ white  Game ေဆာင် Party</v>
      </c>
      <c r="AE827" s="10" t="str">
        <f>IFERROR(__xludf.DUMMYFUNCTION("GOOGLETRANSLATE(M827,""my"", ""en"")"),"4358")</f>
        <v>4358</v>
      </c>
      <c r="AF827" s="10" t="str">
        <f>IFERROR(__xludf.DUMMYFUNCTION("GOOGLETRANSLATE(N827,""my"", ""en"")"),"1018")</f>
        <v>1018</v>
      </c>
      <c r="AG827" s="10" t="str">
        <f>IFERROR(__xludf.DUMMYFUNCTION("GOOGLETRANSLATE(O827,""my"", ""en"")"),"5376")</f>
        <v>5376</v>
      </c>
      <c r="AH827" s="10" t="str">
        <f>IFERROR(__xludf.DUMMYFUNCTION("GOOGLETRANSLATE(P827,""my"", ""en"")"),"1.71%")</f>
        <v>1.71%</v>
      </c>
    </row>
    <row r="828" ht="21.75" customHeight="1">
      <c r="A828" s="28" t="s">
        <v>6025</v>
      </c>
      <c r="B828" s="17" t="s">
        <v>6026</v>
      </c>
      <c r="C828" s="18" t="s">
        <v>6027</v>
      </c>
      <c r="D828" s="18" t="s">
        <v>6028</v>
      </c>
      <c r="E828" s="18" t="s">
        <v>6029</v>
      </c>
      <c r="F828" s="17" t="s">
        <v>6030</v>
      </c>
      <c r="G828" s="18" t="s">
        <v>6031</v>
      </c>
      <c r="H828" s="17" t="s">
        <v>6032</v>
      </c>
      <c r="I828" s="18" t="s">
        <v>6033</v>
      </c>
      <c r="J828" s="18" t="s">
        <v>6034</v>
      </c>
      <c r="K828" s="27"/>
      <c r="L828" s="27"/>
      <c r="M828" s="18" t="s">
        <v>6035</v>
      </c>
      <c r="N828" s="18" t="s">
        <v>6036</v>
      </c>
      <c r="O828" s="18" t="s">
        <v>6037</v>
      </c>
      <c r="P828" s="27"/>
      <c r="S828" s="10" t="str">
        <f>IFERROR(__xludf.DUMMYFUNCTION("GOOGLETRANSLATE(A828,""my"", ""en"")"),"139")</f>
        <v>139</v>
      </c>
      <c r="T828" s="10" t="str">
        <f>IFERROR(__xludf.DUMMYFUNCTION("GOOGLETRANSLATE(B828,""my"", ""en"")"),"မဲဆ  No. (2)")</f>
        <v>မဲဆ  No. (2)</v>
      </c>
      <c r="U828" s="10" t="str">
        <f>IFERROR(__xludf.DUMMYFUNCTION("GOOGLETRANSLATE(C828,""my"", ""en"")"),"197506")</f>
        <v>197506</v>
      </c>
      <c r="V828" s="10" t="str">
        <f>IFERROR(__xludf.DUMMYFUNCTION("GOOGLETRANSLATE(D828,""my"", ""en"")"),"85415")</f>
        <v>85415</v>
      </c>
      <c r="W828" s="10" t="str">
        <f>IFERROR(__xludf.DUMMYFUNCTION("GOOGLETRANSLATE(E828,""my"", ""en"")"),"25866")</f>
        <v>25866</v>
      </c>
      <c r="X828" s="10" t="str">
        <f>IFERROR(__xludf.DUMMYFUNCTION("GOOGLETRANSLATE(F828,""my"", ""en"")"),"111281")</f>
        <v>111281</v>
      </c>
      <c r="Y828" s="10" t="str">
        <f>IFERROR(__xludf.DUMMYFUNCTION("GOOGLETRANSLATE(G828,""my"", ""en"")"),"56.34")</f>
        <v>56.34</v>
      </c>
      <c r="Z828" s="10" t="str">
        <f>IFERROR(__xludf.DUMMYFUNCTION("GOOGLETRANSLATE(H828,""my"", ""en"")"),"10921")</f>
        <v>10921</v>
      </c>
      <c r="AA828" s="10" t="str">
        <f>IFERROR(__xludf.DUMMYFUNCTION("GOOGLETRANSLATE(I828,""my"", ""en"")"),"332")</f>
        <v>332</v>
      </c>
      <c r="AB828" s="10" t="str">
        <f>IFERROR(__xludf.DUMMYFUNCTION("GOOGLETRANSLATE(J828,""my"", ""en"")"),"11253")</f>
        <v>11253</v>
      </c>
      <c r="AE828" s="10" t="str">
        <f>IFERROR(__xludf.DUMMYFUNCTION("GOOGLETRANSLATE(M828,""my"", ""en"")"),"75672")</f>
        <v>75672</v>
      </c>
      <c r="AF828" s="10" t="str">
        <f>IFERROR(__xludf.DUMMYFUNCTION("GOOGLETRANSLATE(N828,""my"", ""en"")"),"24356")</f>
        <v>24356</v>
      </c>
      <c r="AG828" s="10" t="str">
        <f>IFERROR(__xludf.DUMMYFUNCTION("GOOGLETRANSLATE(O828,""my"", ""en"")"),"100028")</f>
        <v>100028</v>
      </c>
    </row>
    <row r="829" ht="24.75" customHeigh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3" t="s">
        <v>6038</v>
      </c>
      <c r="L829" s="23" t="s">
        <v>6039</v>
      </c>
      <c r="M829" s="24" t="s">
        <v>6040</v>
      </c>
      <c r="N829" s="24" t="s">
        <v>6041</v>
      </c>
      <c r="O829" s="24" t="s">
        <v>6042</v>
      </c>
      <c r="P829" s="25" t="s">
        <v>6043</v>
      </c>
      <c r="AC829" s="10" t="str">
        <f>IFERROR(__xludf.DUMMYFUNCTION("GOOGLETRANSLATE(K829,""my"", ""en"")"),"Sai Main")</f>
        <v>Sai Main</v>
      </c>
      <c r="AD829" s="10" t="str">
        <f>IFERROR(__xludf.DUMMYFUNCTION("GOOGLETRANSLATE(L829,""my"", ""en"")")," Game Democracy group   Pop Party")</f>
        <v> Game Democracy group   Pop Party</v>
      </c>
      <c r="AE829" s="10" t="str">
        <f>IFERROR(__xludf.DUMMYFUNCTION("GOOGLETRANSLATE(M829,""my"", ""en"")"),"37420")</f>
        <v>37420</v>
      </c>
      <c r="AF829" s="10" t="str">
        <f>IFERROR(__xludf.DUMMYFUNCTION("GOOGLETRANSLATE(N829,""my"", ""en"")"),"10529")</f>
        <v>10529</v>
      </c>
      <c r="AG829" s="10" t="str">
        <f>IFERROR(__xludf.DUMMYFUNCTION("GOOGLETRANSLATE(O829,""my"", ""en"")"),"47949")</f>
        <v>47949</v>
      </c>
      <c r="AH829" s="10" t="str">
        <f>IFERROR(__xludf.DUMMYFUNCTION("GOOGLETRANSLATE(P829,""my"", ""en"")"),"47.93%")</f>
        <v>47.93%</v>
      </c>
    </row>
    <row r="830" ht="24.0" customHeigh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3" t="s">
        <v>6044</v>
      </c>
      <c r="L830" s="23" t="s">
        <v>6045</v>
      </c>
      <c r="M830" s="24" t="s">
        <v>6046</v>
      </c>
      <c r="N830" s="24" t="s">
        <v>6047</v>
      </c>
      <c r="O830" s="24" t="s">
        <v>6048</v>
      </c>
      <c r="P830" s="25" t="s">
        <v>6049</v>
      </c>
      <c r="AC830" s="10" t="str">
        <f>IFERROR(__xludf.DUMMYFUNCTION("GOOGLETRANSLATE(K830,""my"", ""en"")"),"Nang ေနာ")</f>
        <v>Nang ေနာ</v>
      </c>
      <c r="AD830" s="10" t="str">
        <f>IFERROR(__xludf.DUMMYFUNCTION("GOOGLETRANSLATE(L830,""my"", ""en"")"),"Local ေထာင် soap-stone strong ေရး  under development  Phil  ေရး Party")</f>
        <v>Local ေထာင် soap-stone strong ေရး  under development  Phil  ေရး Party</v>
      </c>
      <c r="AE830" s="10" t="str">
        <f>IFERROR(__xludf.DUMMYFUNCTION("GOOGLETRANSLATE(M830,""my"", ""en"")"),"24211")</f>
        <v>24211</v>
      </c>
      <c r="AF830" s="10" t="str">
        <f>IFERROR(__xludf.DUMMYFUNCTION("GOOGLETRANSLATE(N830,""my"", ""en"")"),"10628")</f>
        <v>10628</v>
      </c>
      <c r="AG830" s="10" t="str">
        <f>IFERROR(__xludf.DUMMYFUNCTION("GOOGLETRANSLATE(O830,""my"", ""en"")"),"34839")</f>
        <v>34839</v>
      </c>
      <c r="AH830" s="10" t="str">
        <f>IFERROR(__xludf.DUMMYFUNCTION("GOOGLETRANSLATE(P830,""my"", ""en"")"),"34.83%")</f>
        <v>34.83%</v>
      </c>
    </row>
    <row r="831" ht="24.75" customHeigh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3" t="s">
        <v>6050</v>
      </c>
      <c r="L831" s="29" t="s">
        <v>6051</v>
      </c>
      <c r="M831" s="30" t="s">
        <v>6052</v>
      </c>
      <c r="N831" s="30" t="s">
        <v>6053</v>
      </c>
      <c r="O831" s="24" t="s">
        <v>6054</v>
      </c>
      <c r="P831" s="25" t="s">
        <v>6055</v>
      </c>
      <c r="AC831" s="10" t="str">
        <f>IFERROR(__xludf.DUMMYFUNCTION("GOOGLETRANSLATE(K831,""my"", ""en"")"),"Sai ေဆာင် ေကျာက်")</f>
        <v>Sai ေဆာင် ေကျာက်</v>
      </c>
      <c r="AD831" s="10" t="str">
        <f>IFERROR(__xludf.DUMMYFUNCTION("GOOGLETRANSLATE(L831,""my"", ""en"")"),"In the Shan Nationalities League for Democracy members   Party")</f>
        <v>In the Shan Nationalities League for Democracy members   Party</v>
      </c>
      <c r="AE831" s="10" t="str">
        <f>IFERROR(__xludf.DUMMYFUNCTION("GOOGLETRANSLATE(M831,""my"", ""en"")"),"9854")</f>
        <v>9854</v>
      </c>
      <c r="AF831" s="10" t="str">
        <f>IFERROR(__xludf.DUMMYFUNCTION("GOOGLETRANSLATE(N831,""my"", ""en"")"),"1823")</f>
        <v>1823</v>
      </c>
      <c r="AG831" s="10" t="str">
        <f>IFERROR(__xludf.DUMMYFUNCTION("GOOGLETRANSLATE(O831,""my"", ""en"")"),"11677")</f>
        <v>11677</v>
      </c>
      <c r="AH831" s="10" t="str">
        <f>IFERROR(__xludf.DUMMYFUNCTION("GOOGLETRANSLATE(P831,""my"", ""en"")"),"11.67%")</f>
        <v>11.67%</v>
      </c>
    </row>
    <row r="832" ht="36.75" customHeigh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2" t="s">
        <v>6056</v>
      </c>
      <c r="L832" s="23" t="s">
        <v>6057</v>
      </c>
      <c r="M832" s="24" t="s">
        <v>6058</v>
      </c>
      <c r="N832" s="24" t="s">
        <v>6059</v>
      </c>
      <c r="O832" s="24" t="s">
        <v>6060</v>
      </c>
      <c r="P832" s="31" t="s">
        <v>6061</v>
      </c>
      <c r="AC832" s="10" t="str">
        <f>IFERROR(__xludf.DUMMYFUNCTION("GOOGLETRANSLATE(K832,""my"", ""en"")"),"စုိင်း 0 (b)
Dr Sai 0")</f>
        <v>စုိင်း 0 (b)
Dr Sai 0</v>
      </c>
      <c r="AD832" s="10" t="str">
        <f>IFERROR(__xludf.DUMMYFUNCTION("GOOGLETRANSLATE(L832,""my"", ""en"")"),"Shan Nationalities")</f>
        <v>Shan Nationalities</v>
      </c>
      <c r="AE832" s="10" t="str">
        <f>IFERROR(__xludf.DUMMYFUNCTION("GOOGLETRANSLATE(M832,""my"", ""en"")"),"2062")</f>
        <v>2062</v>
      </c>
      <c r="AF832" s="10" t="str">
        <f>IFERROR(__xludf.DUMMYFUNCTION("GOOGLETRANSLATE(N832,""my"", ""en"")"),"644")</f>
        <v>644</v>
      </c>
      <c r="AG832" s="10" t="str">
        <f>IFERROR(__xludf.DUMMYFUNCTION("GOOGLETRANSLATE(O832,""my"", ""en"")"),"2706")</f>
        <v>2706</v>
      </c>
      <c r="AH832" s="10" t="str">
        <f>IFERROR(__xludf.DUMMYFUNCTION("GOOGLETRANSLATE(P832,""my"", ""en"")"),"2.71%")</f>
        <v>2.71%</v>
      </c>
    </row>
    <row r="833" ht="21.75" customHeigh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3" t="s">
        <v>6062</v>
      </c>
      <c r="L833" s="23" t="s">
        <v>6063</v>
      </c>
      <c r="M833" s="24" t="s">
        <v>6064</v>
      </c>
      <c r="N833" s="24" t="s">
        <v>6065</v>
      </c>
      <c r="O833" s="24" t="s">
        <v>6066</v>
      </c>
      <c r="P833" s="25" t="s">
        <v>6067</v>
      </c>
      <c r="AC833" s="10" t="str">
        <f>IFERROR(__xludf.DUMMYFUNCTION("GOOGLETRANSLATE(K833,""my"", ""en"")"),"Wave data ")</f>
        <v>Wave data </v>
      </c>
      <c r="AD833" s="10" t="str">
        <f>IFERROR(__xludf.DUMMYFUNCTION("GOOGLETRANSLATE(L833,""my"", ""en"")"),"Local ေထာင် စုေ white  Game ေဆာင် Party")</f>
        <v>Local ေထာင် စုေ white  Game ေဆာင် Party</v>
      </c>
      <c r="AE833" s="10" t="str">
        <f>IFERROR(__xludf.DUMMYFUNCTION("GOOGLETRANSLATE(M833,""my"", ""en"")"),"1410")</f>
        <v>1410</v>
      </c>
      <c r="AF833" s="10" t="str">
        <f>IFERROR(__xludf.DUMMYFUNCTION("GOOGLETRANSLATE(N833,""my"", ""en"")"),"477")</f>
        <v>477</v>
      </c>
      <c r="AG833" s="10" t="str">
        <f>IFERROR(__xludf.DUMMYFUNCTION("GOOGLETRANSLATE(O833,""my"", ""en"")"),"1887")</f>
        <v>1887</v>
      </c>
      <c r="AH833" s="10" t="str">
        <f>IFERROR(__xludf.DUMMYFUNCTION("GOOGLETRANSLATE(P833,""my"", ""en"")"),"1.89%")</f>
        <v>1.89%</v>
      </c>
    </row>
    <row r="834" ht="21.0" customHeigh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3" t="s">
        <v>6068</v>
      </c>
      <c r="L834" s="23" t="s">
        <v>6069</v>
      </c>
      <c r="M834" s="24" t="s">
        <v>6070</v>
      </c>
      <c r="N834" s="24" t="s">
        <v>6071</v>
      </c>
      <c r="O834" s="24" t="s">
        <v>6072</v>
      </c>
      <c r="P834" s="25" t="s">
        <v>6073</v>
      </c>
      <c r="AC834" s="10" t="str">
        <f>IFERROR(__xludf.DUMMYFUNCTION("GOOGLETRANSLATE(K834,""my"", ""en"")"),"ေအာင် ေကျာ")</f>
        <v>ေအာင် ေကျာ</v>
      </c>
      <c r="AD834" s="10" t="str">
        <f>IFERROR(__xludf.DUMMYFUNCTION("GOOGLETRANSLATE(L834,""my"", ""en"")"),"ပည်သူ ေရှ  ေဆာင် Party")</f>
        <v>ပည်သူ ေရှ  ေဆာင် Party</v>
      </c>
      <c r="AE834" s="10" t="str">
        <f>IFERROR(__xludf.DUMMYFUNCTION("GOOGLETRANSLATE(M834,""my"", ""en"")"),"715")</f>
        <v>715</v>
      </c>
      <c r="AF834" s="10" t="str">
        <f>IFERROR(__xludf.DUMMYFUNCTION("GOOGLETRANSLATE(N834,""my"", ""en"")"),"255")</f>
        <v>255</v>
      </c>
      <c r="AG834" s="10" t="str">
        <f>IFERROR(__xludf.DUMMYFUNCTION("GOOGLETRANSLATE(O834,""my"", ""en"")"),"970")</f>
        <v>970</v>
      </c>
      <c r="AH834" s="10" t="str">
        <f>IFERROR(__xludf.DUMMYFUNCTION("GOOGLETRANSLATE(P834,""my"", ""en"")"),"0.97%")</f>
        <v>0.97%</v>
      </c>
    </row>
    <row r="835" ht="24.0" customHeight="1">
      <c r="A835" s="28" t="s">
        <v>6074</v>
      </c>
      <c r="B835" s="17" t="s">
        <v>6075</v>
      </c>
      <c r="C835" s="18" t="s">
        <v>6076</v>
      </c>
      <c r="D835" s="18" t="s">
        <v>6077</v>
      </c>
      <c r="E835" s="18" t="s">
        <v>6078</v>
      </c>
      <c r="F835" s="17" t="s">
        <v>6079</v>
      </c>
      <c r="G835" s="18" t="s">
        <v>6080</v>
      </c>
      <c r="H835" s="17" t="s">
        <v>6081</v>
      </c>
      <c r="I835" s="18" t="s">
        <v>6082</v>
      </c>
      <c r="J835" s="18" t="s">
        <v>6083</v>
      </c>
      <c r="K835" s="27"/>
      <c r="L835" s="27"/>
      <c r="M835" s="18" t="s">
        <v>6084</v>
      </c>
      <c r="N835" s="18" t="s">
        <v>6085</v>
      </c>
      <c r="O835" s="18" t="s">
        <v>6086</v>
      </c>
      <c r="P835" s="27"/>
      <c r="S835" s="10" t="str">
        <f>IFERROR(__xludf.DUMMYFUNCTION("GOOGLETRANSLATE(A835,""my"", ""en"")"),"140")</f>
        <v>140</v>
      </c>
      <c r="T835" s="10" t="str">
        <f>IFERROR(__xludf.DUMMYFUNCTION("GOOGLETRANSLATE(B835,""my"", ""en"")"),"မဲဆ  No. (3)")</f>
        <v>မဲဆ  No. (3)</v>
      </c>
      <c r="U835" s="10" t="str">
        <f>IFERROR(__xludf.DUMMYFUNCTION("GOOGLETRANSLATE(C835,""my"", ""en"")"),"292056")</f>
        <v>292056</v>
      </c>
      <c r="V835" s="10" t="str">
        <f>IFERROR(__xludf.DUMMYFUNCTION("GOOGLETRANSLATE(D835,""my"", ""en"")"),"150226")</f>
        <v>150226</v>
      </c>
      <c r="W835" s="10" t="str">
        <f>IFERROR(__xludf.DUMMYFUNCTION("GOOGLETRANSLATE(E835,""my"", ""en"")"),"30551")</f>
        <v>30551</v>
      </c>
      <c r="X835" s="10" t="str">
        <f>IFERROR(__xludf.DUMMYFUNCTION("GOOGLETRANSLATE(F835,""my"", ""en"")"),"180777")</f>
        <v>180777</v>
      </c>
      <c r="Y835" s="10" t="str">
        <f>IFERROR(__xludf.DUMMYFUNCTION("GOOGLETRANSLATE(G835,""my"", ""en"")"),"61.90")</f>
        <v>61.90</v>
      </c>
      <c r="Z835" s="10" t="str">
        <f>IFERROR(__xludf.DUMMYFUNCTION("GOOGLETRANSLATE(H835,""my"", ""en"")"),"12576")</f>
        <v>12576</v>
      </c>
      <c r="AA835" s="10" t="str">
        <f>IFERROR(__xludf.DUMMYFUNCTION("GOOGLETRANSLATE(I835,""my"", ""en"")"),"201")</f>
        <v>201</v>
      </c>
      <c r="AB835" s="10" t="str">
        <f>IFERROR(__xludf.DUMMYFUNCTION("GOOGLETRANSLATE(J835,""my"", ""en"")"),"12777")</f>
        <v>12777</v>
      </c>
      <c r="AE835" s="10" t="str">
        <f>IFERROR(__xludf.DUMMYFUNCTION("GOOGLETRANSLATE(M835,""my"", ""en"")"),"138297")</f>
        <v>138297</v>
      </c>
      <c r="AF835" s="10" t="str">
        <f>IFERROR(__xludf.DUMMYFUNCTION("GOOGLETRANSLATE(N835,""my"", ""en"")"),"29703")</f>
        <v>29703</v>
      </c>
      <c r="AG835" s="10" t="str">
        <f>IFERROR(__xludf.DUMMYFUNCTION("GOOGLETRANSLATE(O835,""my"", ""en"")"),"168000")</f>
        <v>168000</v>
      </c>
    </row>
    <row r="836" ht="22.5" customHeigh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3" t="s">
        <v>6087</v>
      </c>
      <c r="L836" s="23" t="s">
        <v>6088</v>
      </c>
      <c r="M836" s="24" t="s">
        <v>6089</v>
      </c>
      <c r="N836" s="24" t="s">
        <v>6090</v>
      </c>
      <c r="O836" s="24" t="s">
        <v>6091</v>
      </c>
      <c r="P836" s="25" t="s">
        <v>6092</v>
      </c>
      <c r="AC836" s="10" t="str">
        <f>IFERROR(__xludf.DUMMYFUNCTION("GOOGLETRANSLATE(K836,""my"", ""en"")"),"ဝီလ် rain")</f>
        <v>ဝီလ် rain</v>
      </c>
      <c r="AD836" s="10" t="str">
        <f>IFERROR(__xludf.DUMMYFUNCTION("GOOGLETRANSLATE(L836,""my"", ""en"")"),"Local ေထာင် soap-stone strong ေရး  under development  Phil  ေရး Party")</f>
        <v>Local ေထာင် soap-stone strong ေရး  under development  Phil  ေရး Party</v>
      </c>
      <c r="AE836" s="10" t="str">
        <f>IFERROR(__xludf.DUMMYFUNCTION("GOOGLETRANSLATE(M836,""my"", ""en"")"),"50117")</f>
        <v>50117</v>
      </c>
      <c r="AF836" s="10" t="str">
        <f>IFERROR(__xludf.DUMMYFUNCTION("GOOGLETRANSLATE(N836,""my"", ""en"")"),"13643")</f>
        <v>13643</v>
      </c>
      <c r="AG836" s="10" t="str">
        <f>IFERROR(__xludf.DUMMYFUNCTION("GOOGLETRANSLATE(O836,""my"", ""en"")"),"63760")</f>
        <v>63760</v>
      </c>
      <c r="AH836" s="10" t="str">
        <f>IFERROR(__xludf.DUMMYFUNCTION("GOOGLETRANSLATE(P836,""my"", ""en"")"),"37.95%")</f>
        <v>37.95%</v>
      </c>
    </row>
    <row r="837" ht="22.5" customHeigh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3" t="s">
        <v>6093</v>
      </c>
      <c r="L837" s="23" t="s">
        <v>6094</v>
      </c>
      <c r="M837" s="24" t="s">
        <v>6095</v>
      </c>
      <c r="N837" s="24" t="s">
        <v>6096</v>
      </c>
      <c r="O837" s="24" t="s">
        <v>6097</v>
      </c>
      <c r="P837" s="25" t="s">
        <v>6098</v>
      </c>
      <c r="AC837" s="10" t="str">
        <f>IFERROR(__xludf.DUMMYFUNCTION("GOOGLETRANSLATE(K837,""my"", ""en"")"),"Sai Lone standards")</f>
        <v>Sai Lone standards</v>
      </c>
      <c r="AD837" s="10" t="str">
        <f>IFERROR(__xludf.DUMMYFUNCTION("GOOGLETRANSLATE(L837,""my"", ""en"")")," Game Democracy group   Pop Party")</f>
        <v> Game Democracy group   Pop Party</v>
      </c>
      <c r="AE837" s="10" t="str">
        <f>IFERROR(__xludf.DUMMYFUNCTION("GOOGLETRANSLATE(M837,""my"", ""en"")"),"53762")</f>
        <v>53762</v>
      </c>
      <c r="AF837" s="10" t="str">
        <f>IFERROR(__xludf.DUMMYFUNCTION("GOOGLETRANSLATE(N837,""my"", ""en"")"),"9524")</f>
        <v>9524</v>
      </c>
      <c r="AG837" s="10" t="str">
        <f>IFERROR(__xludf.DUMMYFUNCTION("GOOGLETRANSLATE(O837,""my"", ""en"")"),"63286")</f>
        <v>63286</v>
      </c>
      <c r="AH837" s="10" t="str">
        <f>IFERROR(__xludf.DUMMYFUNCTION("GOOGLETRANSLATE(P837,""my"", ""en"")"),"37.67%")</f>
        <v>37.67%</v>
      </c>
    </row>
    <row r="838" ht="22.5" customHeigh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3" t="s">
        <v>6099</v>
      </c>
      <c r="L838" s="29" t="s">
        <v>6100</v>
      </c>
      <c r="M838" s="30" t="s">
        <v>6101</v>
      </c>
      <c r="N838" s="30" t="s">
        <v>6102</v>
      </c>
      <c r="O838" s="24" t="s">
        <v>6103</v>
      </c>
      <c r="P838" s="25" t="s">
        <v>6104</v>
      </c>
      <c r="AC838" s="10" t="str">
        <f>IFERROR(__xludf.DUMMYFUNCTION("GOOGLETRANSLATE(K838,""my"", ""en"")"),"Sai Lone")</f>
        <v>Sai Lone</v>
      </c>
      <c r="AD838" s="10" t="str">
        <f>IFERROR(__xludf.DUMMYFUNCTION("GOOGLETRANSLATE(L838,""my"", ""en"")"),"In the Shan Nationalities League for Democracy members   Party")</f>
        <v>In the Shan Nationalities League for Democracy members   Party</v>
      </c>
      <c r="AE838" s="10" t="str">
        <f>IFERROR(__xludf.DUMMYFUNCTION("GOOGLETRANSLATE(M838,""my"", ""en"")"),"17362")</f>
        <v>17362</v>
      </c>
      <c r="AF838" s="10" t="str">
        <f>IFERROR(__xludf.DUMMYFUNCTION("GOOGLETRANSLATE(N838,""my"", ""en"")"),"3552")</f>
        <v>3552</v>
      </c>
      <c r="AG838" s="10" t="str">
        <f>IFERROR(__xludf.DUMMYFUNCTION("GOOGLETRANSLATE(O838,""my"", ""en"")"),"20914")</f>
        <v>20914</v>
      </c>
      <c r="AH838" s="10" t="str">
        <f>IFERROR(__xludf.DUMMYFUNCTION("GOOGLETRANSLATE(P838,""my"", ""en"")"),"12.45%")</f>
        <v>12.45%</v>
      </c>
    </row>
    <row r="839" ht="22.5" customHeigh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3" t="s">
        <v>6105</v>
      </c>
      <c r="L839" s="23" t="s">
        <v>6106</v>
      </c>
      <c r="M839" s="24" t="s">
        <v>6107</v>
      </c>
      <c r="N839" s="24" t="s">
        <v>6108</v>
      </c>
      <c r="O839" s="24" t="s">
        <v>6109</v>
      </c>
      <c r="P839" s="25" t="s">
        <v>6110</v>
      </c>
      <c r="AC839" s="10" t="str">
        <f>IFERROR(__xludf.DUMMYFUNCTION("GOOGLETRANSLATE(K839,""my"", ""en"")"),"Sai ေအာင် Kham ရှဲန်")</f>
        <v>Sai ေအာင် Kham ရှဲန်</v>
      </c>
      <c r="AD839" s="10" t="str">
        <f>IFERROR(__xludf.DUMMYFUNCTION("GOOGLETRANSLATE(L839,""my"", ""en"")"),"Shan Nationalities")</f>
        <v>Shan Nationalities</v>
      </c>
      <c r="AE839" s="10" t="str">
        <f>IFERROR(__xludf.DUMMYFUNCTION("GOOGLETRANSLATE(M839,""my"", ""en"")"),"8774")</f>
        <v>8774</v>
      </c>
      <c r="AF839" s="10" t="str">
        <f>IFERROR(__xludf.DUMMYFUNCTION("GOOGLETRANSLATE(N839,""my"", ""en"")"),"1441")</f>
        <v>1441</v>
      </c>
      <c r="AG839" s="10" t="str">
        <f>IFERROR(__xludf.DUMMYFUNCTION("GOOGLETRANSLATE(O839,""my"", ""en"")"),"10215")</f>
        <v>10215</v>
      </c>
      <c r="AH839" s="10" t="str">
        <f>IFERROR(__xludf.DUMMYFUNCTION("GOOGLETRANSLATE(P839,""my"", ""en"")"),"6.08%")</f>
        <v>6.08%</v>
      </c>
    </row>
    <row r="840" ht="22.5" customHeigh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3" t="s">
        <v>6111</v>
      </c>
      <c r="L840" s="23" t="s">
        <v>6112</v>
      </c>
      <c r="M840" s="24" t="s">
        <v>6113</v>
      </c>
      <c r="N840" s="24" t="s">
        <v>6114</v>
      </c>
      <c r="O840" s="24" t="s">
        <v>6115</v>
      </c>
      <c r="P840" s="25" t="s">
        <v>6116</v>
      </c>
      <c r="AC840" s="10" t="str">
        <f>IFERROR(__xludf.DUMMYFUNCTION("GOOGLETRANSLATE(K840,""my"", ""en"")"),"Ja (b) Bo")</f>
        <v>Ja (b) Bo</v>
      </c>
      <c r="AD840" s="10" t="str">
        <f>IFERROR(__xludf.DUMMYFUNCTION("GOOGLETRANSLATE(L840,""my"", ""en"")"),"Lahu Emerald  ိး ဖှံ  Phil  Progressive")</f>
        <v>Lahu Emerald  ိး ဖှံ  Phil  Progressive</v>
      </c>
      <c r="AE840" s="10" t="str">
        <f>IFERROR(__xludf.DUMMYFUNCTION("GOOGLETRANSLATE(M840,""my"", ""en"")"),"5738")</f>
        <v>5738</v>
      </c>
      <c r="AF840" s="10" t="str">
        <f>IFERROR(__xludf.DUMMYFUNCTION("GOOGLETRANSLATE(N840,""my"", ""en"")"),"932")</f>
        <v>932</v>
      </c>
      <c r="AG840" s="10" t="str">
        <f>IFERROR(__xludf.DUMMYFUNCTION("GOOGLETRANSLATE(O840,""my"", ""en"")"),"6670")</f>
        <v>6670</v>
      </c>
      <c r="AH840" s="10" t="str">
        <f>IFERROR(__xludf.DUMMYFUNCTION("GOOGLETRANSLATE(P840,""my"", ""en"")"),"3.97%")</f>
        <v>3.97%</v>
      </c>
    </row>
    <row r="841" ht="24.0" customHeigh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3" t="s">
        <v>6117</v>
      </c>
      <c r="L841" s="23" t="s">
        <v>6118</v>
      </c>
      <c r="M841" s="24" t="s">
        <v>6119</v>
      </c>
      <c r="N841" s="24" t="s">
        <v>6120</v>
      </c>
      <c r="O841" s="24" t="s">
        <v>6121</v>
      </c>
      <c r="P841" s="25" t="s">
        <v>6122</v>
      </c>
      <c r="AC841" s="10" t="str">
        <f>IFERROR(__xludf.DUMMYFUNCTION("GOOGLETRANSLATE(K841,""my"", ""en"")"),"ေဒ  ေမ Tun")</f>
        <v>ေဒ  ေမ Tun</v>
      </c>
      <c r="AD841" s="10" t="str">
        <f>IFERROR(__xludf.DUMMYFUNCTION("GOOGLETRANSLATE(L841,""my"", ""en"")"),"Wa  Game Party")</f>
        <v>Wa  Game Party</v>
      </c>
      <c r="AE841" s="10" t="str">
        <f>IFERROR(__xludf.DUMMYFUNCTION("GOOGLETRANSLATE(M841,""my"", ""en"")"),"1642")</f>
        <v>1642</v>
      </c>
      <c r="AF841" s="10" t="str">
        <f>IFERROR(__xludf.DUMMYFUNCTION("GOOGLETRANSLATE(N841,""my"", ""en"")"),"288")</f>
        <v>288</v>
      </c>
      <c r="AG841" s="10" t="str">
        <f>IFERROR(__xludf.DUMMYFUNCTION("GOOGLETRANSLATE(O841,""my"", ""en"")"),"1930")</f>
        <v>1930</v>
      </c>
      <c r="AH841" s="10" t="str">
        <f>IFERROR(__xludf.DUMMYFUNCTION("GOOGLETRANSLATE(P841,""my"", ""en"")"),"1.15%")</f>
        <v>1.15%</v>
      </c>
    </row>
    <row r="842" ht="16.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50" t="s">
        <v>6123</v>
      </c>
      <c r="L842" s="50" t="s">
        <v>6124</v>
      </c>
      <c r="M842" s="51" t="s">
        <v>6125</v>
      </c>
      <c r="N842" s="51" t="s">
        <v>6126</v>
      </c>
      <c r="O842" s="51" t="s">
        <v>6127</v>
      </c>
      <c r="P842" s="52" t="s">
        <v>6128</v>
      </c>
      <c r="AC842" s="10" t="str">
        <f>IFERROR(__xludf.DUMMYFUNCTION("GOOGLETRANSLATE(K842,""my"", ""en"")"),"Data   tunnel over several")</f>
        <v>Data   tunnel over several</v>
      </c>
      <c r="AD842" s="10" t="str">
        <f>IFERROR(__xludf.DUMMYFUNCTION("GOOGLETRANSLATE(L842,""my"", ""en"")"),"Local ေထာင် စုေ white  Game ေဆာင် Party")</f>
        <v>Local ေထာင် စုေ white  Game ေဆာင် Party</v>
      </c>
      <c r="AE842" s="10" t="str">
        <f>IFERROR(__xludf.DUMMYFUNCTION("GOOGLETRANSLATE(M842,""my"", ""en"")"),"902")</f>
        <v>902</v>
      </c>
      <c r="AF842" s="10" t="str">
        <f>IFERROR(__xludf.DUMMYFUNCTION("GOOGLETRANSLATE(N842,""my"", ""en"")"),"323")</f>
        <v>323</v>
      </c>
      <c r="AG842" s="10" t="str">
        <f>IFERROR(__xludf.DUMMYFUNCTION("GOOGLETRANSLATE(O842,""my"", ""en"")"),"1225")</f>
        <v>1225</v>
      </c>
      <c r="AH842" s="10" t="str">
        <f>IFERROR(__xludf.DUMMYFUNCTION("GOOGLETRANSLATE(P842,""my"", ""en"")"),"0.73%")</f>
        <v>0.73%</v>
      </c>
    </row>
    <row r="843" ht="21.0" customHeight="1">
      <c r="A843" s="53" t="s">
        <v>6129</v>
      </c>
      <c r="B843" s="54" t="s">
        <v>6130</v>
      </c>
      <c r="C843" s="55" t="s">
        <v>6131</v>
      </c>
      <c r="D843" s="55" t="s">
        <v>6132</v>
      </c>
      <c r="E843" s="55" t="s">
        <v>6133</v>
      </c>
      <c r="F843" s="54" t="s">
        <v>6134</v>
      </c>
      <c r="G843" s="55" t="s">
        <v>6135</v>
      </c>
      <c r="H843" s="54" t="s">
        <v>6136</v>
      </c>
      <c r="I843" s="55" t="s">
        <v>6137</v>
      </c>
      <c r="J843" s="55" t="s">
        <v>6138</v>
      </c>
      <c r="K843" s="56"/>
      <c r="L843" s="56"/>
      <c r="M843" s="55" t="s">
        <v>6139</v>
      </c>
      <c r="N843" s="55" t="s">
        <v>6140</v>
      </c>
      <c r="O843" s="55" t="s">
        <v>6141</v>
      </c>
      <c r="P843" s="56"/>
      <c r="S843" s="10" t="str">
        <f>IFERROR(__xludf.DUMMYFUNCTION("GOOGLETRANSLATE(A843,""my"", ""en"")"),"141")</f>
        <v>141</v>
      </c>
      <c r="T843" s="10" t="str">
        <f>IFERROR(__xludf.DUMMYFUNCTION("GOOGLETRANSLATE(B843,""my"", ""en"")"),"မဲဆ  No. (4)")</f>
        <v>မဲဆ  No. (4)</v>
      </c>
      <c r="U843" s="10" t="str">
        <f>IFERROR(__xludf.DUMMYFUNCTION("GOOGLETRANSLATE(C843,""my"", ""en"")"),"778466")</f>
        <v>778466</v>
      </c>
      <c r="V843" s="10" t="str">
        <f>IFERROR(__xludf.DUMMYFUNCTION("GOOGLETRANSLATE(D843,""my"", ""en"")"),"500559")</f>
        <v>500559</v>
      </c>
      <c r="W843" s="10" t="str">
        <f>IFERROR(__xludf.DUMMYFUNCTION("GOOGLETRANSLATE(E843,""my"", ""en"")"),"122863")</f>
        <v>122863</v>
      </c>
      <c r="X843" s="10" t="str">
        <f>IFERROR(__xludf.DUMMYFUNCTION("GOOGLETRANSLATE(F843,""my"", ""en"")"),"623422")</f>
        <v>623422</v>
      </c>
      <c r="Y843" s="10" t="str">
        <f>IFERROR(__xludf.DUMMYFUNCTION("GOOGLETRANSLATE(G843,""my"", ""en"")"),"80.08")</f>
        <v>80.08</v>
      </c>
      <c r="Z843" s="10" t="str">
        <f>IFERROR(__xludf.DUMMYFUNCTION("GOOGLETRANSLATE(H843,""my"", ""en"")"),"21345")</f>
        <v>21345</v>
      </c>
      <c r="AA843" s="10" t="str">
        <f>IFERROR(__xludf.DUMMYFUNCTION("GOOGLETRANSLATE(I843,""my"", ""en"")"),"507")</f>
        <v>507</v>
      </c>
      <c r="AB843" s="10" t="str">
        <f>IFERROR(__xludf.DUMMYFUNCTION("GOOGLETRANSLATE(J843,""my"", ""en"")"),"21852")</f>
        <v>21852</v>
      </c>
      <c r="AE843" s="10" t="str">
        <f>IFERROR(__xludf.DUMMYFUNCTION("GOOGLETRANSLATE(M843,""my"", ""en"")"),"481891")</f>
        <v>481891</v>
      </c>
      <c r="AF843" s="10" t="str">
        <f>IFERROR(__xludf.DUMMYFUNCTION("GOOGLETRANSLATE(N843,""my"", ""en"")"),"119679")</f>
        <v>119679</v>
      </c>
      <c r="AG843" s="10" t="str">
        <f>IFERROR(__xludf.DUMMYFUNCTION("GOOGLETRANSLATE(O843,""my"", ""en"")"),"601570")</f>
        <v>601570</v>
      </c>
    </row>
    <row r="844" ht="22.5" customHeigh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3" t="s">
        <v>6142</v>
      </c>
      <c r="L844" s="23" t="s">
        <v>6143</v>
      </c>
      <c r="M844" s="24" t="s">
        <v>6144</v>
      </c>
      <c r="N844" s="24" t="s">
        <v>6145</v>
      </c>
      <c r="O844" s="24" t="s">
        <v>6146</v>
      </c>
      <c r="P844" s="25" t="s">
        <v>6147</v>
      </c>
      <c r="AC844" s="10" t="str">
        <f>IFERROR(__xludf.DUMMYFUNCTION("GOOGLETRANSLATE(K844,""my"", ""en"")"),"ေအာင်")</f>
        <v>ေအာင်</v>
      </c>
      <c r="AD844" s="10" t="str">
        <f>IFERROR(__xludf.DUMMYFUNCTION("GOOGLETRANSLATE(L844,""my"", ""en"")")," Game Democracy group   Pop Party")</f>
        <v> Game Democracy group   Pop Party</v>
      </c>
      <c r="AE844" s="10" t="str">
        <f>IFERROR(__xludf.DUMMYFUNCTION("GOOGLETRANSLATE(M844,""my"", ""en"")"),"272601")</f>
        <v>272601</v>
      </c>
      <c r="AF844" s="10" t="str">
        <f>IFERROR(__xludf.DUMMYFUNCTION("GOOGLETRANSLATE(N844,""my"", ""en"")"),"66866")</f>
        <v>66866</v>
      </c>
      <c r="AG844" s="10" t="str">
        <f>IFERROR(__xludf.DUMMYFUNCTION("GOOGLETRANSLATE(O844,""my"", ""en"")"),"339467")</f>
        <v>339467</v>
      </c>
      <c r="AH844" s="10" t="str">
        <f>IFERROR(__xludf.DUMMYFUNCTION("GOOGLETRANSLATE(P844,""my"", ""en"")"),"56.43%")</f>
        <v>56.43%</v>
      </c>
    </row>
    <row r="845" ht="33.75" customHeigh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2" t="s">
        <v>6148</v>
      </c>
      <c r="L845" s="23" t="s">
        <v>6149</v>
      </c>
      <c r="M845" s="24" t="s">
        <v>6150</v>
      </c>
      <c r="N845" s="24" t="s">
        <v>6151</v>
      </c>
      <c r="O845" s="24" t="s">
        <v>6152</v>
      </c>
      <c r="P845" s="25" t="s">
        <v>6153</v>
      </c>
      <c r="AC845" s="10" t="str">
        <f>IFERROR(__xludf.DUMMYFUNCTION("GOOGLETRANSLATE(K845,""my"", ""en"")"),"Khun ေမာင် ေဘာ (b)
Tay")</f>
        <v>Khun ေမာင် ေဘာ (b)
Tay</v>
      </c>
      <c r="AD845" s="10" t="str">
        <f>IFERROR(__xludf.DUMMYFUNCTION("GOOGLETRANSLATE(L845,""my"", ""en"")"),"Local ေထာင် soap-stone strong ေရး  under development  Phil  ေရး Party")</f>
        <v>Local ေထာင် soap-stone strong ေရး  under development  Phil  ေရး Party</v>
      </c>
      <c r="AE845" s="10" t="str">
        <f>IFERROR(__xludf.DUMMYFUNCTION("GOOGLETRANSLATE(M845,""my"", ""en"")"),"140224")</f>
        <v>140224</v>
      </c>
      <c r="AF845" s="10" t="str">
        <f>IFERROR(__xludf.DUMMYFUNCTION("GOOGLETRANSLATE(N845,""my"", ""en"")"),"35982")</f>
        <v>35982</v>
      </c>
      <c r="AG845" s="10" t="str">
        <f>IFERROR(__xludf.DUMMYFUNCTION("GOOGLETRANSLATE(O845,""my"", ""en"")"),"176206")</f>
        <v>176206</v>
      </c>
      <c r="AH845" s="10" t="str">
        <f>IFERROR(__xludf.DUMMYFUNCTION("GOOGLETRANSLATE(P845,""my"", ""en"")"),"29.29%")</f>
        <v>29.29%</v>
      </c>
    </row>
    <row r="846" ht="22.5" customHeigh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3" t="s">
        <v>6154</v>
      </c>
      <c r="L846" s="29" t="s">
        <v>6155</v>
      </c>
      <c r="M846" s="30" t="s">
        <v>6156</v>
      </c>
      <c r="N846" s="30" t="s">
        <v>6157</v>
      </c>
      <c r="O846" s="24" t="s">
        <v>6158</v>
      </c>
      <c r="P846" s="25" t="s">
        <v>6159</v>
      </c>
      <c r="AC846" s="10" t="str">
        <f>IFERROR(__xludf.DUMMYFUNCTION("GOOGLETRANSLATE(K846,""my"", ""en"")"),"Sai Show ေအာင်")</f>
        <v>Sai Show ေအာင်</v>
      </c>
      <c r="AD846" s="10" t="str">
        <f>IFERROR(__xludf.DUMMYFUNCTION("GOOGLETRANSLATE(L846,""my"", ""en"")"),"In the Shan Nationalities League for Democracy members   Party")</f>
        <v>In the Shan Nationalities League for Democracy members   Party</v>
      </c>
      <c r="AE846" s="10" t="str">
        <f>IFERROR(__xludf.DUMMYFUNCTION("GOOGLETRANSLATE(M846,""my"", ""en"")"),"20247")</f>
        <v>20247</v>
      </c>
      <c r="AF846" s="10" t="str">
        <f>IFERROR(__xludf.DUMMYFUNCTION("GOOGLETRANSLATE(N846,""my"", ""en"")"),"4466")</f>
        <v>4466</v>
      </c>
      <c r="AG846" s="10" t="str">
        <f>IFERROR(__xludf.DUMMYFUNCTION("GOOGLETRANSLATE(O846,""my"", ""en"")"),"24713")</f>
        <v>24713</v>
      </c>
      <c r="AH846" s="10" t="str">
        <f>IFERROR(__xludf.DUMMYFUNCTION("GOOGLETRANSLATE(P846,""my"", ""en"")"),"4.11%")</f>
        <v>4.11%</v>
      </c>
    </row>
    <row r="847" ht="22.5" customHeigh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3" t="s">
        <v>6160</v>
      </c>
      <c r="L847" s="29" t="s">
        <v>6161</v>
      </c>
      <c r="M847" s="30" t="s">
        <v>6162</v>
      </c>
      <c r="N847" s="30" t="s">
        <v>6163</v>
      </c>
      <c r="O847" s="24" t="s">
        <v>6164</v>
      </c>
      <c r="P847" s="25" t="s">
        <v>6165</v>
      </c>
      <c r="AC847" s="10" t="str">
        <f>IFERROR(__xludf.DUMMYFUNCTION("GOOGLETRANSLATE(K847,""my"", ""en"")"),"ေဒါက် Khun boat မာင်")</f>
        <v>ေဒါက် Khun boat မာင်</v>
      </c>
      <c r="AD847" s="10" t="str">
        <f>IFERROR(__xludf.DUMMYFUNCTION("GOOGLETRANSLATE(L847,""my"", ""en"")"),"Local ေထာင် Pa  participants team   Pop Party")</f>
        <v>Local ေထာင် Pa  participants team   Pop Party</v>
      </c>
      <c r="AE847" s="10" t="str">
        <f>IFERROR(__xludf.DUMMYFUNCTION("GOOGLETRANSLATE(M847,""my"", ""en"")"),"19923")</f>
        <v>19923</v>
      </c>
      <c r="AF847" s="10" t="str">
        <f>IFERROR(__xludf.DUMMYFUNCTION("GOOGLETRANSLATE(N847,""my"", ""en"")"),"3932")</f>
        <v>3932</v>
      </c>
      <c r="AG847" s="10" t="str">
        <f>IFERROR(__xludf.DUMMYFUNCTION("GOOGLETRANSLATE(O847,""my"", ""en"")"),"23855")</f>
        <v>23855</v>
      </c>
      <c r="AH847" s="10" t="str">
        <f>IFERROR(__xludf.DUMMYFUNCTION("GOOGLETRANSLATE(P847,""my"", ""en"")"),"3.97%")</f>
        <v>3.97%</v>
      </c>
    </row>
    <row r="848" ht="21.75" customHeigh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3" t="s">
        <v>6166</v>
      </c>
      <c r="L848" s="23" t="s">
        <v>6167</v>
      </c>
      <c r="M848" s="24" t="s">
        <v>6168</v>
      </c>
      <c r="N848" s="24" t="s">
        <v>6169</v>
      </c>
      <c r="O848" s="24" t="s">
        <v>6170</v>
      </c>
      <c r="P848" s="25" t="s">
        <v>6171</v>
      </c>
      <c r="AC848" s="10" t="str">
        <f>IFERROR(__xludf.DUMMYFUNCTION("GOOGLETRANSLATE(K848,""my"", ""en"")"),"Bridget")</f>
        <v>Bridget</v>
      </c>
      <c r="AD848" s="10" t="str">
        <f>IFERROR(__xludf.DUMMYFUNCTION("GOOGLETRANSLATE(L848,""my"", ""en"")"),"Kayan  Game Party")</f>
        <v>Kayan  Game Party</v>
      </c>
      <c r="AE848" s="10" t="str">
        <f>IFERROR(__xludf.DUMMYFUNCTION("GOOGLETRANSLATE(M848,""my"", ""en"")"),"12514")</f>
        <v>12514</v>
      </c>
      <c r="AF848" s="10" t="str">
        <f>IFERROR(__xludf.DUMMYFUNCTION("GOOGLETRANSLATE(N848,""my"", ""en"")"),"1988")</f>
        <v>1988</v>
      </c>
      <c r="AG848" s="10" t="str">
        <f>IFERROR(__xludf.DUMMYFUNCTION("GOOGLETRANSLATE(O848,""my"", ""en"")"),"14502")</f>
        <v>14502</v>
      </c>
      <c r="AH848" s="10" t="str">
        <f>IFERROR(__xludf.DUMMYFUNCTION("GOOGLETRANSLATE(P848,""my"", ""en"")"),"2.41%")</f>
        <v>2.41%</v>
      </c>
    </row>
    <row r="849" ht="22.5" customHeigh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3" t="s">
        <v>6172</v>
      </c>
      <c r="L849" s="23" t="s">
        <v>6173</v>
      </c>
      <c r="M849" s="24" t="s">
        <v>6174</v>
      </c>
      <c r="N849" s="24" t="s">
        <v>6175</v>
      </c>
      <c r="O849" s="24" t="s">
        <v>6176</v>
      </c>
      <c r="P849" s="25" t="s">
        <v>6177</v>
      </c>
      <c r="AC849" s="10" t="str">
        <f>IFERROR(__xludf.DUMMYFUNCTION("GOOGLETRANSLATE(K849,""my"", ""en"")"),"Win not")</f>
        <v>Win not</v>
      </c>
      <c r="AD849" s="10" t="str">
        <f>IFERROR(__xludf.DUMMYFUNCTION("GOOGLETRANSLATE(L849,""my"", ""en"")")," Game Democracy Force")</f>
        <v> Game Democracy Force</v>
      </c>
      <c r="AE849" s="10" t="str">
        <f>IFERROR(__xludf.DUMMYFUNCTION("GOOGLETRANSLATE(M849,""my"", ""en"")"),"5853")</f>
        <v>5853</v>
      </c>
      <c r="AF849" s="10" t="str">
        <f>IFERROR(__xludf.DUMMYFUNCTION("GOOGLETRANSLATE(N849,""my"", ""en"")"),"2329")</f>
        <v>2329</v>
      </c>
      <c r="AG849" s="10" t="str">
        <f>IFERROR(__xludf.DUMMYFUNCTION("GOOGLETRANSLATE(O849,""my"", ""en"")"),"8182")</f>
        <v>8182</v>
      </c>
      <c r="AH849" s="10" t="str">
        <f>IFERROR(__xludf.DUMMYFUNCTION("GOOGLETRANSLATE(P849,""my"", ""en"")"),"1.36%")</f>
        <v>1.36%</v>
      </c>
    </row>
    <row r="850" ht="21.75" customHeigh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3" t="s">
        <v>6178</v>
      </c>
      <c r="L850" s="23" t="s">
        <v>6179</v>
      </c>
      <c r="M850" s="24" t="s">
        <v>6180</v>
      </c>
      <c r="N850" s="24" t="s">
        <v>6181</v>
      </c>
      <c r="O850" s="24" t="s">
        <v>6182</v>
      </c>
      <c r="P850" s="25" t="s">
        <v>6183</v>
      </c>
      <c r="AC850" s="10" t="str">
        <f>IFERROR(__xludf.DUMMYFUNCTION("GOOGLETRANSLATE(K850,""my"", ""en"")"),"ဦွး Friend")</f>
        <v>ဦွး Friend</v>
      </c>
      <c r="AD850" s="10" t="str">
        <f>IFERROR(__xludf.DUMMYFUNCTION("GOOGLETRANSLATE(L850,""my"", ""en"")"),"Local ေထာင် စုေ white  Game ေဆာင် Party")</f>
        <v>Local ေထာင် စုေ white  Game ေဆာင် Party</v>
      </c>
      <c r="AE850" s="10" t="str">
        <f>IFERROR(__xludf.DUMMYFUNCTION("GOOGLETRANSLATE(M850,""my"", ""en"")"),"5365")</f>
        <v>5365</v>
      </c>
      <c r="AF850" s="10" t="str">
        <f>IFERROR(__xludf.DUMMYFUNCTION("GOOGLETRANSLATE(N850,""my"", ""en"")"),"2065")</f>
        <v>2065</v>
      </c>
      <c r="AG850" s="10" t="str">
        <f>IFERROR(__xludf.DUMMYFUNCTION("GOOGLETRANSLATE(O850,""my"", ""en"")"),"7430")</f>
        <v>7430</v>
      </c>
      <c r="AH850" s="10" t="str">
        <f>IFERROR(__xludf.DUMMYFUNCTION("GOOGLETRANSLATE(P850,""my"", ""en"")"),"1.24%")</f>
        <v>1.24%</v>
      </c>
    </row>
    <row r="851" ht="22.5" customHeigh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3" t="s">
        <v>6184</v>
      </c>
      <c r="L851" s="23" t="s">
        <v>6185</v>
      </c>
      <c r="M851" s="24" t="s">
        <v>6186</v>
      </c>
      <c r="N851" s="24" t="s">
        <v>6187</v>
      </c>
      <c r="O851" s="24" t="s">
        <v>6188</v>
      </c>
      <c r="P851" s="25" t="s">
        <v>6189</v>
      </c>
      <c r="AC851" s="10" t="str">
        <f>IFERROR(__xludf.DUMMYFUNCTION("GOOGLETRANSLATE(K851,""my"", ""en"")"),"Sai ေကျာ million ေဇာ")</f>
        <v>Sai ေကျာ million ေဇာ</v>
      </c>
      <c r="AD851" s="10" t="str">
        <f>IFERROR(__xludf.DUMMYFUNCTION("GOOGLETRANSLATE(L851,""my"", ""en"")"),"Federal Local ေထာင် Party")</f>
        <v>Federal Local ေထာင် Party</v>
      </c>
      <c r="AE851" s="10" t="str">
        <f>IFERROR(__xludf.DUMMYFUNCTION("GOOGLETRANSLATE(M851,""my"", ""en"")"),"3509")</f>
        <v>3509</v>
      </c>
      <c r="AF851" s="10" t="str">
        <f>IFERROR(__xludf.DUMMYFUNCTION("GOOGLETRANSLATE(N851,""my"", ""en"")"),"1257")</f>
        <v>1257</v>
      </c>
      <c r="AG851" s="10" t="str">
        <f>IFERROR(__xludf.DUMMYFUNCTION("GOOGLETRANSLATE(O851,""my"", ""en"")"),"4766")</f>
        <v>4766</v>
      </c>
      <c r="AH851" s="10" t="str">
        <f>IFERROR(__xludf.DUMMYFUNCTION("GOOGLETRANSLATE(P851,""my"", ""en"")"),"0.79%")</f>
        <v>0.79%</v>
      </c>
    </row>
    <row r="852" ht="21.75" customHeigh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3" t="s">
        <v>6190</v>
      </c>
      <c r="L852" s="23" t="s">
        <v>6191</v>
      </c>
      <c r="M852" s="24" t="s">
        <v>6192</v>
      </c>
      <c r="N852" s="24" t="s">
        <v>6193</v>
      </c>
      <c r="O852" s="24" t="s">
        <v>6194</v>
      </c>
      <c r="P852" s="25" t="s">
        <v>6195</v>
      </c>
      <c r="AC852" s="10" t="str">
        <f>IFERROR(__xludf.DUMMYFUNCTION("GOOGLETRANSLATE(K852,""my"", ""en"")"),"ေမာင် ေမာင်")</f>
        <v>ေမာင် ေမာင်</v>
      </c>
      <c r="AD852" s="10" t="str">
        <f>IFERROR(__xludf.DUMMYFUNCTION("GOOGLETRANSLATE(L852,""my"", ""en"")"),"ပည်သူ ေရှ  ေဆာင် Party")</f>
        <v>ပည်သူ ေရှ  ေဆာင် Party</v>
      </c>
      <c r="AE852" s="10" t="str">
        <f>IFERROR(__xludf.DUMMYFUNCTION("GOOGLETRANSLATE(M852,""my"", ""en"")"),"1655")</f>
        <v>1655</v>
      </c>
      <c r="AF852" s="10" t="str">
        <f>IFERROR(__xludf.DUMMYFUNCTION("GOOGLETRANSLATE(N852,""my"", ""en"")"),"794")</f>
        <v>794</v>
      </c>
      <c r="AG852" s="10" t="str">
        <f>IFERROR(__xludf.DUMMYFUNCTION("GOOGLETRANSLATE(O852,""my"", ""en"")"),"2449")</f>
        <v>2449</v>
      </c>
      <c r="AH852" s="10" t="str">
        <f>IFERROR(__xludf.DUMMYFUNCTION("GOOGLETRANSLATE(P852,""my"", ""en"")"),"0.40%")</f>
        <v>0.40%</v>
      </c>
    </row>
    <row r="853" ht="22.5" customHeight="1">
      <c r="A853" s="28" t="s">
        <v>6196</v>
      </c>
      <c r="B853" s="17" t="s">
        <v>6197</v>
      </c>
      <c r="C853" s="18" t="s">
        <v>6198</v>
      </c>
      <c r="D853" s="17" t="s">
        <v>6199</v>
      </c>
      <c r="E853" s="18" t="s">
        <v>6200</v>
      </c>
      <c r="F853" s="17" t="s">
        <v>6201</v>
      </c>
      <c r="G853" s="18" t="s">
        <v>6202</v>
      </c>
      <c r="H853" s="18" t="s">
        <v>6203</v>
      </c>
      <c r="I853" s="18" t="s">
        <v>6204</v>
      </c>
      <c r="J853" s="18" t="s">
        <v>6205</v>
      </c>
      <c r="K853" s="27"/>
      <c r="L853" s="27"/>
      <c r="M853" s="18" t="s">
        <v>6206</v>
      </c>
      <c r="N853" s="18" t="s">
        <v>6207</v>
      </c>
      <c r="O853" s="18" t="s">
        <v>6208</v>
      </c>
      <c r="P853" s="27"/>
      <c r="S853" s="10" t="str">
        <f>IFERROR(__xludf.DUMMYFUNCTION("GOOGLETRANSLATE(A853,""my"", ""en"")"),"142")</f>
        <v>142</v>
      </c>
      <c r="T853" s="10" t="str">
        <f>IFERROR(__xludf.DUMMYFUNCTION("GOOGLETRANSLATE(B853,""my"", ""en"")"),"မဲဆ  (5 points)")</f>
        <v>မဲဆ  (5 points)</v>
      </c>
      <c r="U853" s="10" t="str">
        <f>IFERROR(__xludf.DUMMYFUNCTION("GOOGLETRANSLATE(C853,""my"", ""en"")"),"330532")</f>
        <v>330532</v>
      </c>
      <c r="V853" s="10" t="str">
        <f>IFERROR(__xludf.DUMMYFUNCTION("GOOGLETRANSLATE(D853,""my"", ""en"")"),"142864")</f>
        <v>142864</v>
      </c>
      <c r="W853" s="10" t="str">
        <f>IFERROR(__xludf.DUMMYFUNCTION("GOOGLETRANSLATE(E853,""my"", ""en"")"),"44711")</f>
        <v>44711</v>
      </c>
      <c r="X853" s="10" t="str">
        <f>IFERROR(__xludf.DUMMYFUNCTION("GOOGLETRANSLATE(F853,""my"", ""en"")"),"187575")</f>
        <v>187575</v>
      </c>
      <c r="Y853" s="10" t="str">
        <f>IFERROR(__xludf.DUMMYFUNCTION("GOOGLETRANSLATE(G853,""my"", ""en"")"),"56.75")</f>
        <v>56.75</v>
      </c>
      <c r="Z853" s="10" t="str">
        <f>IFERROR(__xludf.DUMMYFUNCTION("GOOGLETRANSLATE(H853,""my"", ""en"")"),"7713")</f>
        <v>7713</v>
      </c>
      <c r="AA853" s="10" t="str">
        <f>IFERROR(__xludf.DUMMYFUNCTION("GOOGLETRANSLATE(I853,""my"", ""en"")"),"86")</f>
        <v>86</v>
      </c>
      <c r="AB853" s="10" t="str">
        <f>IFERROR(__xludf.DUMMYFUNCTION("GOOGLETRANSLATE(J853,""my"", ""en"")"),"7799")</f>
        <v>7799</v>
      </c>
      <c r="AE853" s="10" t="str">
        <f>IFERROR(__xludf.DUMMYFUNCTION("GOOGLETRANSLATE(M853,""my"", ""en"")"),"136484")</f>
        <v>136484</v>
      </c>
      <c r="AF853" s="10" t="str">
        <f>IFERROR(__xludf.DUMMYFUNCTION("GOOGLETRANSLATE(N853,""my"", ""en"")"),"43292")</f>
        <v>43292</v>
      </c>
      <c r="AG853" s="10" t="str">
        <f>IFERROR(__xludf.DUMMYFUNCTION("GOOGLETRANSLATE(O853,""my"", ""en"")"),"179776")</f>
        <v>179776</v>
      </c>
    </row>
    <row r="854" ht="22.5" customHeigh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3" t="s">
        <v>6209</v>
      </c>
      <c r="L854" s="23" t="s">
        <v>6210</v>
      </c>
      <c r="M854" s="24" t="s">
        <v>6211</v>
      </c>
      <c r="N854" s="24" t="s">
        <v>6212</v>
      </c>
      <c r="O854" s="24" t="s">
        <v>6213</v>
      </c>
      <c r="P854" s="25" t="s">
        <v>6214</v>
      </c>
      <c r="AC854" s="10" t="str">
        <f>IFERROR(__xludf.DUMMYFUNCTION("GOOGLETRANSLATE(K854,""my"", ""en"")"),"U Aik Moon")</f>
        <v>U Aik Moon</v>
      </c>
      <c r="AD854" s="10" t="str">
        <f>IFERROR(__xludf.DUMMYFUNCTION("GOOGLETRANSLATE(L854,""my"", ""en"")"),"Ta'ang (လာင်)  Game Party")</f>
        <v>Ta'ang (လာင်)  Game Party</v>
      </c>
      <c r="AE854" s="10" t="str">
        <f>IFERROR(__xludf.DUMMYFUNCTION("GOOGLETRANSLATE(M854,""my"", ""en"")"),"40705")</f>
        <v>40705</v>
      </c>
      <c r="AF854" s="10" t="str">
        <f>IFERROR(__xludf.DUMMYFUNCTION("GOOGLETRANSLATE(N854,""my"", ""en"")"),"8516")</f>
        <v>8516</v>
      </c>
      <c r="AG854" s="10" t="str">
        <f>IFERROR(__xludf.DUMMYFUNCTION("GOOGLETRANSLATE(O854,""my"", ""en"")"),"49221")</f>
        <v>49221</v>
      </c>
      <c r="AH854" s="10" t="str">
        <f>IFERROR(__xludf.DUMMYFUNCTION("GOOGLETRANSLATE(P854,""my"", ""en"")"),"27.38%")</f>
        <v>27.38%</v>
      </c>
    </row>
    <row r="855" ht="22.5" customHeigh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3" t="s">
        <v>6215</v>
      </c>
      <c r="L855" s="29" t="s">
        <v>6216</v>
      </c>
      <c r="M855" s="30" t="s">
        <v>6217</v>
      </c>
      <c r="N855" s="30" t="s">
        <v>6218</v>
      </c>
      <c r="O855" s="24" t="s">
        <v>6219</v>
      </c>
      <c r="P855" s="25" t="s">
        <v>6220</v>
      </c>
      <c r="AC855" s="10" t="str">
        <f>IFERROR(__xludf.DUMMYFUNCTION("GOOGLETRANSLATE(K855,""my"", ""en"")"),"ေမာ Tun ေအာင်")</f>
        <v>ေမာ Tun ေအာင်</v>
      </c>
      <c r="AD855" s="10" t="str">
        <f>IFERROR(__xludf.DUMMYFUNCTION("GOOGLETRANSLATE(L855,""my"", ""en"")"),"In the Shan Nationalities League for Democracy members   Party")</f>
        <v>In the Shan Nationalities League for Democracy members   Party</v>
      </c>
      <c r="AE855" s="10" t="str">
        <f>IFERROR(__xludf.DUMMYFUNCTION("GOOGLETRANSLATE(M855,""my"", ""en"")"),"35144")</f>
        <v>35144</v>
      </c>
      <c r="AF855" s="10" t="str">
        <f>IFERROR(__xludf.DUMMYFUNCTION("GOOGLETRANSLATE(N855,""my"", ""en"")"),"11025")</f>
        <v>11025</v>
      </c>
      <c r="AG855" s="10" t="str">
        <f>IFERROR(__xludf.DUMMYFUNCTION("GOOGLETRANSLATE(O855,""my"", ""en"")"),"46169")</f>
        <v>46169</v>
      </c>
      <c r="AH855" s="10" t="str">
        <f>IFERROR(__xludf.DUMMYFUNCTION("GOOGLETRANSLATE(P855,""my"", ""en"")"),"25.68%")</f>
        <v>25.68%</v>
      </c>
    </row>
    <row r="856" ht="22.5" customHeigh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3" t="s">
        <v>6221</v>
      </c>
      <c r="L856" s="23" t="s">
        <v>6222</v>
      </c>
      <c r="M856" s="24" t="s">
        <v>6223</v>
      </c>
      <c r="N856" s="24" t="s">
        <v>6224</v>
      </c>
      <c r="O856" s="24" t="s">
        <v>6225</v>
      </c>
      <c r="P856" s="25" t="s">
        <v>6226</v>
      </c>
      <c r="AC856" s="10" t="str">
        <f>IFERROR(__xludf.DUMMYFUNCTION("GOOGLETRANSLATE(K856,""my"", ""en"")"),"ေအာင်")</f>
        <v>ေအာင်</v>
      </c>
      <c r="AD856" s="10" t="str">
        <f>IFERROR(__xludf.DUMMYFUNCTION("GOOGLETRANSLATE(L856,""my"", ""en"")"),"Local ေထာင် soap-stone strong ေရး  under development  Phil  ေရး Party")</f>
        <v>Local ေထာင် soap-stone strong ေရး  under development  Phil  ေရး Party</v>
      </c>
      <c r="AE856" s="10" t="str">
        <f>IFERROR(__xludf.DUMMYFUNCTION("GOOGLETRANSLATE(M856,""my"", ""en"")"),"23111")</f>
        <v>23111</v>
      </c>
      <c r="AF856" s="10" t="str">
        <f>IFERROR(__xludf.DUMMYFUNCTION("GOOGLETRANSLATE(N856,""my"", ""en"")"),"13289")</f>
        <v>13289</v>
      </c>
      <c r="AG856" s="10" t="str">
        <f>IFERROR(__xludf.DUMMYFUNCTION("GOOGLETRANSLATE(O856,""my"", ""en"")"),"36400")</f>
        <v>36400</v>
      </c>
      <c r="AH856" s="10" t="str">
        <f>IFERROR(__xludf.DUMMYFUNCTION("GOOGLETRANSLATE(P856,""my"", ""en"")"),"20.25%")</f>
        <v>20.25%</v>
      </c>
    </row>
    <row r="857" ht="22.5" customHeigh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3" t="s">
        <v>6227</v>
      </c>
      <c r="L857" s="23" t="s">
        <v>6228</v>
      </c>
      <c r="M857" s="24" t="s">
        <v>6229</v>
      </c>
      <c r="N857" s="24" t="s">
        <v>6230</v>
      </c>
      <c r="O857" s="24" t="s">
        <v>6231</v>
      </c>
      <c r="P857" s="25" t="s">
        <v>6232</v>
      </c>
      <c r="AC857" s="10" t="str">
        <f>IFERROR(__xludf.DUMMYFUNCTION("GOOGLETRANSLATE(K857,""my"", ""en"")"),"Zay ဇာင်း")</f>
        <v>Zay ဇာင်း</v>
      </c>
      <c r="AD857" s="10" t="str">
        <f>IFERROR(__xludf.DUMMYFUNCTION("GOOGLETRANSLATE(L857,""my"", ""en"")")," Game Democracy group   Pop Party")</f>
        <v> Game Democracy group   Pop Party</v>
      </c>
      <c r="AE857" s="10" t="str">
        <f>IFERROR(__xludf.DUMMYFUNCTION("GOOGLETRANSLATE(M857,""my"", ""en"")"),"17077")</f>
        <v>17077</v>
      </c>
      <c r="AF857" s="10" t="str">
        <f>IFERROR(__xludf.DUMMYFUNCTION("GOOGLETRANSLATE(N857,""my"", ""en"")"),"4766")</f>
        <v>4766</v>
      </c>
      <c r="AG857" s="10" t="str">
        <f>IFERROR(__xludf.DUMMYFUNCTION("GOOGLETRANSLATE(O857,""my"", ""en"")"),"21843")</f>
        <v>21843</v>
      </c>
      <c r="AH857" s="10" t="str">
        <f>IFERROR(__xludf.DUMMYFUNCTION("GOOGLETRANSLATE(P857,""my"", ""en"")"),"12.15%")</f>
        <v>12.15%</v>
      </c>
    </row>
    <row r="858" ht="22.5" customHeigh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3" t="s">
        <v>6233</v>
      </c>
      <c r="L858" s="23" t="s">
        <v>6234</v>
      </c>
      <c r="M858" s="24" t="s">
        <v>6235</v>
      </c>
      <c r="N858" s="24" t="s">
        <v>6236</v>
      </c>
      <c r="O858" s="24" t="s">
        <v>6237</v>
      </c>
      <c r="P858" s="25" t="s">
        <v>6238</v>
      </c>
      <c r="AC858" s="10" t="str">
        <f>IFERROR(__xludf.DUMMYFUNCTION("GOOGLETRANSLATE(K858,""my"", ""en"")"),"Data  palace silver currency")</f>
        <v>Data  palace silver currency</v>
      </c>
      <c r="AD858" s="10" t="str">
        <f>IFERROR(__xludf.DUMMYFUNCTION("GOOGLETRANSLATE(L858,""my"", ""en"")"),"Shan Nationalities")</f>
        <v>Shan Nationalities</v>
      </c>
      <c r="AE858" s="10" t="str">
        <f>IFERROR(__xludf.DUMMYFUNCTION("GOOGLETRANSLATE(M858,""my"", ""en"")"),"12430")</f>
        <v>12430</v>
      </c>
      <c r="AF858" s="10" t="str">
        <f>IFERROR(__xludf.DUMMYFUNCTION("GOOGLETRANSLATE(N858,""my"", ""en"")"),"3604")</f>
        <v>3604</v>
      </c>
      <c r="AG858" s="10" t="str">
        <f>IFERROR(__xludf.DUMMYFUNCTION("GOOGLETRANSLATE(O858,""my"", ""en"")"),"16034")</f>
        <v>16034</v>
      </c>
      <c r="AH858" s="10" t="str">
        <f>IFERROR(__xludf.DUMMYFUNCTION("GOOGLETRANSLATE(P858,""my"", ""en"")"),"8.92%")</f>
        <v>8.92%</v>
      </c>
    </row>
    <row r="859" ht="22.5" customHeigh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3" t="s">
        <v>6239</v>
      </c>
      <c r="L859" s="23" t="s">
        <v>6240</v>
      </c>
      <c r="M859" s="24" t="s">
        <v>6241</v>
      </c>
      <c r="N859" s="24" t="s">
        <v>6242</v>
      </c>
      <c r="O859" s="24" t="s">
        <v>6243</v>
      </c>
      <c r="P859" s="25" t="s">
        <v>6244</v>
      </c>
      <c r="AC859" s="10" t="str">
        <f>IFERROR(__xludf.DUMMYFUNCTION("GOOGLETRANSLATE(K859,""my"", ""en"")"),"Data  color")</f>
        <v>Data  color</v>
      </c>
      <c r="AD859" s="10" t="str">
        <f>IFERROR(__xludf.DUMMYFUNCTION("GOOGLETRANSLATE(L859,""my"", ""en"")"),"Kachin  Game Party")</f>
        <v>Kachin  Game Party</v>
      </c>
      <c r="AE859" s="10" t="str">
        <f>IFERROR(__xludf.DUMMYFUNCTION("GOOGLETRANSLATE(M859,""my"", ""en"")"),"5092")</f>
        <v>5092</v>
      </c>
      <c r="AF859" s="10" t="str">
        <f>IFERROR(__xludf.DUMMYFUNCTION("GOOGLETRANSLATE(N859,""my"", ""en"")"),"1273")</f>
        <v>1273</v>
      </c>
      <c r="AG859" s="10" t="str">
        <f>IFERROR(__xludf.DUMMYFUNCTION("GOOGLETRANSLATE(O859,""my"", ""en"")"),"6365")</f>
        <v>6365</v>
      </c>
      <c r="AH859" s="10" t="str">
        <f>IFERROR(__xludf.DUMMYFUNCTION("GOOGLETRANSLATE(P859,""my"", ""en"")"),"3.54%")</f>
        <v>3.54%</v>
      </c>
    </row>
    <row r="860" ht="24.0" customHeigh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3" t="s">
        <v>6245</v>
      </c>
      <c r="L860" s="23" t="s">
        <v>6246</v>
      </c>
      <c r="M860" s="24" t="s">
        <v>6247</v>
      </c>
      <c r="N860" s="24" t="s">
        <v>6248</v>
      </c>
      <c r="O860" s="24" t="s">
        <v>6249</v>
      </c>
      <c r="P860" s="25" t="s">
        <v>6250</v>
      </c>
      <c r="AC860" s="10" t="str">
        <f>IFERROR(__xludf.DUMMYFUNCTION("GOOGLETRANSLATE(K860,""my"", ""en"")"),"ေဒ  Consolation Consolation Tun")</f>
        <v>ေဒ  Consolation Consolation Tun</v>
      </c>
      <c r="AD860" s="10" t="str">
        <f>IFERROR(__xludf.DUMMYFUNCTION("GOOGLETRANSLATE(L860,""my"", ""en"")"),"Local ေထာင် စုေ white  Game ေဆာင် Party")</f>
        <v>Local ေထာင် စုေ white  Game ေဆာင် Party</v>
      </c>
      <c r="AE860" s="10" t="str">
        <f>IFERROR(__xludf.DUMMYFUNCTION("GOOGLETRANSLATE(M860,""my"", ""en"")"),"2925")</f>
        <v>2925</v>
      </c>
      <c r="AF860" s="10" t="str">
        <f>IFERROR(__xludf.DUMMYFUNCTION("GOOGLETRANSLATE(N860,""my"", ""en"")"),"819")</f>
        <v>819</v>
      </c>
      <c r="AG860" s="10" t="str">
        <f>IFERROR(__xludf.DUMMYFUNCTION("GOOGLETRANSLATE(O860,""my"", ""en"")"),"3744")</f>
        <v>3744</v>
      </c>
      <c r="AH860" s="10" t="str">
        <f>IFERROR(__xludf.DUMMYFUNCTION("GOOGLETRANSLATE(P860,""my"", ""en"")"),"2.08%")</f>
        <v>2.08%</v>
      </c>
    </row>
    <row r="861" ht="21.75" customHeight="1">
      <c r="A861" s="28" t="s">
        <v>6251</v>
      </c>
      <c r="B861" s="17" t="s">
        <v>6252</v>
      </c>
      <c r="C861" s="18" t="s">
        <v>6253</v>
      </c>
      <c r="D861" s="17" t="s">
        <v>6254</v>
      </c>
      <c r="E861" s="18" t="s">
        <v>6255</v>
      </c>
      <c r="F861" s="17" t="s">
        <v>6256</v>
      </c>
      <c r="G861" s="18" t="s">
        <v>6257</v>
      </c>
      <c r="H861" s="18" t="s">
        <v>6258</v>
      </c>
      <c r="I861" s="18" t="s">
        <v>6259</v>
      </c>
      <c r="J861" s="18" t="s">
        <v>6260</v>
      </c>
      <c r="K861" s="27"/>
      <c r="L861" s="27"/>
      <c r="M861" s="18" t="s">
        <v>6261</v>
      </c>
      <c r="N861" s="18" t="s">
        <v>6262</v>
      </c>
      <c r="O861" s="18" t="s">
        <v>6263</v>
      </c>
      <c r="P861" s="27"/>
      <c r="S861" s="10" t="str">
        <f>IFERROR(__xludf.DUMMYFUNCTION("GOOGLETRANSLATE(A861,""my"", ""en"")"),"143")</f>
        <v>143</v>
      </c>
      <c r="T861" s="10" t="str">
        <f>IFERROR(__xludf.DUMMYFUNCTION("GOOGLETRANSLATE(B861,""my"", ""en"")"),"မဲဆ  No. (6)")</f>
        <v>မဲဆ  No. (6)</v>
      </c>
      <c r="U861" s="10" t="str">
        <f>IFERROR(__xludf.DUMMYFUNCTION("GOOGLETRANSLATE(C861,""my"", ""en"")"),"457673")</f>
        <v>457673</v>
      </c>
      <c r="V861" s="10" t="str">
        <f>IFERROR(__xludf.DUMMYFUNCTION("GOOGLETRANSLATE(D861,""my"", ""en"")"),"205300")</f>
        <v>205300</v>
      </c>
      <c r="W861" s="10" t="str">
        <f>IFERROR(__xludf.DUMMYFUNCTION("GOOGLETRANSLATE(E861,""my"", ""en"")"),"54065")</f>
        <v>54065</v>
      </c>
      <c r="X861" s="10" t="str">
        <f>IFERROR(__xludf.DUMMYFUNCTION("GOOGLETRANSLATE(F861,""my"", ""en"")"),"259365")</f>
        <v>259365</v>
      </c>
      <c r="Y861" s="10" t="str">
        <f>IFERROR(__xludf.DUMMYFUNCTION("GOOGLETRANSLATE(G861,""my"", ""en"")"),"56.67")</f>
        <v>56.67</v>
      </c>
      <c r="Z861" s="10" t="str">
        <f>IFERROR(__xludf.DUMMYFUNCTION("GOOGLETRANSLATE(H861,""my"", ""en"")"),"14836")</f>
        <v>14836</v>
      </c>
      <c r="AA861" s="10" t="str">
        <f>IFERROR(__xludf.DUMMYFUNCTION("GOOGLETRANSLATE(I861,""my"", ""en"")"),"551")</f>
        <v>551</v>
      </c>
      <c r="AB861" s="10" t="str">
        <f>IFERROR(__xludf.DUMMYFUNCTION("GOOGLETRANSLATE(J861,""my"", ""en"")"),"15387")</f>
        <v>15387</v>
      </c>
      <c r="AE861" s="10" t="str">
        <f>IFERROR(__xludf.DUMMYFUNCTION("GOOGLETRANSLATE(M861,""my"", ""en"")"),"190889")</f>
        <v>190889</v>
      </c>
      <c r="AF861" s="10" t="str">
        <f>IFERROR(__xludf.DUMMYFUNCTION("GOOGLETRANSLATE(N861,""my"", ""en"")"),"53089")</f>
        <v>53089</v>
      </c>
      <c r="AG861" s="10" t="str">
        <f>IFERROR(__xludf.DUMMYFUNCTION("GOOGLETRANSLATE(O861,""my"", ""en"")"),"243978")</f>
        <v>243978</v>
      </c>
    </row>
    <row r="862" ht="24.75" customHeigh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3" t="s">
        <v>6264</v>
      </c>
      <c r="L862" s="29" t="s">
        <v>6265</v>
      </c>
      <c r="M862" s="30" t="s">
        <v>6266</v>
      </c>
      <c r="N862" s="30" t="s">
        <v>6267</v>
      </c>
      <c r="O862" s="24" t="s">
        <v>6268</v>
      </c>
      <c r="P862" s="25" t="s">
        <v>6269</v>
      </c>
      <c r="AC862" s="10" t="str">
        <f>IFERROR(__xludf.DUMMYFUNCTION("GOOGLETRANSLATE(K862,""my"", ""en"")"),"Palace Moon diamond")</f>
        <v>Palace Moon diamond</v>
      </c>
      <c r="AD862" s="10" t="str">
        <f>IFERROR(__xludf.DUMMYFUNCTION("GOOGLETRANSLATE(L862,""my"", ""en"")"),"In the Shan Nationalities League for Democracy members   Party")</f>
        <v>In the Shan Nationalities League for Democracy members   Party</v>
      </c>
      <c r="AE862" s="10" t="str">
        <f>IFERROR(__xludf.DUMMYFUNCTION("GOOGLETRANSLATE(M862,""my"", ""en"")"),"69188")</f>
        <v>69188</v>
      </c>
      <c r="AF862" s="10" t="str">
        <f>IFERROR(__xludf.DUMMYFUNCTION("GOOGLETRANSLATE(N862,""my"", ""en"")"),"12763")</f>
        <v>12763</v>
      </c>
      <c r="AG862" s="10" t="str">
        <f>IFERROR(__xludf.DUMMYFUNCTION("GOOGLETRANSLATE(O862,""my"", ""en"")"),"81951")</f>
        <v>81951</v>
      </c>
      <c r="AH862" s="10" t="str">
        <f>IFERROR(__xludf.DUMMYFUNCTION("GOOGLETRANSLATE(P862,""my"", ""en"")"),"33.59%")</f>
        <v>33.59%</v>
      </c>
    </row>
    <row r="863" ht="24.0" customHeigh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3" t="s">
        <v>6270</v>
      </c>
      <c r="L863" s="23" t="s">
        <v>6271</v>
      </c>
      <c r="M863" s="24" t="s">
        <v>6272</v>
      </c>
      <c r="N863" s="24" t="s">
        <v>6273</v>
      </c>
      <c r="O863" s="24" t="s">
        <v>6274</v>
      </c>
      <c r="P863" s="25" t="s">
        <v>6275</v>
      </c>
      <c r="AC863" s="10" t="str">
        <f>IFERROR(__xludf.DUMMYFUNCTION("GOOGLETRANSLATE(K863,""my"", ""en"")"),"Sai  Web standards ေမာင်")</f>
        <v>Sai  Web standards ေမာင်</v>
      </c>
      <c r="AD863" s="10" t="str">
        <f>IFERROR(__xludf.DUMMYFUNCTION("GOOGLETRANSLATE(L863,""my"", ""en"")"),"Local ေထာင် soap-stone strong ေရး  under development  Phil  ေရး Party")</f>
        <v>Local ေထာင် soap-stone strong ေရး  under development  Phil  ေရး Party</v>
      </c>
      <c r="AE863" s="10" t="str">
        <f>IFERROR(__xludf.DUMMYFUNCTION("GOOGLETRANSLATE(M863,""my"", ""en"")"),"45766")</f>
        <v>45766</v>
      </c>
      <c r="AF863" s="10" t="str">
        <f>IFERROR(__xludf.DUMMYFUNCTION("GOOGLETRANSLATE(N863,""my"", ""en"")"),"21679")</f>
        <v>21679</v>
      </c>
      <c r="AG863" s="10" t="str">
        <f>IFERROR(__xludf.DUMMYFUNCTION("GOOGLETRANSLATE(O863,""my"", ""en"")"),"67445")</f>
        <v>67445</v>
      </c>
      <c r="AH863" s="10" t="str">
        <f>IFERROR(__xludf.DUMMYFUNCTION("GOOGLETRANSLATE(P863,""my"", ""en"")"),"27.64%")</f>
        <v>27.64%</v>
      </c>
    </row>
    <row r="864" ht="36.0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42" t="s">
        <v>6276</v>
      </c>
      <c r="L864" s="36" t="s">
        <v>6277</v>
      </c>
      <c r="M864" s="37" t="s">
        <v>6278</v>
      </c>
      <c r="N864" s="37" t="s">
        <v>6279</v>
      </c>
      <c r="O864" s="37" t="s">
        <v>6280</v>
      </c>
      <c r="P864" s="45" t="s">
        <v>6281</v>
      </c>
      <c r="AC864" s="10" t="str">
        <f>IFERROR(__xludf.DUMMYFUNCTION("GOOGLETRANSLATE(K864,""my"", ""en"")")," year working at မုိ B
Show ေဒ   ကည်")</f>
        <v> year working at မုိ B
Show ေဒ   ကည်</v>
      </c>
      <c r="AD864" s="10" t="str">
        <f>IFERROR(__xludf.DUMMYFUNCTION("GOOGLETRANSLATE(L864,""my"", ""en"")")," Game Democracy group   Pop Party")</f>
        <v> Game Democracy group   Pop Party</v>
      </c>
      <c r="AE864" s="10" t="str">
        <f>IFERROR(__xludf.DUMMYFUNCTION("GOOGLETRANSLATE(M864,""my"", ""en"")"),"53002")</f>
        <v>53002</v>
      </c>
      <c r="AF864" s="10" t="str">
        <f>IFERROR(__xludf.DUMMYFUNCTION("GOOGLETRANSLATE(N864,""my"", ""en"")"),"12780")</f>
        <v>12780</v>
      </c>
      <c r="AG864" s="10" t="str">
        <f>IFERROR(__xludf.DUMMYFUNCTION("GOOGLETRANSLATE(O864,""my"", ""en"")"),"65782")</f>
        <v>65782</v>
      </c>
      <c r="AH864" s="10" t="str">
        <f>IFERROR(__xludf.DUMMYFUNCTION("GOOGLETRANSLATE(P864,""my"", ""en"")"),"26.96%")</f>
        <v>26.96%</v>
      </c>
    </row>
    <row r="865" ht="24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6" t="s">
        <v>6282</v>
      </c>
      <c r="L865" s="36" t="s">
        <v>6283</v>
      </c>
      <c r="M865" s="37" t="s">
        <v>6284</v>
      </c>
      <c r="N865" s="37" t="s">
        <v>6285</v>
      </c>
      <c r="O865" s="37" t="s">
        <v>6286</v>
      </c>
      <c r="P865" s="38" t="s">
        <v>6287</v>
      </c>
      <c r="AC865" s="10" t="str">
        <f>IFERROR(__xludf.DUMMYFUNCTION("GOOGLETRANSLATE(K865,""my"", ""en"")"),"Sai ေအာင် March")</f>
        <v>Sai ေအာင် March</v>
      </c>
      <c r="AD865" s="10" t="str">
        <f>IFERROR(__xludf.DUMMYFUNCTION("GOOGLETRANSLATE(L865,""my"", ""en"")"),"Shan Nationalities")</f>
        <v>Shan Nationalities</v>
      </c>
      <c r="AE865" s="10" t="str">
        <f>IFERROR(__xludf.DUMMYFUNCTION("GOOGLETRANSLATE(M865,""my"", ""en"")"),"10385")</f>
        <v>10385</v>
      </c>
      <c r="AF865" s="10" t="str">
        <f>IFERROR(__xludf.DUMMYFUNCTION("GOOGLETRANSLATE(N865,""my"", ""en"")"),"2748")</f>
        <v>2748</v>
      </c>
      <c r="AG865" s="10" t="str">
        <f>IFERROR(__xludf.DUMMYFUNCTION("GOOGLETRANSLATE(O865,""my"", ""en"")"),"13133")</f>
        <v>13133</v>
      </c>
      <c r="AH865" s="10" t="str">
        <f>IFERROR(__xludf.DUMMYFUNCTION("GOOGLETRANSLATE(P865,""my"", ""en"")"),"5.38%")</f>
        <v>5.38%</v>
      </c>
    </row>
    <row r="866" ht="24.0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6" t="s">
        <v>6288</v>
      </c>
      <c r="L866" s="36" t="s">
        <v>6289</v>
      </c>
      <c r="M866" s="37" t="s">
        <v>6290</v>
      </c>
      <c r="N866" s="37" t="s">
        <v>6291</v>
      </c>
      <c r="O866" s="37" t="s">
        <v>6292</v>
      </c>
      <c r="P866" s="38" t="s">
        <v>6293</v>
      </c>
      <c r="AC866" s="10" t="str">
        <f>IFERROR(__xludf.DUMMYFUNCTION("GOOGLETRANSLATE(K866,""my"", ""en"")"),"Data  palace soon enough")</f>
        <v>Data  palace soon enough</v>
      </c>
      <c r="AD866" s="10" t="str">
        <f>IFERROR(__xludf.DUMMYFUNCTION("GOOGLETRANSLATE(L866,""my"", ""en"")"),"Wa  Game Party")</f>
        <v>Wa  Game Party</v>
      </c>
      <c r="AE866" s="10" t="str">
        <f>IFERROR(__xludf.DUMMYFUNCTION("GOOGLETRANSLATE(M866,""my"", ""en"")"),"3877")</f>
        <v>3877</v>
      </c>
      <c r="AF866" s="10" t="str">
        <f>IFERROR(__xludf.DUMMYFUNCTION("GOOGLETRANSLATE(N866,""my"", ""en"")"),"1111")</f>
        <v>1111</v>
      </c>
      <c r="AG866" s="10" t="str">
        <f>IFERROR(__xludf.DUMMYFUNCTION("GOOGLETRANSLATE(O866,""my"", ""en"")"),"4988")</f>
        <v>4988</v>
      </c>
      <c r="AH866" s="10" t="str">
        <f>IFERROR(__xludf.DUMMYFUNCTION("GOOGLETRANSLATE(P866,""my"", ""en"")"),"2.05%")</f>
        <v>2.05%</v>
      </c>
    </row>
    <row r="867" ht="24.75" customHeigh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3" t="s">
        <v>6294</v>
      </c>
      <c r="L867" s="23" t="s">
        <v>6295</v>
      </c>
      <c r="M867" s="24" t="s">
        <v>6296</v>
      </c>
      <c r="N867" s="24" t="s">
        <v>6297</v>
      </c>
      <c r="O867" s="24" t="s">
        <v>6298</v>
      </c>
      <c r="P867" s="25" t="s">
        <v>6299</v>
      </c>
      <c r="AC867" s="10" t="str">
        <f>IFERROR(__xludf.DUMMYFUNCTION("GOOGLETRANSLATE(K867,""my"", ""en"")"),"ေအာင်")</f>
        <v>ေအာင်</v>
      </c>
      <c r="AD867" s="10" t="str">
        <f>IFERROR(__xludf.DUMMYFUNCTION("GOOGLETRANSLATE(L867,""my"", ""en"")"),"Ta'ang (လာင်)  Game Party")</f>
        <v>Ta'ang (လာင်)  Game Party</v>
      </c>
      <c r="AE867" s="10" t="str">
        <f>IFERROR(__xludf.DUMMYFUNCTION("GOOGLETRANSLATE(M867,""my"", ""en"")"),"3765")</f>
        <v>3765</v>
      </c>
      <c r="AF867" s="10" t="str">
        <f>IFERROR(__xludf.DUMMYFUNCTION("GOOGLETRANSLATE(N867,""my"", ""en"")"),"541")</f>
        <v>541</v>
      </c>
      <c r="AG867" s="10" t="str">
        <f>IFERROR(__xludf.DUMMYFUNCTION("GOOGLETRANSLATE(O867,""my"", ""en"")"),"4306")</f>
        <v>4306</v>
      </c>
      <c r="AH867" s="10" t="str">
        <f>IFERROR(__xludf.DUMMYFUNCTION("GOOGLETRANSLATE(P867,""my"", ""en"")"),"1.76%")</f>
        <v>1.76%</v>
      </c>
    </row>
    <row r="868" ht="37.5" customHeigh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32" t="s">
        <v>6300</v>
      </c>
      <c r="L868" s="22" t="s">
        <v>6301</v>
      </c>
      <c r="M868" s="39" t="s">
        <v>6302</v>
      </c>
      <c r="N868" s="39" t="s">
        <v>6303</v>
      </c>
      <c r="O868" s="33" t="s">
        <v>6304</v>
      </c>
      <c r="P868" s="31" t="s">
        <v>6305</v>
      </c>
      <c r="AC868" s="10" t="str">
        <f>IFERROR(__xludf.DUMMYFUNCTION("GOOGLETRANSLATE(K868,""my"", ""en"")"),"ေကျာ Lwin")</f>
        <v>ေကျာ Lwin</v>
      </c>
      <c r="AD868" s="10" t="str">
        <f>IFERROR(__xludf.DUMMYFUNCTION("GOOGLETRANSLATE(L868,""my"", ""en"")"),"Burma  treated ငံေ တာင် farmer workers
ပည်သူ Party")</f>
        <v>Burma  treated ငံေ တာင် farmer workers
ပည်သူ Party</v>
      </c>
      <c r="AE868" s="10" t="str">
        <f>IFERROR(__xludf.DUMMYFUNCTION("GOOGLETRANSLATE(M868,""my"", ""en"")"),"2634")</f>
        <v>2634</v>
      </c>
      <c r="AF868" s="10" t="str">
        <f>IFERROR(__xludf.DUMMYFUNCTION("GOOGLETRANSLATE(N868,""my"", ""en"")"),"829")</f>
        <v>829</v>
      </c>
      <c r="AG868" s="10" t="str">
        <f>IFERROR(__xludf.DUMMYFUNCTION("GOOGLETRANSLATE(O868,""my"", ""en"")"),"3463")</f>
        <v>3463</v>
      </c>
      <c r="AH868" s="10" t="str">
        <f>IFERROR(__xludf.DUMMYFUNCTION("GOOGLETRANSLATE(P868,""my"", ""en"")"),"1.42%")</f>
        <v>1.42%</v>
      </c>
    </row>
    <row r="869" ht="24.75" customHeigh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3" t="s">
        <v>6306</v>
      </c>
      <c r="L869" s="23" t="s">
        <v>6307</v>
      </c>
      <c r="M869" s="24" t="s">
        <v>6308</v>
      </c>
      <c r="N869" s="24" t="s">
        <v>6309</v>
      </c>
      <c r="O869" s="24" t="s">
        <v>6310</v>
      </c>
      <c r="P869" s="25" t="s">
        <v>6311</v>
      </c>
      <c r="AC869" s="10" t="str">
        <f>IFERROR(__xludf.DUMMYFUNCTION("GOOGLETRANSLATE(K869,""my"", ""en"")"),"ေသာင်း ေဌး")</f>
        <v>ေသာင်း ေဌး</v>
      </c>
      <c r="AD869" s="10" t="str">
        <f>IFERROR(__xludf.DUMMYFUNCTION("GOOGLETRANSLATE(L869,""my"", ""en"")"),"Local ေထာင် စုေ white  Game ေဆာင် Party")</f>
        <v>Local ေထာင် စုေ white  Game ေဆာင် Party</v>
      </c>
      <c r="AE869" s="10" t="str">
        <f>IFERROR(__xludf.DUMMYFUNCTION("GOOGLETRANSLATE(M869,""my"", ""en"")"),"1429")</f>
        <v>1429</v>
      </c>
      <c r="AF869" s="10" t="str">
        <f>IFERROR(__xludf.DUMMYFUNCTION("GOOGLETRANSLATE(N869,""my"", ""en"")"),"379")</f>
        <v>379</v>
      </c>
      <c r="AG869" s="10" t="str">
        <f>IFERROR(__xludf.DUMMYFUNCTION("GOOGLETRANSLATE(O869,""my"", ""en"")"),"1808")</f>
        <v>1808</v>
      </c>
      <c r="AH869" s="10" t="str">
        <f>IFERROR(__xludf.DUMMYFUNCTION("GOOGLETRANSLATE(P869,""my"", ""en"")"),"0.75%")</f>
        <v>0.75%</v>
      </c>
    </row>
    <row r="870" ht="24.0" customHeigh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3" t="s">
        <v>6312</v>
      </c>
      <c r="L870" s="23" t="s">
        <v>6313</v>
      </c>
      <c r="M870" s="24" t="s">
        <v>6314</v>
      </c>
      <c r="N870" s="24" t="s">
        <v>6315</v>
      </c>
      <c r="O870" s="24" t="s">
        <v>6316</v>
      </c>
      <c r="P870" s="25" t="s">
        <v>6317</v>
      </c>
      <c r="AC870" s="10" t="str">
        <f>IFERROR(__xludf.DUMMYFUNCTION("GOOGLETRANSLATE(K870,""my"", ""en"")"),"Han's ေအာင်")</f>
        <v>Han's ေအာင်</v>
      </c>
      <c r="AD870" s="10" t="str">
        <f>IFERROR(__xludf.DUMMYFUNCTION("GOOGLETRANSLATE(L870,""my"", ""en"")")," Game  Democratic Party political-Fi")</f>
        <v> Game  Democratic Party political-Fi</v>
      </c>
      <c r="AE870" s="10" t="str">
        <f>IFERROR(__xludf.DUMMYFUNCTION("GOOGLETRANSLATE(M870,""my"", ""en"")"),"843")</f>
        <v>843</v>
      </c>
      <c r="AF870" s="10" t="str">
        <f>IFERROR(__xludf.DUMMYFUNCTION("GOOGLETRANSLATE(N870,""my"", ""en"")"),"259")</f>
        <v>259</v>
      </c>
      <c r="AG870" s="10" t="str">
        <f>IFERROR(__xludf.DUMMYFUNCTION("GOOGLETRANSLATE(O870,""my"", ""en"")"),"1102")</f>
        <v>1102</v>
      </c>
      <c r="AH870" s="10" t="str">
        <f>IFERROR(__xludf.DUMMYFUNCTION("GOOGLETRANSLATE(P870,""my"", ""en"")"),"0.45%")</f>
        <v>0.45%</v>
      </c>
    </row>
    <row r="871" ht="22.5" customHeight="1">
      <c r="A871" s="28" t="s">
        <v>6318</v>
      </c>
      <c r="B871" s="17" t="s">
        <v>6319</v>
      </c>
      <c r="C871" s="18" t="s">
        <v>6320</v>
      </c>
      <c r="D871" s="17" t="s">
        <v>6321</v>
      </c>
      <c r="E871" s="18" t="s">
        <v>6322</v>
      </c>
      <c r="F871" s="18" t="s">
        <v>6323</v>
      </c>
      <c r="G871" s="18" t="s">
        <v>6324</v>
      </c>
      <c r="H871" s="18" t="s">
        <v>6325</v>
      </c>
      <c r="I871" s="18" t="s">
        <v>6326</v>
      </c>
      <c r="J871" s="18" t="s">
        <v>6327</v>
      </c>
      <c r="K871" s="27"/>
      <c r="L871" s="27"/>
      <c r="M871" s="18" t="s">
        <v>6328</v>
      </c>
      <c r="N871" s="18" t="s">
        <v>6329</v>
      </c>
      <c r="O871" s="18" t="s">
        <v>6330</v>
      </c>
      <c r="P871" s="27"/>
      <c r="S871" s="10" t="str">
        <f>IFERROR(__xludf.DUMMYFUNCTION("GOOGLETRANSLATE(A871,""my"", ""en"")"),"144")</f>
        <v>144</v>
      </c>
      <c r="T871" s="10" t="str">
        <f>IFERROR(__xludf.DUMMYFUNCTION("GOOGLETRANSLATE(B871,""my"", ""en"")"),"မဲဆ  No. (7)")</f>
        <v>မဲဆ  No. (7)</v>
      </c>
      <c r="U871" s="10" t="str">
        <f>IFERROR(__xludf.DUMMYFUNCTION("GOOGLETRANSLATE(C871,""my"", ""en"")"),"476164")</f>
        <v>476164</v>
      </c>
      <c r="V871" s="10" t="str">
        <f>IFERROR(__xludf.DUMMYFUNCTION("GOOGLETRANSLATE(D871,""my"", ""en"")"),"209028")</f>
        <v>209028</v>
      </c>
      <c r="W871" s="10" t="str">
        <f>IFERROR(__xludf.DUMMYFUNCTION("GOOGLETRANSLATE(E871,""my"", ""en"")"),"64982")</f>
        <v>64982</v>
      </c>
      <c r="X871" s="10" t="str">
        <f>IFERROR(__xludf.DUMMYFUNCTION("GOOGLETRANSLATE(F871,""my"", ""en"")"),"274010")</f>
        <v>274010</v>
      </c>
      <c r="Y871" s="10" t="str">
        <f>IFERROR(__xludf.DUMMYFUNCTION("GOOGLETRANSLATE(G871,""my"", ""en"")"),"57.55")</f>
        <v>57.55</v>
      </c>
      <c r="Z871" s="10" t="str">
        <f>IFERROR(__xludf.DUMMYFUNCTION("GOOGLETRANSLATE(H871,""my"", ""en"")"),"20105")</f>
        <v>20105</v>
      </c>
      <c r="AA871" s="10" t="str">
        <f>IFERROR(__xludf.DUMMYFUNCTION("GOOGLETRANSLATE(I871,""my"", ""en"")"),"225")</f>
        <v>225</v>
      </c>
      <c r="AB871" s="10" t="str">
        <f>IFERROR(__xludf.DUMMYFUNCTION("GOOGLETRANSLATE(J871,""my"", ""en"")"),"20330")</f>
        <v>20330</v>
      </c>
      <c r="AE871" s="10" t="str">
        <f>IFERROR(__xludf.DUMMYFUNCTION("GOOGLETRANSLATE(M871,""my"", ""en"")"),"193434")</f>
        <v>193434</v>
      </c>
      <c r="AF871" s="10" t="str">
        <f>IFERROR(__xludf.DUMMYFUNCTION("GOOGLETRANSLATE(N871,""my"", ""en"")"),"60246")</f>
        <v>60246</v>
      </c>
      <c r="AG871" s="10" t="str">
        <f>IFERROR(__xludf.DUMMYFUNCTION("GOOGLETRANSLATE(O871,""my"", ""en"")"),"253680")</f>
        <v>253680</v>
      </c>
    </row>
    <row r="872" ht="37.5" customHeigh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3" t="s">
        <v>6331</v>
      </c>
      <c r="L872" s="57" t="s">
        <v>6332</v>
      </c>
      <c r="M872" s="39" t="s">
        <v>6333</v>
      </c>
      <c r="N872" s="39" t="s">
        <v>6334</v>
      </c>
      <c r="O872" s="33" t="s">
        <v>6335</v>
      </c>
      <c r="P872" s="31" t="s">
        <v>6336</v>
      </c>
      <c r="AC872" s="10" t="str">
        <f>IFERROR(__xludf.DUMMYFUNCTION("GOOGLETRANSLATE(K872,""my"", ""en"")"),"Sai Win ေအး (b) Sai Tun ေအး")</f>
        <v>Sai Win ေအး (b) Sai Tun ေအး</v>
      </c>
      <c r="AD872" s="10" t="str">
        <f>IFERROR(__xludf.DUMMYFUNCTION("GOOGLETRANSLATE(L872,""my"", ""en"")"),"In the Shan Nationalities League for Democracy members   Party")</f>
        <v>In the Shan Nationalities League for Democracy members   Party</v>
      </c>
      <c r="AE872" s="10" t="str">
        <f>IFERROR(__xludf.DUMMYFUNCTION("GOOGLETRANSLATE(M872,""my"", ""en"")"),"87812")</f>
        <v>87812</v>
      </c>
      <c r="AF872" s="10" t="str">
        <f>IFERROR(__xludf.DUMMYFUNCTION("GOOGLETRANSLATE(N872,""my"", ""en"")"),"20586")</f>
        <v>20586</v>
      </c>
      <c r="AG872" s="10" t="str">
        <f>IFERROR(__xludf.DUMMYFUNCTION("GOOGLETRANSLATE(O872,""my"", ""en"")"),"108398")</f>
        <v>108398</v>
      </c>
      <c r="AH872" s="10" t="str">
        <f>IFERROR(__xludf.DUMMYFUNCTION("GOOGLETRANSLATE(P872,""my"", ""en"")"),"42.73%")</f>
        <v>42.73%</v>
      </c>
    </row>
    <row r="873" ht="24.0" customHeigh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3" t="s">
        <v>6337</v>
      </c>
      <c r="L873" s="23" t="s">
        <v>6338</v>
      </c>
      <c r="M873" s="24" t="s">
        <v>6339</v>
      </c>
      <c r="N873" s="24" t="s">
        <v>6340</v>
      </c>
      <c r="O873" s="24" t="s">
        <v>6341</v>
      </c>
      <c r="P873" s="25" t="s">
        <v>6342</v>
      </c>
      <c r="AC873" s="10" t="str">
        <f>IFERROR(__xludf.DUMMYFUNCTION("GOOGLETRANSLATE(K873,""my"", ""en"")"),"Sai")</f>
        <v>Sai</v>
      </c>
      <c r="AD873" s="10" t="str">
        <f>IFERROR(__xludf.DUMMYFUNCTION("GOOGLETRANSLATE(L873,""my"", ""en"")"),"Local ေထာင် soap-stone strong ေရး  under development  Phil  ေရး Party")</f>
        <v>Local ေထာင် soap-stone strong ေရး  under development  Phil  ေရး Party</v>
      </c>
      <c r="AE873" s="10" t="str">
        <f>IFERROR(__xludf.DUMMYFUNCTION("GOOGLETRANSLATE(M873,""my"", ""en"")"),"48565")</f>
        <v>48565</v>
      </c>
      <c r="AF873" s="10" t="str">
        <f>IFERROR(__xludf.DUMMYFUNCTION("GOOGLETRANSLATE(N873,""my"", ""en"")"),"22211")</f>
        <v>22211</v>
      </c>
      <c r="AG873" s="10" t="str">
        <f>IFERROR(__xludf.DUMMYFUNCTION("GOOGLETRANSLATE(O873,""my"", ""en"")"),"70776")</f>
        <v>70776</v>
      </c>
      <c r="AH873" s="10" t="str">
        <f>IFERROR(__xludf.DUMMYFUNCTION("GOOGLETRANSLATE(P873,""my"", ""en"")"),"27.90%")</f>
        <v>27.90%</v>
      </c>
    </row>
    <row r="874" ht="24.75" customHeigh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3" t="s">
        <v>6343</v>
      </c>
      <c r="L874" s="23" t="s">
        <v>6344</v>
      </c>
      <c r="M874" s="24" t="s">
        <v>6345</v>
      </c>
      <c r="N874" s="24" t="s">
        <v>6346</v>
      </c>
      <c r="O874" s="24" t="s">
        <v>6347</v>
      </c>
      <c r="P874" s="25" t="s">
        <v>6348</v>
      </c>
      <c r="AC874" s="10" t="str">
        <f>IFERROR(__xludf.DUMMYFUNCTION("GOOGLETRANSLATE(K874,""my"", ""en"")"),"U Sai San Lin")</f>
        <v>U Sai San Lin</v>
      </c>
      <c r="AD874" s="10" t="str">
        <f>IFERROR(__xludf.DUMMYFUNCTION("GOOGLETRANSLATE(L874,""my"", ""en"")")," Game Democracy group   Pop Party")</f>
        <v> Game Democracy group   Pop Party</v>
      </c>
      <c r="AE874" s="10" t="str">
        <f>IFERROR(__xludf.DUMMYFUNCTION("GOOGLETRANSLATE(M874,""my"", ""en"")"),"33470")</f>
        <v>33470</v>
      </c>
      <c r="AF874" s="10" t="str">
        <f>IFERROR(__xludf.DUMMYFUNCTION("GOOGLETRANSLATE(N874,""my"", ""en"")"),"9919")</f>
        <v>9919</v>
      </c>
      <c r="AG874" s="10" t="str">
        <f>IFERROR(__xludf.DUMMYFUNCTION("GOOGLETRANSLATE(O874,""my"", ""en"")"),"43389")</f>
        <v>43389</v>
      </c>
      <c r="AH874" s="10" t="str">
        <f>IFERROR(__xludf.DUMMYFUNCTION("GOOGLETRANSLATE(P874,""my"", ""en"")"),"17.10%")</f>
        <v>17.10%</v>
      </c>
    </row>
    <row r="875" ht="24.0" customHeigh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3" t="s">
        <v>6349</v>
      </c>
      <c r="L875" s="23" t="s">
        <v>6350</v>
      </c>
      <c r="M875" s="24" t="s">
        <v>6351</v>
      </c>
      <c r="N875" s="24" t="s">
        <v>6352</v>
      </c>
      <c r="O875" s="24" t="s">
        <v>6353</v>
      </c>
      <c r="P875" s="25" t="s">
        <v>6354</v>
      </c>
      <c r="AC875" s="10" t="str">
        <f>IFERROR(__xludf.DUMMYFUNCTION("GOOGLETRANSLATE(K875,""my"", ""en"")"),"Sai ေကျာ Win")</f>
        <v>Sai ေကျာ Win</v>
      </c>
      <c r="AD875" s="10" t="str">
        <f>IFERROR(__xludf.DUMMYFUNCTION("GOOGLETRANSLATE(L875,""my"", ""en"")"),"Shan Nationalities")</f>
        <v>Shan Nationalities</v>
      </c>
      <c r="AE875" s="10" t="str">
        <f>IFERROR(__xludf.DUMMYFUNCTION("GOOGLETRANSLATE(M875,""my"", ""en"")"),"15726")</f>
        <v>15726</v>
      </c>
      <c r="AF875" s="10" t="str">
        <f>IFERROR(__xludf.DUMMYFUNCTION("GOOGLETRANSLATE(N875,""my"", ""en"")"),"5829")</f>
        <v>5829</v>
      </c>
      <c r="AG875" s="10" t="str">
        <f>IFERROR(__xludf.DUMMYFUNCTION("GOOGLETRANSLATE(O875,""my"", ""en"")"),"21555")</f>
        <v>21555</v>
      </c>
      <c r="AH875" s="10" t="str">
        <f>IFERROR(__xludf.DUMMYFUNCTION("GOOGLETRANSLATE(P875,""my"", ""en"")"),"8.50%")</f>
        <v>8.50%</v>
      </c>
    </row>
    <row r="876" ht="24.0" customHeigh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3" t="s">
        <v>6355</v>
      </c>
      <c r="L876" s="23" t="s">
        <v>6356</v>
      </c>
      <c r="M876" s="24" t="s">
        <v>6357</v>
      </c>
      <c r="N876" s="24" t="s">
        <v>6358</v>
      </c>
      <c r="O876" s="24" t="s">
        <v>6359</v>
      </c>
      <c r="P876" s="25" t="s">
        <v>6360</v>
      </c>
      <c r="AC876" s="10" t="str">
        <f>IFERROR(__xludf.DUMMYFUNCTION("GOOGLETRANSLATE(K876,""my"", ""en"")"),"Mine  seems ုမ်")</f>
        <v>Mine  seems ုမ်</v>
      </c>
      <c r="AD876" s="10" t="str">
        <f>IFERROR(__xludf.DUMMYFUNCTION("GOOGLETRANSLATE(L876,""my"", ""en"")"),"Ta'ang (လာင်)  Game Party")</f>
        <v>Ta'ang (လာင်)  Game Party</v>
      </c>
      <c r="AE876" s="10" t="str">
        <f>IFERROR(__xludf.DUMMYFUNCTION("GOOGLETRANSLATE(M876,""my"", ""en"")"),"5826")</f>
        <v>5826</v>
      </c>
      <c r="AF876" s="10" t="str">
        <f>IFERROR(__xludf.DUMMYFUNCTION("GOOGLETRANSLATE(N876,""my"", ""en"")"),"962")</f>
        <v>962</v>
      </c>
      <c r="AG876" s="10" t="str">
        <f>IFERROR(__xludf.DUMMYFUNCTION("GOOGLETRANSLATE(O876,""my"", ""en"")"),"6788")</f>
        <v>6788</v>
      </c>
      <c r="AH876" s="10" t="str">
        <f>IFERROR(__xludf.DUMMYFUNCTION("GOOGLETRANSLATE(P876,""my"", ""en"")"),"2.68%")</f>
        <v>2.68%</v>
      </c>
    </row>
    <row r="877" ht="24.0" customHeigh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3" t="s">
        <v>6361</v>
      </c>
      <c r="L877" s="23" t="s">
        <v>6362</v>
      </c>
      <c r="M877" s="24" t="s">
        <v>6363</v>
      </c>
      <c r="N877" s="24" t="s">
        <v>6364</v>
      </c>
      <c r="O877" s="24" t="s">
        <v>6365</v>
      </c>
      <c r="P877" s="25" t="s">
        <v>6366</v>
      </c>
      <c r="AC877" s="10" t="str">
        <f>IFERROR(__xludf.DUMMYFUNCTION("GOOGLETRANSLATE(K877,""my"", ""en"")"),"ေဒ  frequency  Game")</f>
        <v>ေဒ  frequency  Game</v>
      </c>
      <c r="AD877" s="10" t="str">
        <f>IFERROR(__xludf.DUMMYFUNCTION("GOOGLETRANSLATE(L877,""my"", ""en"")")," Game Democracy Force")</f>
        <v> Game Democracy Force</v>
      </c>
      <c r="AE877" s="10" t="str">
        <f>IFERROR(__xludf.DUMMYFUNCTION("GOOGLETRANSLATE(M877,""my"", ""en"")"),"2035")</f>
        <v>2035</v>
      </c>
      <c r="AF877" s="10" t="str">
        <f>IFERROR(__xludf.DUMMYFUNCTION("GOOGLETRANSLATE(N877,""my"", ""en"")"),"739")</f>
        <v>739</v>
      </c>
      <c r="AG877" s="10" t="str">
        <f>IFERROR(__xludf.DUMMYFUNCTION("GOOGLETRANSLATE(O877,""my"", ""en"")"),"2774")</f>
        <v>2774</v>
      </c>
      <c r="AH877" s="10" t="str">
        <f>IFERROR(__xludf.DUMMYFUNCTION("GOOGLETRANSLATE(P877,""my"", ""en"")"),"1.09%")</f>
        <v>1.09%</v>
      </c>
    </row>
    <row r="878" ht="24.0" customHeight="1">
      <c r="A878" s="28" t="s">
        <v>6367</v>
      </c>
      <c r="B878" s="17" t="s">
        <v>6368</v>
      </c>
      <c r="C878" s="18" t="s">
        <v>6369</v>
      </c>
      <c r="D878" s="17" t="s">
        <v>6370</v>
      </c>
      <c r="E878" s="18" t="s">
        <v>6371</v>
      </c>
      <c r="F878" s="18" t="s">
        <v>6372</v>
      </c>
      <c r="G878" s="18" t="s">
        <v>6373</v>
      </c>
      <c r="H878" s="18" t="s">
        <v>6374</v>
      </c>
      <c r="I878" s="18" t="s">
        <v>6375</v>
      </c>
      <c r="J878" s="18" t="s">
        <v>6376</v>
      </c>
      <c r="K878" s="27"/>
      <c r="L878" s="27"/>
      <c r="M878" s="18" t="s">
        <v>6377</v>
      </c>
      <c r="N878" s="18" t="s">
        <v>6378</v>
      </c>
      <c r="O878" s="18" t="s">
        <v>6379</v>
      </c>
      <c r="P878" s="27"/>
      <c r="S878" s="10" t="str">
        <f>IFERROR(__xludf.DUMMYFUNCTION("GOOGLETRANSLATE(A878,""my"", ""en"")"),"145")</f>
        <v>145</v>
      </c>
      <c r="T878" s="10" t="str">
        <f>IFERROR(__xludf.DUMMYFUNCTION("GOOGLETRANSLATE(B878,""my"", ""en"")"),"မဲဆ  No. (8)")</f>
        <v>မဲဆ  No. (8)</v>
      </c>
      <c r="U878" s="10" t="str">
        <f>IFERROR(__xludf.DUMMYFUNCTION("GOOGLETRANSLATE(C878,""my"", ""en"")"),"64781")</f>
        <v>64781</v>
      </c>
      <c r="V878" s="10" t="str">
        <f>IFERROR(__xludf.DUMMYFUNCTION("GOOGLETRANSLATE(D878,""my"", ""en"")"),"31521")</f>
        <v>31521</v>
      </c>
      <c r="W878" s="10" t="str">
        <f>IFERROR(__xludf.DUMMYFUNCTION("GOOGLETRANSLATE(E878,""my"", ""en"")"),"7890")</f>
        <v>7890</v>
      </c>
      <c r="X878" s="10" t="str">
        <f>IFERROR(__xludf.DUMMYFUNCTION("GOOGLETRANSLATE(F878,""my"", ""en"")"),"39411")</f>
        <v>39411</v>
      </c>
      <c r="Y878" s="10" t="str">
        <f>IFERROR(__xludf.DUMMYFUNCTION("GOOGLETRANSLATE(G878,""my"", ""en"")"),"60.84")</f>
        <v>60.84</v>
      </c>
      <c r="Z878" s="10" t="str">
        <f>IFERROR(__xludf.DUMMYFUNCTION("GOOGLETRANSLATE(H878,""my"", ""en"")"),"2324")</f>
        <v>2324</v>
      </c>
      <c r="AA878" s="10" t="str">
        <f>IFERROR(__xludf.DUMMYFUNCTION("GOOGLETRANSLATE(I878,""my"", ""en"")"),"23")</f>
        <v>23</v>
      </c>
      <c r="AB878" s="10" t="str">
        <f>IFERROR(__xludf.DUMMYFUNCTION("GOOGLETRANSLATE(J878,""my"", ""en"")"),"2347")</f>
        <v>2347</v>
      </c>
      <c r="AE878" s="10" t="str">
        <f>IFERROR(__xludf.DUMMYFUNCTION("GOOGLETRANSLATE(M878,""my"", ""en"")"),"29462")</f>
        <v>29462</v>
      </c>
      <c r="AF878" s="10" t="str">
        <f>IFERROR(__xludf.DUMMYFUNCTION("GOOGLETRANSLATE(N878,""my"", ""en"")"),"7602")</f>
        <v>7602</v>
      </c>
      <c r="AG878" s="10" t="str">
        <f>IFERROR(__xludf.DUMMYFUNCTION("GOOGLETRANSLATE(O878,""my"", ""en"")"),"37064")</f>
        <v>37064</v>
      </c>
    </row>
    <row r="879" ht="36.0" customHeigh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3" t="s">
        <v>6380</v>
      </c>
      <c r="L879" s="23" t="s">
        <v>6381</v>
      </c>
      <c r="M879" s="24" t="s">
        <v>6382</v>
      </c>
      <c r="N879" s="24" t="s">
        <v>6383</v>
      </c>
      <c r="O879" s="24" t="s">
        <v>6384</v>
      </c>
      <c r="P879" s="31" t="s">
        <v>6385</v>
      </c>
      <c r="AC879" s="10" t="str">
        <f>IFERROR(__xludf.DUMMYFUNCTION("GOOGLETRANSLATE(K879,""my"", ""en"")"),"ေမာင် strong (b) U Ohn Khaing")</f>
        <v>ေမာင် strong (b) U Ohn Khaing</v>
      </c>
      <c r="AD879" s="10" t="str">
        <f>IFERROR(__xludf.DUMMYFUNCTION("GOOGLETRANSLATE(L879,""my"", ""en"")"),"Ta'ang (လာင်)  Game Party")</f>
        <v>Ta'ang (လာင်)  Game Party</v>
      </c>
      <c r="AE879" s="10" t="str">
        <f>IFERROR(__xludf.DUMMYFUNCTION("GOOGLETRANSLATE(M879,""my"", ""en"")"),"19725")</f>
        <v>19725</v>
      </c>
      <c r="AF879" s="10" t="str">
        <f>IFERROR(__xludf.DUMMYFUNCTION("GOOGLETRANSLATE(N879,""my"", ""en"")"),"4542")</f>
        <v>4542</v>
      </c>
      <c r="AG879" s="10" t="str">
        <f>IFERROR(__xludf.DUMMYFUNCTION("GOOGLETRANSLATE(O879,""my"", ""en"")"),"24267")</f>
        <v>24267</v>
      </c>
      <c r="AH879" s="10" t="str">
        <f>IFERROR(__xludf.DUMMYFUNCTION("GOOGLETRANSLATE(P879,""my"", ""en"")"),"65.47%")</f>
        <v>65.47%</v>
      </c>
    </row>
    <row r="880" ht="24.75" customHeigh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3" t="s">
        <v>6386</v>
      </c>
      <c r="L880" s="23" t="s">
        <v>6387</v>
      </c>
      <c r="M880" s="24" t="s">
        <v>6388</v>
      </c>
      <c r="N880" s="24" t="s">
        <v>6389</v>
      </c>
      <c r="O880" s="24" t="s">
        <v>6390</v>
      </c>
      <c r="P880" s="25" t="s">
        <v>6391</v>
      </c>
      <c r="AC880" s="10" t="str">
        <f>IFERROR(__xludf.DUMMYFUNCTION("GOOGLETRANSLATE(K880,""my"", ""en"")"),"ဘိုးစိန်")</f>
        <v>ဘိုးစိန်</v>
      </c>
      <c r="AD880" s="10" t="str">
        <f>IFERROR(__xludf.DUMMYFUNCTION("GOOGLETRANSLATE(L880,""my"", ""en"")")," Game Democracy group   Pop Party")</f>
        <v> Game Democracy group   Pop Party</v>
      </c>
      <c r="AE880" s="10" t="str">
        <f>IFERROR(__xludf.DUMMYFUNCTION("GOOGLETRANSLATE(M880,""my"", ""en"")"),"5518")</f>
        <v>5518</v>
      </c>
      <c r="AF880" s="10" t="str">
        <f>IFERROR(__xludf.DUMMYFUNCTION("GOOGLETRANSLATE(N880,""my"", ""en"")"),"1420")</f>
        <v>1420</v>
      </c>
      <c r="AG880" s="10" t="str">
        <f>IFERROR(__xludf.DUMMYFUNCTION("GOOGLETRANSLATE(O880,""my"", ""en"")"),"6938")</f>
        <v>6938</v>
      </c>
      <c r="AH880" s="10" t="str">
        <f>IFERROR(__xludf.DUMMYFUNCTION("GOOGLETRANSLATE(P880,""my"", ""en"")"),"18.72%")</f>
        <v>18.72%</v>
      </c>
    </row>
    <row r="881" ht="25.5" customHeigh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3" t="s">
        <v>6392</v>
      </c>
      <c r="L881" s="23" t="s">
        <v>6393</v>
      </c>
      <c r="M881" s="24" t="s">
        <v>6394</v>
      </c>
      <c r="N881" s="24" t="s">
        <v>6395</v>
      </c>
      <c r="O881" s="24" t="s">
        <v>6396</v>
      </c>
      <c r="P881" s="25" t="s">
        <v>6397</v>
      </c>
      <c r="AC881" s="10" t="str">
        <f>IFERROR(__xludf.DUMMYFUNCTION("GOOGLETRANSLATE(K881,""my"", ""en"")"),"Data ")</f>
        <v>Data </v>
      </c>
      <c r="AD881" s="10" t="str">
        <f>IFERROR(__xludf.DUMMYFUNCTION("GOOGLETRANSLATE(L881,""my"", ""en"")"),"Local ေထာင် soap-stone strong ေရး  under development  Phil  ေရး Party")</f>
        <v>Local ေထာင် soap-stone strong ေရး  under development  Phil  ေရး Party</v>
      </c>
      <c r="AE881" s="10" t="str">
        <f>IFERROR(__xludf.DUMMYFUNCTION("GOOGLETRANSLATE(M881,""my"", ""en"")"),"4219")</f>
        <v>4219</v>
      </c>
      <c r="AF881" s="10" t="str">
        <f>IFERROR(__xludf.DUMMYFUNCTION("GOOGLETRANSLATE(N881,""my"", ""en"")"),"1640")</f>
        <v>1640</v>
      </c>
      <c r="AG881" s="10" t="str">
        <f>IFERROR(__xludf.DUMMYFUNCTION("GOOGLETRANSLATE(O881,""my"", ""en"")"),"5859")</f>
        <v>5859</v>
      </c>
      <c r="AH881" s="10" t="str">
        <f>IFERROR(__xludf.DUMMYFUNCTION("GOOGLETRANSLATE(P881,""my"", ""en"")"),"15.81%")</f>
        <v>15.81%</v>
      </c>
    </row>
    <row r="882" ht="22.5" customHeight="1">
      <c r="A882" s="28" t="s">
        <v>6398</v>
      </c>
      <c r="B882" s="17" t="s">
        <v>6399</v>
      </c>
      <c r="C882" s="18" t="s">
        <v>6400</v>
      </c>
      <c r="D882" s="17" t="s">
        <v>6401</v>
      </c>
      <c r="E882" s="18" t="s">
        <v>6402</v>
      </c>
      <c r="F882" s="18" t="s">
        <v>6403</v>
      </c>
      <c r="G882" s="18" t="s">
        <v>6404</v>
      </c>
      <c r="H882" s="18" t="s">
        <v>6405</v>
      </c>
      <c r="I882" s="18" t="s">
        <v>6406</v>
      </c>
      <c r="J882" s="18" t="s">
        <v>6407</v>
      </c>
      <c r="K882" s="27"/>
      <c r="L882" s="27"/>
      <c r="M882" s="18" t="s">
        <v>6408</v>
      </c>
      <c r="N882" s="18" t="s">
        <v>6409</v>
      </c>
      <c r="O882" s="18" t="s">
        <v>6410</v>
      </c>
      <c r="P882" s="27"/>
      <c r="S882" s="10" t="str">
        <f>IFERROR(__xludf.DUMMYFUNCTION("GOOGLETRANSLATE(A882,""my"", ""en"")"),"146")</f>
        <v>146</v>
      </c>
      <c r="T882" s="10" t="str">
        <f>IFERROR(__xludf.DUMMYFUNCTION("GOOGLETRANSLATE(B882,""my"", ""en"")"),"မဲဆ  No. (9)")</f>
        <v>မဲဆ  No. (9)</v>
      </c>
      <c r="U882" s="10" t="str">
        <f>IFERROR(__xludf.DUMMYFUNCTION("GOOGLETRANSLATE(C882,""my"", ""en"")"),"123124")</f>
        <v>123124</v>
      </c>
      <c r="V882" s="10" t="str">
        <f>IFERROR(__xludf.DUMMYFUNCTION("GOOGLETRANSLATE(D882,""my"", ""en"")"),"89811")</f>
        <v>89811</v>
      </c>
      <c r="W882" s="10" t="str">
        <f>IFERROR(__xludf.DUMMYFUNCTION("GOOGLETRANSLATE(E882,""my"", ""en"")"),"22633")</f>
        <v>22633</v>
      </c>
      <c r="X882" s="10" t="str">
        <f>IFERROR(__xludf.DUMMYFUNCTION("GOOGLETRANSLATE(F882,""my"", ""en"")"),"112444")</f>
        <v>112444</v>
      </c>
      <c r="Y882" s="10" t="str">
        <f>IFERROR(__xludf.DUMMYFUNCTION("GOOGLETRANSLATE(G882,""my"", ""en"")"),"91.33")</f>
        <v>91.33</v>
      </c>
      <c r="Z882" s="10" t="str">
        <f>IFERROR(__xludf.DUMMYFUNCTION("GOOGLETRANSLATE(H882,""my"", ""en"")"),"3565")</f>
        <v>3565</v>
      </c>
      <c r="AA882" s="10" t="str">
        <f>IFERROR(__xludf.DUMMYFUNCTION("GOOGLETRANSLATE(I882,""my"", ""en"")"),"136")</f>
        <v>136</v>
      </c>
      <c r="AB882" s="10" t="str">
        <f>IFERROR(__xludf.DUMMYFUNCTION("GOOGLETRANSLATE(J882,""my"", ""en"")"),"3701")</f>
        <v>3701</v>
      </c>
      <c r="AE882" s="10" t="str">
        <f>IFERROR(__xludf.DUMMYFUNCTION("GOOGLETRANSLATE(M882,""my"", ""en"")"),"86308")</f>
        <v>86308</v>
      </c>
      <c r="AF882" s="10" t="str">
        <f>IFERROR(__xludf.DUMMYFUNCTION("GOOGLETRANSLATE(N882,""my"", ""en"")"),"22435")</f>
        <v>22435</v>
      </c>
      <c r="AG882" s="10" t="str">
        <f>IFERROR(__xludf.DUMMYFUNCTION("GOOGLETRANSLATE(O882,""my"", ""en"")"),"108743")</f>
        <v>108743</v>
      </c>
    </row>
    <row r="883" ht="24.0" customHeigh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3" t="s">
        <v>6411</v>
      </c>
      <c r="L883" s="23" t="s">
        <v>6412</v>
      </c>
      <c r="M883" s="24" t="s">
        <v>6413</v>
      </c>
      <c r="N883" s="24" t="s">
        <v>6414</v>
      </c>
      <c r="O883" s="24" t="s">
        <v>6415</v>
      </c>
      <c r="P883" s="25" t="s">
        <v>6416</v>
      </c>
      <c r="AC883" s="10" t="str">
        <f>IFERROR(__xludf.DUMMYFUNCTION("GOOGLETRANSLATE(K883,""my"", ""en"")"),"Data  မမလေး")</f>
        <v>Data  မမလေး</v>
      </c>
      <c r="AD883" s="10" t="str">
        <f>IFERROR(__xludf.DUMMYFUNCTION("GOOGLETRANSLATE(L883,""my"", ""en"")")," Game Democracy group   Pop Party")</f>
        <v> Game Democracy group   Pop Party</v>
      </c>
      <c r="AE883" s="10" t="str">
        <f>IFERROR(__xludf.DUMMYFUNCTION("GOOGLETRANSLATE(M883,""my"", ""en"")"),"43901")</f>
        <v>43901</v>
      </c>
      <c r="AF883" s="10" t="str">
        <f>IFERROR(__xludf.DUMMYFUNCTION("GOOGLETRANSLATE(N883,""my"", ""en"")"),"10330")</f>
        <v>10330</v>
      </c>
      <c r="AG883" s="10" t="str">
        <f>IFERROR(__xludf.DUMMYFUNCTION("GOOGLETRANSLATE(O883,""my"", ""en"")"),"54231")</f>
        <v>54231</v>
      </c>
      <c r="AH883" s="10" t="str">
        <f>IFERROR(__xludf.DUMMYFUNCTION("GOOGLETRANSLATE(P883,""my"", ""en"")"),"49.87%")</f>
        <v>49.87%</v>
      </c>
    </row>
    <row r="884" ht="36.75" customHeigh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3" t="s">
        <v>6417</v>
      </c>
      <c r="L884" s="32" t="s">
        <v>6418</v>
      </c>
      <c r="M884" s="33" t="s">
        <v>6419</v>
      </c>
      <c r="N884" s="33" t="s">
        <v>6420</v>
      </c>
      <c r="O884" s="33" t="s">
        <v>6421</v>
      </c>
      <c r="P884" s="31" t="s">
        <v>6422</v>
      </c>
      <c r="AC884" s="10" t="str">
        <f>IFERROR(__xludf.DUMMYFUNCTION("GOOGLETRANSLATE(K884,""my"", ""en"")"),"Sao ေအာင် March (b) ေအာင် March")</f>
        <v>Sao ေအာင် March (b) ေအာင် March</v>
      </c>
      <c r="AD884" s="10" t="str">
        <f>IFERROR(__xludf.DUMMYFUNCTION("GOOGLETRANSLATE(L884,""my"", ""en"")"),"Local ေထာင် soap-stone strong ေရး  under development  Phil  ေရး Party")</f>
        <v>Local ေထာင် soap-stone strong ေရး  under development  Phil  ေရး Party</v>
      </c>
      <c r="AE884" s="10" t="str">
        <f>IFERROR(__xludf.DUMMYFUNCTION("GOOGLETRANSLATE(M884,""my"", ""en"")"),"26662")</f>
        <v>26662</v>
      </c>
      <c r="AF884" s="10" t="str">
        <f>IFERROR(__xludf.DUMMYFUNCTION("GOOGLETRANSLATE(N884,""my"", ""en"")"),"7446")</f>
        <v>7446</v>
      </c>
      <c r="AG884" s="10" t="str">
        <f>IFERROR(__xludf.DUMMYFUNCTION("GOOGLETRANSLATE(O884,""my"", ""en"")"),"34108")</f>
        <v>34108</v>
      </c>
      <c r="AH884" s="10" t="str">
        <f>IFERROR(__xludf.DUMMYFUNCTION("GOOGLETRANSLATE(P884,""my"", ""en"")"),"31.37%")</f>
        <v>31.37%</v>
      </c>
    </row>
    <row r="885" ht="24.75" customHeigh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3" t="s">
        <v>6423</v>
      </c>
      <c r="L885" s="23" t="s">
        <v>6424</v>
      </c>
      <c r="M885" s="24" t="s">
        <v>6425</v>
      </c>
      <c r="N885" s="24" t="s">
        <v>6426</v>
      </c>
      <c r="O885" s="24" t="s">
        <v>6427</v>
      </c>
      <c r="P885" s="25" t="s">
        <v>6428</v>
      </c>
      <c r="AC885" s="10" t="str">
        <f>IFERROR(__xludf.DUMMYFUNCTION("GOOGLETRANSLATE(K885,""my"", ""en"")"),"Min Lwin")</f>
        <v>Min Lwin</v>
      </c>
      <c r="AD885" s="10" t="str">
        <f>IFERROR(__xludf.DUMMYFUNCTION("GOOGLETRANSLATE(L885,""my"", ""en"")"),"S level  ethnic  Game Democracy Party")</f>
        <v>S level  ethnic  Game Democracy Party</v>
      </c>
      <c r="AE885" s="10" t="str">
        <f>IFERROR(__xludf.DUMMYFUNCTION("GOOGLETRANSLATE(M885,""my"", ""en"")"),"12506")</f>
        <v>12506</v>
      </c>
      <c r="AF885" s="10" t="str">
        <f>IFERROR(__xludf.DUMMYFUNCTION("GOOGLETRANSLATE(N885,""my"", ""en"")"),"3308")</f>
        <v>3308</v>
      </c>
      <c r="AG885" s="10" t="str">
        <f>IFERROR(__xludf.DUMMYFUNCTION("GOOGLETRANSLATE(O885,""my"", ""en"")"),"15814")</f>
        <v>15814</v>
      </c>
      <c r="AH885" s="10" t="str">
        <f>IFERROR(__xludf.DUMMYFUNCTION("GOOGLETRANSLATE(P885,""my"", ""en"")"),"14.54%")</f>
        <v>14.54%</v>
      </c>
    </row>
    <row r="886" ht="24.0" customHeigh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3" t="s">
        <v>6429</v>
      </c>
      <c r="L886" s="23" t="s">
        <v>6430</v>
      </c>
      <c r="M886" s="24" t="s">
        <v>6431</v>
      </c>
      <c r="N886" s="24" t="s">
        <v>6432</v>
      </c>
      <c r="O886" s="24" t="s">
        <v>6433</v>
      </c>
      <c r="P886" s="25" t="s">
        <v>6434</v>
      </c>
      <c r="AC886" s="10" t="str">
        <f>IFERROR(__xludf.DUMMYFUNCTION("GOOGLETRANSLATE(K886,""my"", ""en"")"),"ေကျာ Din")</f>
        <v>ေကျာ Din</v>
      </c>
      <c r="AD886" s="10" t="str">
        <f>IFERROR(__xludf.DUMMYFUNCTION("GOOGLETRANSLATE(L886,""my"", ""en"")"),"Local ေထာင် စုေ white  Game ေဆာင် Party")</f>
        <v>Local ေထာင် စုေ white  Game ေဆာင် Party</v>
      </c>
      <c r="AE886" s="10" t="str">
        <f>IFERROR(__xludf.DUMMYFUNCTION("GOOGLETRANSLATE(M886,""my"", ""en"")"),"2012")</f>
        <v>2012</v>
      </c>
      <c r="AF886" s="10" t="str">
        <f>IFERROR(__xludf.DUMMYFUNCTION("GOOGLETRANSLATE(N886,""my"", ""en"")"),"652")</f>
        <v>652</v>
      </c>
      <c r="AG886" s="10" t="str">
        <f>IFERROR(__xludf.DUMMYFUNCTION("GOOGLETRANSLATE(O886,""my"", ""en"")"),"2664")</f>
        <v>2664</v>
      </c>
      <c r="AH886" s="10" t="str">
        <f>IFERROR(__xludf.DUMMYFUNCTION("GOOGLETRANSLATE(P886,""my"", ""en"")"),"2.45%")</f>
        <v>2.45%</v>
      </c>
    </row>
    <row r="887" ht="24.0" customHeigh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3" t="s">
        <v>6435</v>
      </c>
      <c r="L887" s="23" t="s">
        <v>6436</v>
      </c>
      <c r="M887" s="24" t="s">
        <v>6437</v>
      </c>
      <c r="N887" s="24" t="s">
        <v>6438</v>
      </c>
      <c r="O887" s="24" t="s">
        <v>6439</v>
      </c>
      <c r="P887" s="25" t="s">
        <v>6440</v>
      </c>
      <c r="AC887" s="10" t="str">
        <f>IFERROR(__xludf.DUMMYFUNCTION("GOOGLETRANSLATE(K887,""my"", ""en"")"),"Nang worthy ေဇာ")</f>
        <v>Nang worthy ေဇာ</v>
      </c>
      <c r="AD887" s="10" t="str">
        <f>IFERROR(__xludf.DUMMYFUNCTION("GOOGLETRANSLATE(L887,""my"", ""en"")")," Game Democracy Force")</f>
        <v> Game Democracy Force</v>
      </c>
      <c r="AE887" s="10" t="str">
        <f>IFERROR(__xludf.DUMMYFUNCTION("GOOGLETRANSLATE(M887,""my"", ""en"")"),"692")</f>
        <v>692</v>
      </c>
      <c r="AF887" s="10" t="str">
        <f>IFERROR(__xludf.DUMMYFUNCTION("GOOGLETRANSLATE(N887,""my"", ""en"")"),"417")</f>
        <v>417</v>
      </c>
      <c r="AG887" s="10" t="str">
        <f>IFERROR(__xludf.DUMMYFUNCTION("GOOGLETRANSLATE(O887,""my"", ""en"")"),"1109")</f>
        <v>1109</v>
      </c>
      <c r="AH887" s="10" t="str">
        <f>IFERROR(__xludf.DUMMYFUNCTION("GOOGLETRANSLATE(P887,""my"", ""en"")"),"1.02%")</f>
        <v>1.02%</v>
      </c>
    </row>
    <row r="888" ht="24.0" customHeigh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3" t="s">
        <v>6441</v>
      </c>
      <c r="L888" s="23" t="s">
        <v>6442</v>
      </c>
      <c r="M888" s="24" t="s">
        <v>6443</v>
      </c>
      <c r="N888" s="24" t="s">
        <v>6444</v>
      </c>
      <c r="O888" s="24" t="s">
        <v>6445</v>
      </c>
      <c r="P888" s="25" t="s">
        <v>6446</v>
      </c>
      <c r="AC888" s="10" t="str">
        <f>IFERROR(__xludf.DUMMYFUNCTION("GOOGLETRANSLATE(K888,""my"", ""en"")"),"Win March")</f>
        <v>Win March</v>
      </c>
      <c r="AD888" s="10" t="str">
        <f>IFERROR(__xludf.DUMMYFUNCTION("GOOGLETRANSLATE(L888,""my"", ""en"")"),"S level  -shaped members   Pop Party")</f>
        <v>S level  -shaped members   Pop Party</v>
      </c>
      <c r="AE888" s="10" t="str">
        <f>IFERROR(__xludf.DUMMYFUNCTION("GOOGLETRANSLATE(M888,""my"", ""en"")"),"535")</f>
        <v>535</v>
      </c>
      <c r="AF888" s="10" t="str">
        <f>IFERROR(__xludf.DUMMYFUNCTION("GOOGLETRANSLATE(N888,""my"", ""en"")"),"282")</f>
        <v>282</v>
      </c>
      <c r="AG888" s="10" t="str">
        <f>IFERROR(__xludf.DUMMYFUNCTION("GOOGLETRANSLATE(O888,""my"", ""en"")"),"817")</f>
        <v>817</v>
      </c>
      <c r="AH888" s="10" t="str">
        <f>IFERROR(__xludf.DUMMYFUNCTION("GOOGLETRANSLATE(P888,""my"", ""en"")"),"0.75%")</f>
        <v>0.75%</v>
      </c>
    </row>
    <row r="889" ht="24.0" customHeight="1">
      <c r="A889" s="28" t="s">
        <v>6447</v>
      </c>
      <c r="B889" s="17" t="s">
        <v>6448</v>
      </c>
      <c r="C889" s="18" t="s">
        <v>6449</v>
      </c>
      <c r="D889" s="18" t="s">
        <v>6450</v>
      </c>
      <c r="E889" s="18" t="s">
        <v>6451</v>
      </c>
      <c r="F889" s="18" t="s">
        <v>6452</v>
      </c>
      <c r="G889" s="18" t="s">
        <v>6453</v>
      </c>
      <c r="H889" s="18" t="s">
        <v>6454</v>
      </c>
      <c r="I889" s="18" t="s">
        <v>6455</v>
      </c>
      <c r="J889" s="18" t="s">
        <v>6456</v>
      </c>
      <c r="K889" s="27"/>
      <c r="L889" s="27"/>
      <c r="M889" s="18" t="s">
        <v>6457</v>
      </c>
      <c r="N889" s="18" t="s">
        <v>6458</v>
      </c>
      <c r="O889" s="18" t="s">
        <v>6459</v>
      </c>
      <c r="P889" s="27"/>
      <c r="S889" s="10" t="str">
        <f>IFERROR(__xludf.DUMMYFUNCTION("GOOGLETRANSLATE(A889,""my"", ""en"")"),"147")</f>
        <v>147</v>
      </c>
      <c r="T889" s="10" t="str">
        <f>IFERROR(__xludf.DUMMYFUNCTION("GOOGLETRANSLATE(B889,""my"", ""en"")"),"မဲဆ  No. (10)")</f>
        <v>မဲဆ  No. (10)</v>
      </c>
      <c r="U889" s="10" t="str">
        <f>IFERROR(__xludf.DUMMYFUNCTION("GOOGLETRANSLATE(C889,""my"", ""en"")"),"322038")</f>
        <v>322038</v>
      </c>
      <c r="V889" s="10" t="str">
        <f>IFERROR(__xludf.DUMMYFUNCTION("GOOGLETRANSLATE(D889,""my"", ""en"")"),"213296")</f>
        <v>213296</v>
      </c>
      <c r="W889" s="10" t="str">
        <f>IFERROR(__xludf.DUMMYFUNCTION("GOOGLETRANSLATE(E889,""my"", ""en"")"),"41091")</f>
        <v>41091</v>
      </c>
      <c r="X889" s="10" t="str">
        <f>IFERROR(__xludf.DUMMYFUNCTION("GOOGLETRANSLATE(F889,""my"", ""en"")"),"254387")</f>
        <v>254387</v>
      </c>
      <c r="Y889" s="10" t="str">
        <f>IFERROR(__xludf.DUMMYFUNCTION("GOOGLETRANSLATE(G889,""my"", ""en"")"),"78.99")</f>
        <v>78.99</v>
      </c>
      <c r="Z889" s="10" t="str">
        <f>IFERROR(__xludf.DUMMYFUNCTION("GOOGLETRANSLATE(H889,""my"", ""en"")"),"18430")</f>
        <v>18430</v>
      </c>
      <c r="AA889" s="10" t="str">
        <f>IFERROR(__xludf.DUMMYFUNCTION("GOOGLETRANSLATE(I889,""my"", ""en"")"),"840")</f>
        <v>840</v>
      </c>
      <c r="AB889" s="10" t="str">
        <f>IFERROR(__xludf.DUMMYFUNCTION("GOOGLETRANSLATE(J889,""my"", ""en"")"),"19270")</f>
        <v>19270</v>
      </c>
      <c r="AE889" s="10" t="str">
        <f>IFERROR(__xludf.DUMMYFUNCTION("GOOGLETRANSLATE(M889,""my"", ""en"")"),"195479")</f>
        <v>195479</v>
      </c>
      <c r="AF889" s="10" t="str">
        <f>IFERROR(__xludf.DUMMYFUNCTION("GOOGLETRANSLATE(N889,""my"", ""en"")"),"39638")</f>
        <v>39638</v>
      </c>
      <c r="AG889" s="10" t="str">
        <f>IFERROR(__xludf.DUMMYFUNCTION("GOOGLETRANSLATE(O889,""my"", ""en"")"),"235117")</f>
        <v>235117</v>
      </c>
    </row>
    <row r="890" ht="24.75" customHeigh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3" t="s">
        <v>6460</v>
      </c>
      <c r="L890" s="23" t="s">
        <v>6461</v>
      </c>
      <c r="M890" s="24" t="s">
        <v>6462</v>
      </c>
      <c r="N890" s="24" t="s">
        <v>6463</v>
      </c>
      <c r="O890" s="24" t="s">
        <v>6464</v>
      </c>
      <c r="P890" s="25" t="s">
        <v>6465</v>
      </c>
      <c r="AC890" s="10" t="str">
        <f>IFERROR(__xludf.DUMMYFUNCTION("GOOGLETRANSLATE(K890,""my"", ""en"")"),"Tax ေအာင် ေကျာ")</f>
        <v>Tax ေအာင် ေကျာ</v>
      </c>
      <c r="AD890" s="10" t="str">
        <f>IFERROR(__xludf.DUMMYFUNCTION("GOOGLETRANSLATE(L890,""my"", ""en"")"),"Pa -shaped members   Pop Party")</f>
        <v>Pa -shaped members   Pop Party</v>
      </c>
      <c r="AE890" s="10" t="str">
        <f>IFERROR(__xludf.DUMMYFUNCTION("GOOGLETRANSLATE(M890,""my"", ""en"")"),"137578")</f>
        <v>137578</v>
      </c>
      <c r="AF890" s="10" t="str">
        <f>IFERROR(__xludf.DUMMYFUNCTION("GOOGLETRANSLATE(N890,""my"", ""en"")"),"25354")</f>
        <v>25354</v>
      </c>
      <c r="AG890" s="10" t="str">
        <f>IFERROR(__xludf.DUMMYFUNCTION("GOOGLETRANSLATE(O890,""my"", ""en"")"),"162932")</f>
        <v>162932</v>
      </c>
      <c r="AH890" s="10" t="str">
        <f>IFERROR(__xludf.DUMMYFUNCTION("GOOGLETRANSLATE(P890,""my"", ""en"")"),"69.30%")</f>
        <v>69.30%</v>
      </c>
    </row>
    <row r="891" ht="24.0" customHeigh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3" t="s">
        <v>6466</v>
      </c>
      <c r="L891" s="23" t="s">
        <v>6467</v>
      </c>
      <c r="M891" s="24" t="s">
        <v>6468</v>
      </c>
      <c r="N891" s="24" t="s">
        <v>6469</v>
      </c>
      <c r="O891" s="24" t="s">
        <v>6470</v>
      </c>
      <c r="P891" s="25" t="s">
        <v>6471</v>
      </c>
      <c r="AC891" s="10" t="str">
        <f>IFERROR(__xludf.DUMMYFUNCTION("GOOGLETRANSLATE(K891,""my"", ""en"")"),"ေဒ  draw")</f>
        <v>ေဒ  draw</v>
      </c>
      <c r="AD891" s="10" t="str">
        <f>IFERROR(__xludf.DUMMYFUNCTION("GOOGLETRANSLATE(L891,""my"", ""en"")")," Game Democracy group   Pop Party")</f>
        <v> Game Democracy group   Pop Party</v>
      </c>
      <c r="AE891" s="10" t="str">
        <f>IFERROR(__xludf.DUMMYFUNCTION("GOOGLETRANSLATE(M891,""my"", ""en"")"),"37146")</f>
        <v>37146</v>
      </c>
      <c r="AF891" s="10" t="str">
        <f>IFERROR(__xludf.DUMMYFUNCTION("GOOGLETRANSLATE(N891,""my"", ""en"")"),"9630")</f>
        <v>9630</v>
      </c>
      <c r="AG891" s="10" t="str">
        <f>IFERROR(__xludf.DUMMYFUNCTION("GOOGLETRANSLATE(O891,""my"", ""en"")"),"46776")</f>
        <v>46776</v>
      </c>
      <c r="AH891" s="10" t="str">
        <f>IFERROR(__xludf.DUMMYFUNCTION("GOOGLETRANSLATE(P891,""my"", ""en"")"),"19.89%")</f>
        <v>19.89%</v>
      </c>
    </row>
    <row r="892" ht="24.0" customHeigh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3" t="s">
        <v>6472</v>
      </c>
      <c r="L892" s="29" t="s">
        <v>6473</v>
      </c>
      <c r="M892" s="30" t="s">
        <v>6474</v>
      </c>
      <c r="N892" s="30" t="s">
        <v>6475</v>
      </c>
      <c r="O892" s="24" t="s">
        <v>6476</v>
      </c>
      <c r="P892" s="25" t="s">
        <v>6477</v>
      </c>
      <c r="AC892" s="10" t="str">
        <f>IFERROR(__xludf.DUMMYFUNCTION("GOOGLETRANSLATE(K892,""my"", ""en"")"),"Thiha Soe")</f>
        <v>Thiha Soe</v>
      </c>
      <c r="AD892" s="10" t="str">
        <f>IFERROR(__xludf.DUMMYFUNCTION("GOOGLETRANSLATE(L892,""my"", ""en"")"),"Local ေထာင် Pa  participants team   Pop Party")</f>
        <v>Local ေထာင် Pa  participants team   Pop Party</v>
      </c>
      <c r="AE892" s="10" t="str">
        <f>IFERROR(__xludf.DUMMYFUNCTION("GOOGLETRANSLATE(M892,""my"", ""en"")"),"16831")</f>
        <v>16831</v>
      </c>
      <c r="AF892" s="10" t="str">
        <f>IFERROR(__xludf.DUMMYFUNCTION("GOOGLETRANSLATE(N892,""my"", ""en"")"),"3616")</f>
        <v>3616</v>
      </c>
      <c r="AG892" s="10" t="str">
        <f>IFERROR(__xludf.DUMMYFUNCTION("GOOGLETRANSLATE(O892,""my"", ""en"")"),"20447")</f>
        <v>20447</v>
      </c>
      <c r="AH892" s="10" t="str">
        <f>IFERROR(__xludf.DUMMYFUNCTION("GOOGLETRANSLATE(P892,""my"", ""en"")"),"8.70%")</f>
        <v>8.70%</v>
      </c>
    </row>
    <row r="893" ht="24.0" customHeigh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3" t="s">
        <v>6478</v>
      </c>
      <c r="L893" s="23" t="s">
        <v>6479</v>
      </c>
      <c r="M893" s="24" t="s">
        <v>6480</v>
      </c>
      <c r="N893" s="24" t="s">
        <v>6481</v>
      </c>
      <c r="O893" s="24" t="s">
        <v>6482</v>
      </c>
      <c r="P893" s="25" t="s">
        <v>6483</v>
      </c>
      <c r="AC893" s="10" t="str">
        <f>IFERROR(__xludf.DUMMYFUNCTION("GOOGLETRANSLATE(K893,""my"", ""en"")"),"ေဒ  နန်းသူဇာ")</f>
        <v>ေဒ  နန်းသူဇာ</v>
      </c>
      <c r="AD893" s="10" t="str">
        <f>IFERROR(__xludf.DUMMYFUNCTION("GOOGLETRANSLATE(L893,""my"", ""en"")")," Game  Democratic Party political-Fi")</f>
        <v> Game  Democratic Party political-Fi</v>
      </c>
      <c r="AE893" s="10" t="str">
        <f>IFERROR(__xludf.DUMMYFUNCTION("GOOGLETRANSLATE(M893,""my"", ""en"")"),"3924")</f>
        <v>3924</v>
      </c>
      <c r="AF893" s="10" t="str">
        <f>IFERROR(__xludf.DUMMYFUNCTION("GOOGLETRANSLATE(N893,""my"", ""en"")"),"1038")</f>
        <v>1038</v>
      </c>
      <c r="AG893" s="10" t="str">
        <f>IFERROR(__xludf.DUMMYFUNCTION("GOOGLETRANSLATE(O893,""my"", ""en"")"),"4962")</f>
        <v>4962</v>
      </c>
      <c r="AH893" s="10" t="str">
        <f>IFERROR(__xludf.DUMMYFUNCTION("GOOGLETRANSLATE(P893,""my"", ""en"")"),"2.11%")</f>
        <v>2.11%</v>
      </c>
    </row>
    <row r="894" ht="24.0" customHeight="1">
      <c r="A894" s="28" t="s">
        <v>6484</v>
      </c>
      <c r="B894" s="17" t="s">
        <v>6485</v>
      </c>
      <c r="C894" s="18" t="s">
        <v>6486</v>
      </c>
      <c r="D894" s="18" t="s">
        <v>6487</v>
      </c>
      <c r="E894" s="18" t="s">
        <v>6488</v>
      </c>
      <c r="F894" s="18" t="s">
        <v>6489</v>
      </c>
      <c r="G894" s="18" t="s">
        <v>6490</v>
      </c>
      <c r="H894" s="18" t="s">
        <v>6491</v>
      </c>
      <c r="I894" s="18" t="s">
        <v>6492</v>
      </c>
      <c r="J894" s="18" t="s">
        <v>6493</v>
      </c>
      <c r="K894" s="27"/>
      <c r="L894" s="27"/>
      <c r="M894" s="18" t="s">
        <v>6494</v>
      </c>
      <c r="N894" s="18" t="s">
        <v>6495</v>
      </c>
      <c r="O894" s="18" t="s">
        <v>6496</v>
      </c>
      <c r="P894" s="27"/>
      <c r="S894" s="10" t="str">
        <f>IFERROR(__xludf.DUMMYFUNCTION("GOOGLETRANSLATE(A894,""my"", ""en"")"),"148")</f>
        <v>148</v>
      </c>
      <c r="T894" s="10" t="str">
        <f>IFERROR(__xludf.DUMMYFUNCTION("GOOGLETRANSLATE(B894,""my"", ""en"")"),"မဲဆ  No. (11)")</f>
        <v>မဲဆ  No. (11)</v>
      </c>
      <c r="U894" s="10" t="str">
        <f>IFERROR(__xludf.DUMMYFUNCTION("GOOGLETRANSLATE(C894,""my"", ""en"")"),"34225")</f>
        <v>34225</v>
      </c>
      <c r="V894" s="10" t="str">
        <f>IFERROR(__xludf.DUMMYFUNCTION("GOOGLETRANSLATE(D894,""my"", ""en"")"),"18292")</f>
        <v>18292</v>
      </c>
      <c r="W894" s="10" t="str">
        <f>IFERROR(__xludf.DUMMYFUNCTION("GOOGLETRANSLATE(E894,""my"", ""en"")"),"5221")</f>
        <v>5221</v>
      </c>
      <c r="X894" s="10" t="str">
        <f>IFERROR(__xludf.DUMMYFUNCTION("GOOGLETRANSLATE(F894,""my"", ""en"")"),"23513")</f>
        <v>23513</v>
      </c>
      <c r="Y894" s="10" t="str">
        <f>IFERROR(__xludf.DUMMYFUNCTION("GOOGLETRANSLATE(G894,""my"", ""en"")"),"68.70")</f>
        <v>68.70</v>
      </c>
      <c r="Z894" s="10" t="str">
        <f>IFERROR(__xludf.DUMMYFUNCTION("GOOGLETRANSLATE(H894,""my"", ""en"")"),"2103")</f>
        <v>2103</v>
      </c>
      <c r="AA894" s="10" t="str">
        <f>IFERROR(__xludf.DUMMYFUNCTION("GOOGLETRANSLATE(I894,""my"", ""en"")"),"21")</f>
        <v>21</v>
      </c>
      <c r="AB894" s="10" t="str">
        <f>IFERROR(__xludf.DUMMYFUNCTION("GOOGLETRANSLATE(J894,""my"", ""en"")"),"2124")</f>
        <v>2124</v>
      </c>
      <c r="AE894" s="10" t="str">
        <f>IFERROR(__xludf.DUMMYFUNCTION("GOOGLETRANSLATE(M894,""my"", ""en"")"),"16514")</f>
        <v>16514</v>
      </c>
      <c r="AF894" s="10" t="str">
        <f>IFERROR(__xludf.DUMMYFUNCTION("GOOGLETRANSLATE(N894,""my"", ""en"")"),"4875")</f>
        <v>4875</v>
      </c>
      <c r="AG894" s="10" t="str">
        <f>IFERROR(__xludf.DUMMYFUNCTION("GOOGLETRANSLATE(O894,""my"", ""en"")"),"21389")</f>
        <v>21389</v>
      </c>
    </row>
    <row r="895" ht="24.0" customHeigh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3" t="s">
        <v>6497</v>
      </c>
      <c r="L895" s="23" t="s">
        <v>6498</v>
      </c>
      <c r="M895" s="24" t="s">
        <v>6499</v>
      </c>
      <c r="N895" s="24" t="s">
        <v>6500</v>
      </c>
      <c r="O895" s="24" t="s">
        <v>6501</v>
      </c>
      <c r="P895" s="25" t="s">
        <v>6502</v>
      </c>
      <c r="AC895" s="10" t="str">
        <f>IFERROR(__xludf.DUMMYFUNCTION("GOOGLETRANSLATE(K895,""my"", ""en"")"),"Evening Aik")</f>
        <v>Evening Aik</v>
      </c>
      <c r="AD895" s="10" t="str">
        <f>IFERROR(__xludf.DUMMYFUNCTION("GOOGLETRANSLATE(L895,""my"", ""en"")"),"Local ေထာင် soap-stone strong ေရး  under development  Phil  ေရး Party")</f>
        <v>Local ေထာင် soap-stone strong ေရး  under development  Phil  ေရး Party</v>
      </c>
      <c r="AE895" s="10" t="str">
        <f>IFERROR(__xludf.DUMMYFUNCTION("GOOGLETRANSLATE(M895,""my"", ""en"")"),"8752")</f>
        <v>8752</v>
      </c>
      <c r="AF895" s="10" t="str">
        <f>IFERROR(__xludf.DUMMYFUNCTION("GOOGLETRANSLATE(N895,""my"", ""en"")"),"2332")</f>
        <v>2332</v>
      </c>
      <c r="AG895" s="10" t="str">
        <f>IFERROR(__xludf.DUMMYFUNCTION("GOOGLETRANSLATE(O895,""my"", ""en"")"),"11084")</f>
        <v>11084</v>
      </c>
      <c r="AH895" s="10" t="str">
        <f>IFERROR(__xludf.DUMMYFUNCTION("GOOGLETRANSLATE(P895,""my"", ""en"")"),"51.82%")</f>
        <v>51.82%</v>
      </c>
    </row>
    <row r="896" ht="24.0" customHeigh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3" t="s">
        <v>6503</v>
      </c>
      <c r="L896" s="23" t="s">
        <v>6504</v>
      </c>
      <c r="M896" s="24" t="s">
        <v>6505</v>
      </c>
      <c r="N896" s="24" t="s">
        <v>6506</v>
      </c>
      <c r="O896" s="24" t="s">
        <v>6507</v>
      </c>
      <c r="P896" s="25" t="s">
        <v>6508</v>
      </c>
      <c r="AC896" s="10" t="str">
        <f>IFERROR(__xludf.DUMMYFUNCTION("GOOGLETRANSLATE(K896,""my"", ""en"")"),"Evening ေပါင်း")</f>
        <v>Evening ေပါင်း</v>
      </c>
      <c r="AD896" s="10" t="str">
        <f>IFERROR(__xludf.DUMMYFUNCTION("GOOGLETRANSLATE(L896,""my"", ""en"")"),"Wa  Game Party")</f>
        <v>Wa  Game Party</v>
      </c>
      <c r="AE896" s="10" t="str">
        <f>IFERROR(__xludf.DUMMYFUNCTION("GOOGLETRANSLATE(M896,""my"", ""en"")"),"5091")</f>
        <v>5091</v>
      </c>
      <c r="AF896" s="10" t="str">
        <f>IFERROR(__xludf.DUMMYFUNCTION("GOOGLETRANSLATE(N896,""my"", ""en"")"),"1612")</f>
        <v>1612</v>
      </c>
      <c r="AG896" s="10" t="str">
        <f>IFERROR(__xludf.DUMMYFUNCTION("GOOGLETRANSLATE(O896,""my"", ""en"")"),"6703")</f>
        <v>6703</v>
      </c>
      <c r="AH896" s="10" t="str">
        <f>IFERROR(__xludf.DUMMYFUNCTION("GOOGLETRANSLATE(P896,""my"", ""en"")"),"31.34%")</f>
        <v>31.34%</v>
      </c>
    </row>
    <row r="897" ht="24.75" customHeigh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3" t="s">
        <v>6509</v>
      </c>
      <c r="L897" s="23" t="s">
        <v>6510</v>
      </c>
      <c r="M897" s="24" t="s">
        <v>6511</v>
      </c>
      <c r="N897" s="24" t="s">
        <v>6512</v>
      </c>
      <c r="O897" s="24" t="s">
        <v>6513</v>
      </c>
      <c r="P897" s="25" t="s">
        <v>6514</v>
      </c>
      <c r="AC897" s="10" t="str">
        <f>IFERROR(__xludf.DUMMYFUNCTION("GOOGLETRANSLATE(K897,""my"", ""en"")"),"Sai ")</f>
        <v>Sai </v>
      </c>
      <c r="AD897" s="10" t="str">
        <f>IFERROR(__xludf.DUMMYFUNCTION("GOOGLETRANSLATE(L897,""my"", ""en"")")," Game Democracy group   Pop Party")</f>
        <v> Game Democracy group   Pop Party</v>
      </c>
      <c r="AE897" s="10" t="str">
        <f>IFERROR(__xludf.DUMMYFUNCTION("GOOGLETRANSLATE(M897,""my"", ""en"")"),"2671")</f>
        <v>2671</v>
      </c>
      <c r="AF897" s="10" t="str">
        <f>IFERROR(__xludf.DUMMYFUNCTION("GOOGLETRANSLATE(N897,""my"", ""en"")"),"931")</f>
        <v>931</v>
      </c>
      <c r="AG897" s="10" t="str">
        <f>IFERROR(__xludf.DUMMYFUNCTION("GOOGLETRANSLATE(O897,""my"", ""en"")"),"3602")</f>
        <v>3602</v>
      </c>
      <c r="AH897" s="10" t="str">
        <f>IFERROR(__xludf.DUMMYFUNCTION("GOOGLETRANSLATE(P897,""my"", ""en"")"),"16.84%")</f>
        <v>16.84%</v>
      </c>
    </row>
    <row r="898" ht="24.0" customHeight="1">
      <c r="A898" s="28" t="s">
        <v>6515</v>
      </c>
      <c r="B898" s="17" t="s">
        <v>6516</v>
      </c>
      <c r="C898" s="18" t="s">
        <v>6517</v>
      </c>
      <c r="D898" s="18" t="s">
        <v>6518</v>
      </c>
      <c r="E898" s="18" t="s">
        <v>6519</v>
      </c>
      <c r="F898" s="18" t="s">
        <v>6520</v>
      </c>
      <c r="G898" s="18" t="s">
        <v>6521</v>
      </c>
      <c r="H898" s="18" t="s">
        <v>6522</v>
      </c>
      <c r="I898" s="18" t="s">
        <v>6523</v>
      </c>
      <c r="J898" s="18" t="s">
        <v>6524</v>
      </c>
      <c r="K898" s="27"/>
      <c r="L898" s="27"/>
      <c r="M898" s="18" t="s">
        <v>6525</v>
      </c>
      <c r="N898" s="18" t="s">
        <v>6526</v>
      </c>
      <c r="O898" s="18" t="s">
        <v>6527</v>
      </c>
      <c r="P898" s="27"/>
      <c r="S898" s="10" t="str">
        <f>IFERROR(__xludf.DUMMYFUNCTION("GOOGLETRANSLATE(A898,""my"", ""en"")"),"149")</f>
        <v>149</v>
      </c>
      <c r="T898" s="10" t="str">
        <f>IFERROR(__xludf.DUMMYFUNCTION("GOOGLETRANSLATE(B898,""my"", ""en"")"),"မဲဆ  No. (12)")</f>
        <v>မဲဆ  No. (12)</v>
      </c>
      <c r="U898" s="10" t="str">
        <f>IFERROR(__xludf.DUMMYFUNCTION("GOOGLETRANSLATE(C898,""my"", ""en"")"),"83663")</f>
        <v>83663</v>
      </c>
      <c r="V898" s="10" t="str">
        <f>IFERROR(__xludf.DUMMYFUNCTION("GOOGLETRANSLATE(D898,""my"", ""en"")"),"21517")</f>
        <v>21517</v>
      </c>
      <c r="W898" s="10" t="str">
        <f>IFERROR(__xludf.DUMMYFUNCTION("GOOGLETRANSLATE(E898,""my"", ""en"")"),"6889")</f>
        <v>6889</v>
      </c>
      <c r="X898" s="10" t="str">
        <f>IFERROR(__xludf.DUMMYFUNCTION("GOOGLETRANSLATE(F898,""my"", ""en"")"),"28406")</f>
        <v>28406</v>
      </c>
      <c r="Y898" s="10" t="str">
        <f>IFERROR(__xludf.DUMMYFUNCTION("GOOGLETRANSLATE(G898,""my"", ""en"")"),"33.95")</f>
        <v>33.95</v>
      </c>
      <c r="Z898" s="10" t="str">
        <f>IFERROR(__xludf.DUMMYFUNCTION("GOOGLETRANSLATE(H898,""my"", ""en"")"),"3047")</f>
        <v>3047</v>
      </c>
      <c r="AA898" s="10" t="str">
        <f>IFERROR(__xludf.DUMMYFUNCTION("GOOGLETRANSLATE(I898,""my"", ""en"")"),"64")</f>
        <v>64</v>
      </c>
      <c r="AB898" s="10" t="str">
        <f>IFERROR(__xludf.DUMMYFUNCTION("GOOGLETRANSLATE(J898,""my"", ""en"")"),"3111")</f>
        <v>3111</v>
      </c>
      <c r="AE898" s="10" t="str">
        <f>IFERROR(__xludf.DUMMYFUNCTION("GOOGLETRANSLATE(M898,""my"", ""en"")"),"18432")</f>
        <v>18432</v>
      </c>
      <c r="AF898" s="10" t="str">
        <f>IFERROR(__xludf.DUMMYFUNCTION("GOOGLETRANSLATE(N898,""my"", ""en"")"),"6863")</f>
        <v>6863</v>
      </c>
      <c r="AG898" s="10" t="str">
        <f>IFERROR(__xludf.DUMMYFUNCTION("GOOGLETRANSLATE(O898,""my"", ""en"")"),"25295")</f>
        <v>25295</v>
      </c>
    </row>
    <row r="899" ht="24.0" customHeigh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3" t="s">
        <v>6528</v>
      </c>
      <c r="L899" s="23" t="s">
        <v>6529</v>
      </c>
      <c r="M899" s="24" t="s">
        <v>6530</v>
      </c>
      <c r="N899" s="24" t="s">
        <v>6531</v>
      </c>
      <c r="O899" s="13" t="s">
        <v>6532</v>
      </c>
      <c r="P899" s="25" t="s">
        <v>6533</v>
      </c>
      <c r="AC899" s="10" t="str">
        <f>IFERROR(__xludf.DUMMYFUNCTION("GOOGLETRANSLATE(K899,""my"", ""en"")"),"ေအာင် Than Htut")</f>
        <v>ေအာင် Than Htut</v>
      </c>
      <c r="AD899" s="10" t="str">
        <f>IFERROR(__xludf.DUMMYFUNCTION("GOOGLETRANSLATE(L899,""my"", ""en"")"),"Local ေထာင် soap-stone strong ေရး  under development  Phil  ေရး Party")</f>
        <v>Local ေထာင် soap-stone strong ေရး  under development  Phil  ေရး Party</v>
      </c>
      <c r="AE899" s="10" t="str">
        <f>IFERROR(__xludf.DUMMYFUNCTION("GOOGLETRANSLATE(M899,""my"", ""en"")"),"16417")</f>
        <v>16417</v>
      </c>
      <c r="AF899" s="10" t="str">
        <f>IFERROR(__xludf.DUMMYFUNCTION("GOOGLETRANSLATE(N899,""my"", ""en"")"),"6568")</f>
        <v>6568</v>
      </c>
      <c r="AG899" s="10" t="str">
        <f>IFERROR(__xludf.DUMMYFUNCTION("GOOGLETRANSLATE(O899,""my"", ""en"")"),"22985")</f>
        <v>22985</v>
      </c>
      <c r="AH899" s="10" t="str">
        <f>IFERROR(__xludf.DUMMYFUNCTION("GOOGLETRANSLATE(P899,""my"", ""en"")"),"90.87%")</f>
        <v>90.87%</v>
      </c>
    </row>
    <row r="900" ht="24.0" customHeigh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3" t="s">
        <v>6534</v>
      </c>
      <c r="L900" s="23" t="s">
        <v>6535</v>
      </c>
      <c r="M900" s="24" t="s">
        <v>6536</v>
      </c>
      <c r="N900" s="24" t="s">
        <v>6537</v>
      </c>
      <c r="O900" s="13" t="s">
        <v>6538</v>
      </c>
      <c r="P900" s="25" t="s">
        <v>6539</v>
      </c>
      <c r="AC900" s="10" t="str">
        <f>IFERROR(__xludf.DUMMYFUNCTION("GOOGLETRANSLATE(K900,""my"", ""en"")"),"ေကျာ")</f>
        <v>ေကျာ</v>
      </c>
      <c r="AD900" s="10" t="str">
        <f>IFERROR(__xludf.DUMMYFUNCTION("GOOGLETRANSLATE(L900,""my"", ""en"")"),"Shan Local nine Democratic")</f>
        <v>Shan Local nine Democratic</v>
      </c>
      <c r="AE900" s="10" t="str">
        <f>IFERROR(__xludf.DUMMYFUNCTION("GOOGLETRANSLATE(M900,""my"", ""en"")"),"2015")</f>
        <v>2015</v>
      </c>
      <c r="AF900" s="10" t="str">
        <f>IFERROR(__xludf.DUMMYFUNCTION("GOOGLETRANSLATE(N900,""my"", ""en"")"),"295")</f>
        <v>295</v>
      </c>
      <c r="AG900" s="10" t="str">
        <f>IFERROR(__xludf.DUMMYFUNCTION("GOOGLETRANSLATE(O900,""my"", ""en"")"),"2310")</f>
        <v>2310</v>
      </c>
      <c r="AH900" s="10" t="str">
        <f>IFERROR(__xludf.DUMMYFUNCTION("GOOGLETRANSLATE(P900,""my"", ""en"")"),"9.13%")</f>
        <v>9.13%</v>
      </c>
    </row>
    <row r="901" ht="24.0" customHeight="1">
      <c r="A901" s="14"/>
      <c r="B901" s="15" t="s">
        <v>6540</v>
      </c>
      <c r="C901" s="16" t="s">
        <v>6541</v>
      </c>
      <c r="D901" s="16" t="s">
        <v>6542</v>
      </c>
      <c r="E901" s="16" t="s">
        <v>6543</v>
      </c>
      <c r="F901" s="16" t="s">
        <v>6544</v>
      </c>
      <c r="G901" s="16" t="s">
        <v>6545</v>
      </c>
      <c r="H901" s="16" t="s">
        <v>6546</v>
      </c>
      <c r="I901" s="16" t="s">
        <v>6547</v>
      </c>
      <c r="J901" s="16" t="s">
        <v>6548</v>
      </c>
      <c r="K901" s="14"/>
      <c r="L901" s="14"/>
      <c r="M901" s="16" t="s">
        <v>6549</v>
      </c>
      <c r="N901" s="16" t="s">
        <v>6550</v>
      </c>
      <c r="O901" s="16" t="s">
        <v>6551</v>
      </c>
      <c r="P901" s="14"/>
      <c r="T901" s="10" t="str">
        <f>IFERROR(__xludf.DUMMYFUNCTION("GOOGLETRANSLATE(B901,""my"", ""en"")"),"The divisional ေဒ  Key")</f>
        <v>The divisional ေဒ  Key</v>
      </c>
      <c r="U901" s="10" t="str">
        <f>IFERROR(__xludf.DUMMYFUNCTION("GOOGLETRANSLATE(C901,""my"", ""en"")"),"4681152")</f>
        <v>4681152</v>
      </c>
      <c r="V901" s="10" t="str">
        <f>IFERROR(__xludf.DUMMYFUNCTION("GOOGLETRANSLATE(D901,""my"", ""en"")"),"2741893")</f>
        <v>2741893</v>
      </c>
      <c r="W901" s="10" t="str">
        <f>IFERROR(__xludf.DUMMYFUNCTION("GOOGLETRANSLATE(E901,""my"", ""en"")"),"802396")</f>
        <v>802396</v>
      </c>
      <c r="X901" s="10" t="str">
        <f>IFERROR(__xludf.DUMMYFUNCTION("GOOGLETRANSLATE(F901,""my"", ""en"")"),"3544289")</f>
        <v>3544289</v>
      </c>
      <c r="Y901" s="10" t="str">
        <f>IFERROR(__xludf.DUMMYFUNCTION("GOOGLETRANSLATE(G901,""my"", ""en"")"),"75.71")</f>
        <v>75.71</v>
      </c>
      <c r="Z901" s="10" t="str">
        <f>IFERROR(__xludf.DUMMYFUNCTION("GOOGLETRANSLATE(H901,""my"", ""en"")"),"88824")</f>
        <v>88824</v>
      </c>
      <c r="AA901" s="10" t="str">
        <f>IFERROR(__xludf.DUMMYFUNCTION("GOOGLETRANSLATE(I901,""my"", ""en"")"),"2025")</f>
        <v>2025</v>
      </c>
      <c r="AB901" s="10" t="str">
        <f>IFERROR(__xludf.DUMMYFUNCTION("GOOGLETRANSLATE(J901,""my"", ""en"")"),"90849")</f>
        <v>90849</v>
      </c>
      <c r="AE901" s="10" t="str">
        <f>IFERROR(__xludf.DUMMYFUNCTION("GOOGLETRANSLATE(M901,""my"", ""en"")"),"2658277")</f>
        <v>2658277</v>
      </c>
      <c r="AF901" s="10" t="str">
        <f>IFERROR(__xludf.DUMMYFUNCTION("GOOGLETRANSLATE(N901,""my"", ""en"")"),"795163")</f>
        <v>795163</v>
      </c>
      <c r="AG901" s="10" t="str">
        <f>IFERROR(__xludf.DUMMYFUNCTION("GOOGLETRANSLATE(O901,""my"", ""en"")"),"3453440")</f>
        <v>3453440</v>
      </c>
    </row>
    <row r="902" ht="24.0" customHeight="1">
      <c r="A902" s="28" t="s">
        <v>6552</v>
      </c>
      <c r="B902" s="17" t="s">
        <v>6553</v>
      </c>
      <c r="C902" s="18" t="s">
        <v>6554</v>
      </c>
      <c r="D902" s="18" t="s">
        <v>6555</v>
      </c>
      <c r="E902" s="18" t="s">
        <v>6556</v>
      </c>
      <c r="F902" s="18" t="s">
        <v>6557</v>
      </c>
      <c r="G902" s="18" t="s">
        <v>6558</v>
      </c>
      <c r="H902" s="18" t="s">
        <v>6559</v>
      </c>
      <c r="I902" s="18" t="s">
        <v>6560</v>
      </c>
      <c r="J902" s="18" t="s">
        <v>6561</v>
      </c>
      <c r="K902" s="27"/>
      <c r="L902" s="27"/>
      <c r="M902" s="18" t="s">
        <v>6562</v>
      </c>
      <c r="N902" s="18" t="s">
        <v>6563</v>
      </c>
      <c r="O902" s="18" t="s">
        <v>6564</v>
      </c>
      <c r="P902" s="27"/>
      <c r="S902" s="10" t="str">
        <f>IFERROR(__xludf.DUMMYFUNCTION("GOOGLETRANSLATE(A902,""my"", ""en"")"),"150")</f>
        <v>150</v>
      </c>
      <c r="T902" s="10" t="str">
        <f>IFERROR(__xludf.DUMMYFUNCTION("GOOGLETRANSLATE(B902,""my"", ""en"")"),"မဲဆ  No. (1)")</f>
        <v>မဲဆ  No. (1)</v>
      </c>
      <c r="U902" s="10" t="str">
        <f>IFERROR(__xludf.DUMMYFUNCTION("GOOGLETRANSLATE(C902,""my"", ""en"")"),"380788")</f>
        <v>380788</v>
      </c>
      <c r="V902" s="10" t="str">
        <f>IFERROR(__xludf.DUMMYFUNCTION("GOOGLETRANSLATE(D902,""my"", ""en"")"),"238375")</f>
        <v>238375</v>
      </c>
      <c r="W902" s="10" t="str">
        <f>IFERROR(__xludf.DUMMYFUNCTION("GOOGLETRANSLATE(E902,""my"", ""en"")"),"66259")</f>
        <v>66259</v>
      </c>
      <c r="X902" s="10" t="str">
        <f>IFERROR(__xludf.DUMMYFUNCTION("GOOGLETRANSLATE(F902,""my"", ""en"")"),"304634")</f>
        <v>304634</v>
      </c>
      <c r="Y902" s="10" t="str">
        <f>IFERROR(__xludf.DUMMYFUNCTION("GOOGLETRANSLATE(G902,""my"", ""en"")"),"80.00")</f>
        <v>80.00</v>
      </c>
      <c r="Z902" s="10" t="str">
        <f>IFERROR(__xludf.DUMMYFUNCTION("GOOGLETRANSLATE(H902,""my"", ""en"")"),"8105")</f>
        <v>8105</v>
      </c>
      <c r="AA902" s="10" t="str">
        <f>IFERROR(__xludf.DUMMYFUNCTION("GOOGLETRANSLATE(I902,""my"", ""en"")"),"452")</f>
        <v>452</v>
      </c>
      <c r="AB902" s="10" t="str">
        <f>IFERROR(__xludf.DUMMYFUNCTION("GOOGLETRANSLATE(J902,""my"", ""en"")"),"8557")</f>
        <v>8557</v>
      </c>
      <c r="AE902" s="10" t="str">
        <f>IFERROR(__xludf.DUMMYFUNCTION("GOOGLETRANSLATE(M902,""my"", ""en"")"),"230852")</f>
        <v>230852</v>
      </c>
      <c r="AF902" s="10" t="str">
        <f>IFERROR(__xludf.DUMMYFUNCTION("GOOGLETRANSLATE(N902,""my"", ""en"")"),"65225")</f>
        <v>65225</v>
      </c>
      <c r="AG902" s="10" t="str">
        <f>IFERROR(__xludf.DUMMYFUNCTION("GOOGLETRANSLATE(O902,""my"", ""en"")"),"296077")</f>
        <v>296077</v>
      </c>
    </row>
    <row r="903" ht="24.0" customHeigh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3" t="s">
        <v>6565</v>
      </c>
      <c r="L903" s="23" t="s">
        <v>6566</v>
      </c>
      <c r="M903" s="24" t="s">
        <v>6567</v>
      </c>
      <c r="N903" s="24" t="s">
        <v>6568</v>
      </c>
      <c r="O903" s="24" t="s">
        <v>6569</v>
      </c>
      <c r="P903" s="25" t="s">
        <v>6570</v>
      </c>
      <c r="AC903" s="10" t="str">
        <f>IFERROR(__xludf.DUMMYFUNCTION("GOOGLETRANSLATE(K903,""my"", ""en"")"),"ေအာင် ေကျာ rain")</f>
        <v>ေအာင် ေကျာ rain</v>
      </c>
      <c r="AD903" s="10" t="str">
        <f>IFERROR(__xludf.DUMMYFUNCTION("GOOGLETRANSLATE(L903,""my"", ""en"")")," Game Democracy group   Pop Party")</f>
        <v> Game Democracy group   Pop Party</v>
      </c>
      <c r="AE903" s="10" t="str">
        <f>IFERROR(__xludf.DUMMYFUNCTION("GOOGLETRANSLATE(M903,""my"", ""en"")"),"136978")</f>
        <v>136978</v>
      </c>
      <c r="AF903" s="10" t="str">
        <f>IFERROR(__xludf.DUMMYFUNCTION("GOOGLETRANSLATE(N903,""my"", ""en"")"),"37197")</f>
        <v>37197</v>
      </c>
      <c r="AG903" s="10" t="str">
        <f>IFERROR(__xludf.DUMMYFUNCTION("GOOGLETRANSLATE(O903,""my"", ""en"")"),"174175")</f>
        <v>174175</v>
      </c>
      <c r="AH903" s="10" t="str">
        <f>IFERROR(__xludf.DUMMYFUNCTION("GOOGLETRANSLATE(P903,""my"", ""en"")"),"58.83%")</f>
        <v>58.83%</v>
      </c>
    </row>
    <row r="904" ht="24.0" customHeigh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3" t="s">
        <v>6571</v>
      </c>
      <c r="L904" s="23" t="s">
        <v>6572</v>
      </c>
      <c r="M904" s="24" t="s">
        <v>6573</v>
      </c>
      <c r="N904" s="24" t="s">
        <v>6574</v>
      </c>
      <c r="O904" s="24" t="s">
        <v>6575</v>
      </c>
      <c r="P904" s="25" t="s">
        <v>6576</v>
      </c>
      <c r="AC904" s="10" t="str">
        <f>IFERROR(__xludf.DUMMYFUNCTION("GOOGLETRANSLATE(K904,""my"", ""en"")"),"Soe Win")</f>
        <v>Soe Win</v>
      </c>
      <c r="AD904" s="10" t="str">
        <f>IFERROR(__xludf.DUMMYFUNCTION("GOOGLETRANSLATE(L904,""my"", ""en"")"),"Local ေထာင် soap-stone strong ေရး  under development  Phil  ေရး Party")</f>
        <v>Local ေထာင် soap-stone strong ေရး  under development  Phil  ေရး Party</v>
      </c>
      <c r="AE904" s="10" t="str">
        <f>IFERROR(__xludf.DUMMYFUNCTION("GOOGLETRANSLATE(M904,""my"", ""en"")"),"86992")</f>
        <v>86992</v>
      </c>
      <c r="AF904" s="10" t="str">
        <f>IFERROR(__xludf.DUMMYFUNCTION("GOOGLETRANSLATE(N904,""my"", ""en"")"),"25794")</f>
        <v>25794</v>
      </c>
      <c r="AG904" s="10" t="str">
        <f>IFERROR(__xludf.DUMMYFUNCTION("GOOGLETRANSLATE(O904,""my"", ""en"")"),"112786")</f>
        <v>112786</v>
      </c>
      <c r="AH904" s="10" t="str">
        <f>IFERROR(__xludf.DUMMYFUNCTION("GOOGLETRANSLATE(P904,""my"", ""en"")"),"38.09%")</f>
        <v>38.09%</v>
      </c>
    </row>
    <row r="905" ht="24.0" customHeigh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3" t="s">
        <v>6577</v>
      </c>
      <c r="L905" s="23" t="s">
        <v>6578</v>
      </c>
      <c r="M905" s="24" t="s">
        <v>6579</v>
      </c>
      <c r="N905" s="24" t="s">
        <v>6580</v>
      </c>
      <c r="O905" s="24" t="s">
        <v>6581</v>
      </c>
      <c r="P905" s="25" t="s">
        <v>6582</v>
      </c>
      <c r="AC905" s="10" t="str">
        <f>IFERROR(__xludf.DUMMYFUNCTION("GOOGLETRANSLATE(K905,""my"", ""en"")"),"ေအာင် Denver newspaper")</f>
        <v>ေအာင် Denver newspaper</v>
      </c>
      <c r="AD905" s="10" t="str">
        <f>IFERROR(__xludf.DUMMYFUNCTION("GOOGLETRANSLATE(L905,""my"", ""en"")"),"Local ေထာင် စုေ white  Game ေဆာင် Party")</f>
        <v>Local ေထာင် စုေ white  Game ေဆာင် Party</v>
      </c>
      <c r="AE905" s="10" t="str">
        <f>IFERROR(__xludf.DUMMYFUNCTION("GOOGLETRANSLATE(M905,""my"", ""en"")"),"6882")</f>
        <v>6882</v>
      </c>
      <c r="AF905" s="10" t="str">
        <f>IFERROR(__xludf.DUMMYFUNCTION("GOOGLETRANSLATE(N905,""my"", ""en"")"),"2234")</f>
        <v>2234</v>
      </c>
      <c r="AG905" s="10" t="str">
        <f>IFERROR(__xludf.DUMMYFUNCTION("GOOGLETRANSLATE(O905,""my"", ""en"")"),"9116")</f>
        <v>9116</v>
      </c>
      <c r="AH905" s="10" t="str">
        <f>IFERROR(__xludf.DUMMYFUNCTION("GOOGLETRANSLATE(P905,""my"", ""en"")"),"3.08%")</f>
        <v>3.08%</v>
      </c>
    </row>
    <row r="906" ht="24.75" customHeight="1">
      <c r="A906" s="28" t="s">
        <v>6583</v>
      </c>
      <c r="B906" s="17" t="s">
        <v>6584</v>
      </c>
      <c r="C906" s="18" t="s">
        <v>6585</v>
      </c>
      <c r="D906" s="17" t="s">
        <v>6586</v>
      </c>
      <c r="E906" s="18" t="s">
        <v>6587</v>
      </c>
      <c r="F906" s="17" t="s">
        <v>6588</v>
      </c>
      <c r="G906" s="18" t="s">
        <v>6589</v>
      </c>
      <c r="H906" s="18" t="s">
        <v>6590</v>
      </c>
      <c r="I906" s="18" t="s">
        <v>6591</v>
      </c>
      <c r="J906" s="18" t="s">
        <v>6592</v>
      </c>
      <c r="K906" s="27"/>
      <c r="L906" s="27"/>
      <c r="M906" s="18" t="s">
        <v>6593</v>
      </c>
      <c r="N906" s="18" t="s">
        <v>6594</v>
      </c>
      <c r="O906" s="18" t="s">
        <v>6595</v>
      </c>
      <c r="P906" s="27"/>
      <c r="S906" s="10" t="str">
        <f>IFERROR(__xludf.DUMMYFUNCTION("GOOGLETRANSLATE(A906,""my"", ""en"")"),"151")</f>
        <v>151</v>
      </c>
      <c r="T906" s="10" t="str">
        <f>IFERROR(__xludf.DUMMYFUNCTION("GOOGLETRANSLATE(B906,""my"", ""en"")"),"မဲဆ  No. (2)")</f>
        <v>မဲဆ  No. (2)</v>
      </c>
      <c r="U906" s="10" t="str">
        <f>IFERROR(__xludf.DUMMYFUNCTION("GOOGLETRANSLATE(C906,""my"", ""en"")"),"347968")</f>
        <v>347968</v>
      </c>
      <c r="V906" s="10" t="str">
        <f>IFERROR(__xludf.DUMMYFUNCTION("GOOGLETRANSLATE(D906,""my"", ""en"")"),"195809")</f>
        <v>195809</v>
      </c>
      <c r="W906" s="10" t="str">
        <f>IFERROR(__xludf.DUMMYFUNCTION("GOOGLETRANSLATE(E906,""my"", ""en"")"),"70694")</f>
        <v>70694</v>
      </c>
      <c r="X906" s="10" t="str">
        <f>IFERROR(__xludf.DUMMYFUNCTION("GOOGLETRANSLATE(F906,""my"", ""en"")"),"266503")</f>
        <v>266503</v>
      </c>
      <c r="Y906" s="10" t="str">
        <f>IFERROR(__xludf.DUMMYFUNCTION("GOOGLETRANSLATE(G906,""my"", ""en"")"),"76.59")</f>
        <v>76.59</v>
      </c>
      <c r="Z906" s="10" t="str">
        <f>IFERROR(__xludf.DUMMYFUNCTION("GOOGLETRANSLATE(H906,""my"", ""en"")"),"6077")</f>
        <v>6077</v>
      </c>
      <c r="AA906" s="10" t="str">
        <f>IFERROR(__xludf.DUMMYFUNCTION("GOOGLETRANSLATE(I906,""my"", ""en"")"),"466")</f>
        <v>466</v>
      </c>
      <c r="AB906" s="10" t="str">
        <f>IFERROR(__xludf.DUMMYFUNCTION("GOOGLETRANSLATE(J906,""my"", ""en"")"),"6543")</f>
        <v>6543</v>
      </c>
      <c r="AE906" s="10" t="str">
        <f>IFERROR(__xludf.DUMMYFUNCTION("GOOGLETRANSLATE(M906,""my"", ""en"")"),"190217")</f>
        <v>190217</v>
      </c>
      <c r="AF906" s="10" t="str">
        <f>IFERROR(__xludf.DUMMYFUNCTION("GOOGLETRANSLATE(N906,""my"", ""en"")"),"69743")</f>
        <v>69743</v>
      </c>
      <c r="AG906" s="10" t="str">
        <f>IFERROR(__xludf.DUMMYFUNCTION("GOOGLETRANSLATE(O906,""my"", ""en"")"),"259960")</f>
        <v>259960</v>
      </c>
    </row>
    <row r="907" ht="24.75" customHeigh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3" t="s">
        <v>6596</v>
      </c>
      <c r="L907" s="23" t="s">
        <v>6597</v>
      </c>
      <c r="M907" s="24" t="s">
        <v>6598</v>
      </c>
      <c r="N907" s="24" t="s">
        <v>6599</v>
      </c>
      <c r="O907" s="24" t="s">
        <v>6600</v>
      </c>
      <c r="P907" s="25" t="s">
        <v>6601</v>
      </c>
      <c r="AC907" s="10" t="str">
        <f>IFERROR(__xludf.DUMMYFUNCTION("GOOGLETRANSLATE(K907,""my"", ""en"")"),"ေဂျာ")</f>
        <v>ေဂျာ</v>
      </c>
      <c r="AD907" s="10" t="str">
        <f>IFERROR(__xludf.DUMMYFUNCTION("GOOGLETRANSLATE(L907,""my"", ""en"")")," Game Democracy group   Pop Party")</f>
        <v> Game Democracy group   Pop Party</v>
      </c>
      <c r="AE907" s="10" t="str">
        <f>IFERROR(__xludf.DUMMYFUNCTION("GOOGLETRANSLATE(M907,""my"", ""en"")"),"135035")</f>
        <v>135035</v>
      </c>
      <c r="AF907" s="10" t="str">
        <f>IFERROR(__xludf.DUMMYFUNCTION("GOOGLETRANSLATE(N907,""my"", ""en"")"),"47992")</f>
        <v>47992</v>
      </c>
      <c r="AG907" s="10" t="str">
        <f>IFERROR(__xludf.DUMMYFUNCTION("GOOGLETRANSLATE(O907,""my"", ""en"")"),"183027")</f>
        <v>183027</v>
      </c>
      <c r="AH907" s="10" t="str">
        <f>IFERROR(__xludf.DUMMYFUNCTION("GOOGLETRANSLATE(P907,""my"", ""en"")"),"70.41%")</f>
        <v>70.41%</v>
      </c>
    </row>
    <row r="908" ht="24.0" customHeigh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3" t="s">
        <v>6602</v>
      </c>
      <c r="L908" s="23" t="s">
        <v>6603</v>
      </c>
      <c r="M908" s="24" t="s">
        <v>6604</v>
      </c>
      <c r="N908" s="24" t="s">
        <v>6605</v>
      </c>
      <c r="O908" s="24" t="s">
        <v>6606</v>
      </c>
      <c r="P908" s="25" t="s">
        <v>6607</v>
      </c>
      <c r="AC908" s="10" t="str">
        <f>IFERROR(__xludf.DUMMYFUNCTION("GOOGLETRANSLATE(K908,""my"", ""en"")"),"ေကျာ ေကျာ")</f>
        <v>ေကျာ ေကျာ</v>
      </c>
      <c r="AD908" s="10" t="str">
        <f>IFERROR(__xludf.DUMMYFUNCTION("GOOGLETRANSLATE(L908,""my"", ""en"")"),"Local ေထာင် soap-stone strong ေရး  under development  Phil  ေရး Party")</f>
        <v>Local ေထာင် soap-stone strong ေရး  under development  Phil  ေရး Party</v>
      </c>
      <c r="AE908" s="10" t="str">
        <f>IFERROR(__xludf.DUMMYFUNCTION("GOOGLETRANSLATE(M908,""my"", ""en"")"),"52307")</f>
        <v>52307</v>
      </c>
      <c r="AF908" s="10" t="str">
        <f>IFERROR(__xludf.DUMMYFUNCTION("GOOGLETRANSLATE(N908,""my"", ""en"")"),"20267")</f>
        <v>20267</v>
      </c>
      <c r="AG908" s="10" t="str">
        <f>IFERROR(__xludf.DUMMYFUNCTION("GOOGLETRANSLATE(O908,""my"", ""en"")"),"72574")</f>
        <v>72574</v>
      </c>
      <c r="AH908" s="10" t="str">
        <f>IFERROR(__xludf.DUMMYFUNCTION("GOOGLETRANSLATE(P908,""my"", ""en"")"),"27.92%")</f>
        <v>27.92%</v>
      </c>
    </row>
    <row r="909" ht="36.75" customHeigh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3" t="s">
        <v>6608</v>
      </c>
      <c r="L909" s="22" t="s">
        <v>6609</v>
      </c>
      <c r="M909" s="24" t="s">
        <v>6610</v>
      </c>
      <c r="N909" s="24" t="s">
        <v>6611</v>
      </c>
      <c r="O909" s="24" t="s">
        <v>6612</v>
      </c>
      <c r="P909" s="31" t="s">
        <v>6613</v>
      </c>
      <c r="AC909" s="10" t="str">
        <f>IFERROR(__xludf.DUMMYFUNCTION("GOOGLETRANSLATE(K909,""my"", ""en"")")," million ကည်")</f>
        <v> million ကည်</v>
      </c>
      <c r="AD909" s="10" t="str">
        <f>IFERROR(__xludf.DUMMYFUNCTION("GOOGLETRANSLATE(L909,""my"", ""en"")"),"Burma  treated ငံေ တာင် farmer workers
ပည်သူ Party")</f>
        <v>Burma  treated ငံေ တာင် farmer workers
ပည်သူ Party</v>
      </c>
      <c r="AE909" s="10" t="str">
        <f>IFERROR(__xludf.DUMMYFUNCTION("GOOGLETRANSLATE(M909,""my"", ""en"")"),"1609")</f>
        <v>1609</v>
      </c>
      <c r="AF909" s="10" t="str">
        <f>IFERROR(__xludf.DUMMYFUNCTION("GOOGLETRANSLATE(N909,""my"", ""en"")"),"781")</f>
        <v>781</v>
      </c>
      <c r="AG909" s="10" t="str">
        <f>IFERROR(__xludf.DUMMYFUNCTION("GOOGLETRANSLATE(O909,""my"", ""en"")"),"2390")</f>
        <v>2390</v>
      </c>
      <c r="AH909" s="10" t="str">
        <f>IFERROR(__xludf.DUMMYFUNCTION("GOOGLETRANSLATE(P909,""my"", ""en"")"),"0.92%")</f>
        <v>0.92%</v>
      </c>
    </row>
    <row r="910" ht="37.5" customHeigh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3" t="s">
        <v>6614</v>
      </c>
      <c r="L910" s="32" t="s">
        <v>6615</v>
      </c>
      <c r="M910" s="33" t="s">
        <v>6616</v>
      </c>
      <c r="N910" s="33" t="s">
        <v>6617</v>
      </c>
      <c r="O910" s="33" t="s">
        <v>6618</v>
      </c>
      <c r="P910" s="31" t="s">
        <v>6619</v>
      </c>
      <c r="AC910" s="10" t="str">
        <f>IFERROR(__xludf.DUMMYFUNCTION("GOOGLETRANSLATE(K910,""my"", ""en"")"),"U Than Lwin, (b) U Thein ေဇာ (ေရ)")</f>
        <v>U Than Lwin, (b) U Thein ေဇာ (ေရ)</v>
      </c>
      <c r="AD910" s="10" t="str">
        <f>IFERROR(__xludf.DUMMYFUNCTION("GOOGLETRANSLATE(L910,""my"", ""en"")"),"Local ေထာင် စုေ white  Game ေဆာင် Party")</f>
        <v>Local ေထာင် စုေ white  Game ေဆာင် Party</v>
      </c>
      <c r="AE910" s="10" t="str">
        <f>IFERROR(__xludf.DUMMYFUNCTION("GOOGLETRANSLATE(M910,""my"", ""en"")"),"1266")</f>
        <v>1266</v>
      </c>
      <c r="AF910" s="10" t="str">
        <f>IFERROR(__xludf.DUMMYFUNCTION("GOOGLETRANSLATE(N910,""my"", ""en"")"),"703")</f>
        <v>703</v>
      </c>
      <c r="AG910" s="10" t="str">
        <f>IFERROR(__xludf.DUMMYFUNCTION("GOOGLETRANSLATE(O910,""my"", ""en"")"),"1969")</f>
        <v>1969</v>
      </c>
      <c r="AH910" s="10" t="str">
        <f>IFERROR(__xludf.DUMMYFUNCTION("GOOGLETRANSLATE(P910,""my"", ""en"")"),"0.75%")</f>
        <v>0.75%</v>
      </c>
    </row>
    <row r="911" ht="24.75" customHeight="1">
      <c r="A911" s="28" t="s">
        <v>6620</v>
      </c>
      <c r="B911" s="17" t="s">
        <v>6621</v>
      </c>
      <c r="C911" s="18" t="s">
        <v>6622</v>
      </c>
      <c r="D911" s="17" t="s">
        <v>6623</v>
      </c>
      <c r="E911" s="18" t="s">
        <v>6624</v>
      </c>
      <c r="F911" s="17" t="s">
        <v>6625</v>
      </c>
      <c r="G911" s="18" t="s">
        <v>6626</v>
      </c>
      <c r="H911" s="18" t="s">
        <v>6627</v>
      </c>
      <c r="I911" s="18" t="s">
        <v>6628</v>
      </c>
      <c r="J911" s="18" t="s">
        <v>6629</v>
      </c>
      <c r="K911" s="27"/>
      <c r="L911" s="27"/>
      <c r="M911" s="18" t="s">
        <v>6630</v>
      </c>
      <c r="N911" s="18" t="s">
        <v>6631</v>
      </c>
      <c r="O911" s="18" t="s">
        <v>6632</v>
      </c>
      <c r="P911" s="27"/>
      <c r="S911" s="10" t="str">
        <f>IFERROR(__xludf.DUMMYFUNCTION("GOOGLETRANSLATE(A911,""my"", ""en"")"),"152")</f>
        <v>152</v>
      </c>
      <c r="T911" s="10" t="str">
        <f>IFERROR(__xludf.DUMMYFUNCTION("GOOGLETRANSLATE(B911,""my"", ""en"")"),"မဲဆ  No. (3)")</f>
        <v>မဲဆ  No. (3)</v>
      </c>
      <c r="U911" s="10" t="str">
        <f>IFERROR(__xludf.DUMMYFUNCTION("GOOGLETRANSLATE(C911,""my"", ""en"")"),"513392")</f>
        <v>513392</v>
      </c>
      <c r="V911" s="10" t="str">
        <f>IFERROR(__xludf.DUMMYFUNCTION("GOOGLETRANSLATE(D911,""my"", ""en"")"),"289830")</f>
        <v>289830</v>
      </c>
      <c r="W911" s="10" t="str">
        <f>IFERROR(__xludf.DUMMYFUNCTION("GOOGLETRANSLATE(E911,""my"", ""en"")"),"85869")</f>
        <v>85869</v>
      </c>
      <c r="X911" s="10" t="str">
        <f>IFERROR(__xludf.DUMMYFUNCTION("GOOGLETRANSLATE(F911,""my"", ""en"")"),"375699")</f>
        <v>375699</v>
      </c>
      <c r="Y911" s="10" t="str">
        <f>IFERROR(__xludf.DUMMYFUNCTION("GOOGLETRANSLATE(G911,""my"", ""en"")"),"73.18")</f>
        <v>73.18</v>
      </c>
      <c r="Z911" s="10" t="str">
        <f>IFERROR(__xludf.DUMMYFUNCTION("GOOGLETRANSLATE(H911,""my"", ""en"")"),"9412")</f>
        <v>9412</v>
      </c>
      <c r="AA911" s="10" t="str">
        <f>IFERROR(__xludf.DUMMYFUNCTION("GOOGLETRANSLATE(I911,""my"", ""en"")"),"145")</f>
        <v>145</v>
      </c>
      <c r="AB911" s="10" t="str">
        <f>IFERROR(__xludf.DUMMYFUNCTION("GOOGLETRANSLATE(J911,""my"", ""en"")"),"9557")</f>
        <v>9557</v>
      </c>
      <c r="AE911" s="10" t="str">
        <f>IFERROR(__xludf.DUMMYFUNCTION("GOOGLETRANSLATE(M911,""my"", ""en"")"),"280306")</f>
        <v>280306</v>
      </c>
      <c r="AF911" s="10" t="str">
        <f>IFERROR(__xludf.DUMMYFUNCTION("GOOGLETRANSLATE(N911,""my"", ""en"")"),"85836")</f>
        <v>85836</v>
      </c>
      <c r="AG911" s="10" t="str">
        <f>IFERROR(__xludf.DUMMYFUNCTION("GOOGLETRANSLATE(O911,""my"", ""en"")"),"366142")</f>
        <v>366142</v>
      </c>
    </row>
    <row r="912" ht="25.5" customHeigh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3" t="s">
        <v>6633</v>
      </c>
      <c r="L912" s="23" t="s">
        <v>6634</v>
      </c>
      <c r="M912" s="24" t="s">
        <v>6635</v>
      </c>
      <c r="N912" s="24" t="s">
        <v>6636</v>
      </c>
      <c r="O912" s="24" t="s">
        <v>6637</v>
      </c>
      <c r="P912" s="25" t="s">
        <v>6638</v>
      </c>
      <c r="AC912" s="10" t="str">
        <f>IFERROR(__xludf.DUMMYFUNCTION("GOOGLETRANSLATE(K912,""my"", ""en"")"),"Tin Htut Lin")</f>
        <v>Tin Htut Lin</v>
      </c>
      <c r="AD912" s="10" t="str">
        <f>IFERROR(__xludf.DUMMYFUNCTION("GOOGLETRANSLATE(L912,""my"", ""en"")")," Game Democracy group   Pop Party")</f>
        <v> Game Democracy group   Pop Party</v>
      </c>
      <c r="AE912" s="10" t="str">
        <f>IFERROR(__xludf.DUMMYFUNCTION("GOOGLETRANSLATE(M912,""my"", ""en"")"),"183053")</f>
        <v>183053</v>
      </c>
      <c r="AF912" s="10" t="str">
        <f>IFERROR(__xludf.DUMMYFUNCTION("GOOGLETRANSLATE(N912,""my"", ""en"")"),"52915")</f>
        <v>52915</v>
      </c>
      <c r="AG912" s="10" t="str">
        <f>IFERROR(__xludf.DUMMYFUNCTION("GOOGLETRANSLATE(O912,""my"", ""en"")"),"235968")</f>
        <v>235968</v>
      </c>
      <c r="AH912" s="10" t="str">
        <f>IFERROR(__xludf.DUMMYFUNCTION("GOOGLETRANSLATE(P912,""my"", ""en"")"),"64.45%")</f>
        <v>64.45%</v>
      </c>
    </row>
    <row r="913" ht="24.75" customHeigh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3" t="s">
        <v>6639</v>
      </c>
      <c r="L913" s="23" t="s">
        <v>6640</v>
      </c>
      <c r="M913" s="24" t="s">
        <v>6641</v>
      </c>
      <c r="N913" s="24" t="s">
        <v>6642</v>
      </c>
      <c r="O913" s="24" t="s">
        <v>6643</v>
      </c>
      <c r="P913" s="25" t="s">
        <v>6644</v>
      </c>
      <c r="AC913" s="10" t="str">
        <f>IFERROR(__xludf.DUMMYFUNCTION("GOOGLETRANSLATE(K913,""my"", ""en"")"),"ေအာင် not lakh")</f>
        <v>ေအာင် not lakh</v>
      </c>
      <c r="AD913" s="10" t="str">
        <f>IFERROR(__xludf.DUMMYFUNCTION("GOOGLETRANSLATE(L913,""my"", ""en"")"),"Local ေထာင် soap-stone strong ေရး  under development  Phil  ေရး Party")</f>
        <v>Local ေထာင် soap-stone strong ေရး  under development  Phil  ေရး Party</v>
      </c>
      <c r="AE913" s="10" t="str">
        <f>IFERROR(__xludf.DUMMYFUNCTION("GOOGLETRANSLATE(M913,""my"", ""en"")"),"88800")</f>
        <v>88800</v>
      </c>
      <c r="AF913" s="10" t="str">
        <f>IFERROR(__xludf.DUMMYFUNCTION("GOOGLETRANSLATE(N913,""my"", ""en"")"),"30090")</f>
        <v>30090</v>
      </c>
      <c r="AG913" s="10" t="str">
        <f>IFERROR(__xludf.DUMMYFUNCTION("GOOGLETRANSLATE(O913,""my"", ""en"")"),"118890")</f>
        <v>118890</v>
      </c>
      <c r="AH913" s="10" t="str">
        <f>IFERROR(__xludf.DUMMYFUNCTION("GOOGLETRANSLATE(P913,""my"", ""en"")"),"32.47%")</f>
        <v>32.47%</v>
      </c>
    </row>
    <row r="914" ht="24.75" customHeigh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3" t="s">
        <v>6645</v>
      </c>
      <c r="L914" s="23" t="s">
        <v>6646</v>
      </c>
      <c r="M914" s="24" t="s">
        <v>6647</v>
      </c>
      <c r="N914" s="24" t="s">
        <v>6648</v>
      </c>
      <c r="O914" s="24" t="s">
        <v>6649</v>
      </c>
      <c r="P914" s="25" t="s">
        <v>6650</v>
      </c>
      <c r="AC914" s="10" t="str">
        <f>IFERROR(__xludf.DUMMYFUNCTION("GOOGLETRANSLATE(K914,""my"", ""en"")"),"ေအး Han")</f>
        <v>ေအး Han</v>
      </c>
      <c r="AD914" s="10" t="str">
        <f>IFERROR(__xludf.DUMMYFUNCTION("GOOGLETRANSLATE(L914,""my"", ""en"")"),"Local ေထာင် စုေ white  Game ေဆာင် Party")</f>
        <v>Local ေထာင် စုေ white  Game ေဆာင် Party</v>
      </c>
      <c r="AE914" s="10" t="str">
        <f>IFERROR(__xludf.DUMMYFUNCTION("GOOGLETRANSLATE(M914,""my"", ""en"")"),"5384")</f>
        <v>5384</v>
      </c>
      <c r="AF914" s="10" t="str">
        <f>IFERROR(__xludf.DUMMYFUNCTION("GOOGLETRANSLATE(N914,""my"", ""en"")"),"1813")</f>
        <v>1813</v>
      </c>
      <c r="AG914" s="10" t="str">
        <f>IFERROR(__xludf.DUMMYFUNCTION("GOOGLETRANSLATE(O914,""my"", ""en"")"),"7197")</f>
        <v>7197</v>
      </c>
      <c r="AH914" s="10" t="str">
        <f>IFERROR(__xludf.DUMMYFUNCTION("GOOGLETRANSLATE(P914,""my"", ""en"")"),"1.96%")</f>
        <v>1.96%</v>
      </c>
    </row>
    <row r="915" ht="24.75" customHeigh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3" t="s">
        <v>6651</v>
      </c>
      <c r="L915" s="23" t="s">
        <v>6652</v>
      </c>
      <c r="M915" s="24" t="s">
        <v>6653</v>
      </c>
      <c r="N915" s="24" t="s">
        <v>6654</v>
      </c>
      <c r="O915" s="24" t="s">
        <v>6655</v>
      </c>
      <c r="P915" s="25" t="s">
        <v>6656</v>
      </c>
      <c r="AC915" s="10" t="str">
        <f>IFERROR(__xludf.DUMMYFUNCTION("GOOGLETRANSLATE(K915,""my"", ""en"")"),"Mar Lin")</f>
        <v>Mar Lin</v>
      </c>
      <c r="AD915" s="10" t="str">
        <f>IFERROR(__xludf.DUMMYFUNCTION("GOOGLETRANSLATE(L915,""my"", ""en"")"),"ပည်သူ ေရှ  ေဆာင် Party")</f>
        <v>ပည်သူ ေရှ  ေဆာင် Party</v>
      </c>
      <c r="AE915" s="10" t="str">
        <f>IFERROR(__xludf.DUMMYFUNCTION("GOOGLETRANSLATE(M915,""my"", ""en"")"),"3069")</f>
        <v>3069</v>
      </c>
      <c r="AF915" s="10" t="str">
        <f>IFERROR(__xludf.DUMMYFUNCTION("GOOGLETRANSLATE(N915,""my"", ""en"")"),"1018")</f>
        <v>1018</v>
      </c>
      <c r="AG915" s="10" t="str">
        <f>IFERROR(__xludf.DUMMYFUNCTION("GOOGLETRANSLATE(O915,""my"", ""en"")"),"4087")</f>
        <v>4087</v>
      </c>
      <c r="AH915" s="10" t="str">
        <f>IFERROR(__xludf.DUMMYFUNCTION("GOOGLETRANSLATE(P915,""my"", ""en"")"),"1.12%")</f>
        <v>1.12%</v>
      </c>
    </row>
    <row r="916" ht="24.75" customHeight="1">
      <c r="A916" s="28" t="s">
        <v>6657</v>
      </c>
      <c r="B916" s="17" t="s">
        <v>6658</v>
      </c>
      <c r="C916" s="18" t="s">
        <v>6659</v>
      </c>
      <c r="D916" s="17" t="s">
        <v>6660</v>
      </c>
      <c r="E916" s="18" t="s">
        <v>6661</v>
      </c>
      <c r="F916" s="17" t="s">
        <v>6662</v>
      </c>
      <c r="G916" s="18" t="s">
        <v>6663</v>
      </c>
      <c r="H916" s="18" t="s">
        <v>6664</v>
      </c>
      <c r="I916" s="18" t="s">
        <v>6665</v>
      </c>
      <c r="J916" s="18" t="s">
        <v>6666</v>
      </c>
      <c r="K916" s="27"/>
      <c r="L916" s="27"/>
      <c r="M916" s="18" t="s">
        <v>6667</v>
      </c>
      <c r="N916" s="18" t="s">
        <v>6668</v>
      </c>
      <c r="O916" s="18" t="s">
        <v>6669</v>
      </c>
      <c r="P916" s="27"/>
      <c r="S916" s="10" t="str">
        <f>IFERROR(__xludf.DUMMYFUNCTION("GOOGLETRANSLATE(A916,""my"", ""en"")"),"153")</f>
        <v>153</v>
      </c>
      <c r="T916" s="10" t="str">
        <f>IFERROR(__xludf.DUMMYFUNCTION("GOOGLETRANSLATE(B916,""my"", ""en"")"),"မဲဆ  No. (4)")</f>
        <v>မဲဆ  No. (4)</v>
      </c>
      <c r="U916" s="10" t="str">
        <f>IFERROR(__xludf.DUMMYFUNCTION("GOOGLETRANSLATE(C916,""my"", ""en"")"),"353582")</f>
        <v>353582</v>
      </c>
      <c r="V916" s="10" t="str">
        <f>IFERROR(__xludf.DUMMYFUNCTION("GOOGLETRANSLATE(D916,""my"", ""en"")"),"210693")</f>
        <v>210693</v>
      </c>
      <c r="W916" s="10" t="str">
        <f>IFERROR(__xludf.DUMMYFUNCTION("GOOGLETRANSLATE(E916,""my"", ""en"")"),"50660")</f>
        <v>50660</v>
      </c>
      <c r="X916" s="10" t="str">
        <f>IFERROR(__xludf.DUMMYFUNCTION("GOOGLETRANSLATE(F916,""my"", ""en"")"),"261353")</f>
        <v>261353</v>
      </c>
      <c r="Y916" s="10" t="str">
        <f>IFERROR(__xludf.DUMMYFUNCTION("GOOGLETRANSLATE(G916,""my"", ""en"")"),"73.92")</f>
        <v>73.92</v>
      </c>
      <c r="Z916" s="10" t="str">
        <f>IFERROR(__xludf.DUMMYFUNCTION("GOOGLETRANSLATE(H916,""my"", ""en"")"),"6394")</f>
        <v>6394</v>
      </c>
      <c r="AA916" s="10" t="str">
        <f>IFERROR(__xludf.DUMMYFUNCTION("GOOGLETRANSLATE(I916,""my"", ""en"")"),"96")</f>
        <v>96</v>
      </c>
      <c r="AB916" s="10" t="str">
        <f>IFERROR(__xludf.DUMMYFUNCTION("GOOGLETRANSLATE(J916,""my"", ""en"")"),"6490")</f>
        <v>6490</v>
      </c>
      <c r="AE916" s="10" t="str">
        <f>IFERROR(__xludf.DUMMYFUNCTION("GOOGLETRANSLATE(M916,""my"", ""en"")"),"204648")</f>
        <v>204648</v>
      </c>
      <c r="AF916" s="10" t="str">
        <f>IFERROR(__xludf.DUMMYFUNCTION("GOOGLETRANSLATE(N916,""my"", ""en"")"),"50215")</f>
        <v>50215</v>
      </c>
      <c r="AG916" s="10" t="str">
        <f>IFERROR(__xludf.DUMMYFUNCTION("GOOGLETRANSLATE(O916,""my"", ""en"")"),"254863")</f>
        <v>254863</v>
      </c>
    </row>
    <row r="917" ht="25.5" customHeigh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3" t="s">
        <v>6670</v>
      </c>
      <c r="L917" s="23" t="s">
        <v>6671</v>
      </c>
      <c r="M917" s="24" t="s">
        <v>6672</v>
      </c>
      <c r="N917" s="24" t="s">
        <v>6673</v>
      </c>
      <c r="O917" s="24" t="s">
        <v>6674</v>
      </c>
      <c r="P917" s="25" t="s">
        <v>6675</v>
      </c>
      <c r="AC917" s="10" t="str">
        <f>IFERROR(__xludf.DUMMYFUNCTION("GOOGLETRANSLATE(K917,""my"", ""en"")"),"Data  million  ှဲ ")</f>
        <v>Data  million  ှဲ </v>
      </c>
      <c r="AD917" s="10" t="str">
        <f>IFERROR(__xludf.DUMMYFUNCTION("GOOGLETRANSLATE(L917,""my"", ""en"")")," Game Democracy group   Pop Party")</f>
        <v> Game Democracy group   Pop Party</v>
      </c>
      <c r="AE917" s="10" t="str">
        <f>IFERROR(__xludf.DUMMYFUNCTION("GOOGLETRANSLATE(M917,""my"", ""en"")"),"121476")</f>
        <v>121476</v>
      </c>
      <c r="AF917" s="10" t="str">
        <f>IFERROR(__xludf.DUMMYFUNCTION("GOOGLETRANSLATE(N917,""my"", ""en"")"),"29240")</f>
        <v>29240</v>
      </c>
      <c r="AG917" s="10" t="str">
        <f>IFERROR(__xludf.DUMMYFUNCTION("GOOGLETRANSLATE(O917,""my"", ""en"")"),"150716")</f>
        <v>150716</v>
      </c>
      <c r="AH917" s="10" t="str">
        <f>IFERROR(__xludf.DUMMYFUNCTION("GOOGLETRANSLATE(P917,""my"", ""en"")"),"59.14%")</f>
        <v>59.14%</v>
      </c>
    </row>
    <row r="918" ht="24.75" customHeigh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3" t="s">
        <v>6676</v>
      </c>
      <c r="L918" s="23" t="s">
        <v>6677</v>
      </c>
      <c r="M918" s="24" t="s">
        <v>6678</v>
      </c>
      <c r="N918" s="24" t="s">
        <v>6679</v>
      </c>
      <c r="O918" s="24" t="s">
        <v>6680</v>
      </c>
      <c r="P918" s="25" t="s">
        <v>6681</v>
      </c>
      <c r="AC918" s="10" t="str">
        <f>IFERROR(__xludf.DUMMYFUNCTION("GOOGLETRANSLATE(K918,""my"", ""en"")"),"San ေမာင်")</f>
        <v>San ေမာင်</v>
      </c>
      <c r="AD918" s="10" t="str">
        <f>IFERROR(__xludf.DUMMYFUNCTION("GOOGLETRANSLATE(L918,""my"", ""en"")"),"Local ေထာင် soap-stone strong ေရး  under development  Phil  ေရး Party")</f>
        <v>Local ေထာင် soap-stone strong ေရး  under development  Phil  ေရး Party</v>
      </c>
      <c r="AE918" s="10" t="str">
        <f>IFERROR(__xludf.DUMMYFUNCTION("GOOGLETRANSLATE(M918,""my"", ""en"")"),"80808")</f>
        <v>80808</v>
      </c>
      <c r="AF918" s="10" t="str">
        <f>IFERROR(__xludf.DUMMYFUNCTION("GOOGLETRANSLATE(N918,""my"", ""en"")"),"20120")</f>
        <v>20120</v>
      </c>
      <c r="AG918" s="10" t="str">
        <f>IFERROR(__xludf.DUMMYFUNCTION("GOOGLETRANSLATE(O918,""my"", ""en"")"),"100928")</f>
        <v>100928</v>
      </c>
      <c r="AH918" s="10" t="str">
        <f>IFERROR(__xludf.DUMMYFUNCTION("GOOGLETRANSLATE(P918,""my"", ""en"")"),"39.60%")</f>
        <v>39.60%</v>
      </c>
    </row>
    <row r="919" ht="24.75" customHeigh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3" t="s">
        <v>6682</v>
      </c>
      <c r="L919" s="23" t="s">
        <v>6683</v>
      </c>
      <c r="M919" s="24" t="s">
        <v>6684</v>
      </c>
      <c r="N919" s="24" t="s">
        <v>6685</v>
      </c>
      <c r="O919" s="24" t="s">
        <v>6686</v>
      </c>
      <c r="P919" s="25" t="s">
        <v>6687</v>
      </c>
      <c r="AC919" s="10" t="str">
        <f>IFERROR(__xludf.DUMMYFUNCTION("GOOGLETRANSLATE(K919,""my"", ""en"")"),"Via ေကျာ")</f>
        <v>Via ေကျာ</v>
      </c>
      <c r="AD919" s="10" t="str">
        <f>IFERROR(__xludf.DUMMYFUNCTION("GOOGLETRANSLATE(L919,""my"", ""en"")"),"Local ေထာင် စုေ white  Game ေဆာင် Party")</f>
        <v>Local ေထာင် စုေ white  Game ေဆာင် Party</v>
      </c>
      <c r="AE919" s="10" t="str">
        <f>IFERROR(__xludf.DUMMYFUNCTION("GOOGLETRANSLATE(M919,""my"", ""en"")"),"2364")</f>
        <v>2364</v>
      </c>
      <c r="AF919" s="10" t="str">
        <f>IFERROR(__xludf.DUMMYFUNCTION("GOOGLETRANSLATE(N919,""my"", ""en"")"),"855")</f>
        <v>855</v>
      </c>
      <c r="AG919" s="10" t="str">
        <f>IFERROR(__xludf.DUMMYFUNCTION("GOOGLETRANSLATE(O919,""my"", ""en"")"),"3219")</f>
        <v>3219</v>
      </c>
      <c r="AH919" s="10" t="str">
        <f>IFERROR(__xludf.DUMMYFUNCTION("GOOGLETRANSLATE(P919,""my"", ""en"")"),"1.26%")</f>
        <v>1.26%</v>
      </c>
    </row>
    <row r="920" ht="24.75" customHeight="1">
      <c r="A920" s="28" t="s">
        <v>6688</v>
      </c>
      <c r="B920" s="17" t="s">
        <v>6689</v>
      </c>
      <c r="C920" s="18" t="s">
        <v>6690</v>
      </c>
      <c r="D920" s="17" t="s">
        <v>6691</v>
      </c>
      <c r="E920" s="18" t="s">
        <v>6692</v>
      </c>
      <c r="F920" s="17" t="s">
        <v>6693</v>
      </c>
      <c r="G920" s="18" t="s">
        <v>6694</v>
      </c>
      <c r="H920" s="18" t="s">
        <v>6695</v>
      </c>
      <c r="I920" s="18" t="s">
        <v>6696</v>
      </c>
      <c r="J920" s="18" t="s">
        <v>6697</v>
      </c>
      <c r="K920" s="27"/>
      <c r="L920" s="27"/>
      <c r="M920" s="18" t="s">
        <v>6698</v>
      </c>
      <c r="N920" s="18" t="s">
        <v>6699</v>
      </c>
      <c r="O920" s="18" t="s">
        <v>6700</v>
      </c>
      <c r="P920" s="27"/>
      <c r="S920" s="10" t="str">
        <f>IFERROR(__xludf.DUMMYFUNCTION("GOOGLETRANSLATE(A920,""my"", ""en"")"),"154")</f>
        <v>154</v>
      </c>
      <c r="T920" s="10" t="str">
        <f>IFERROR(__xludf.DUMMYFUNCTION("GOOGLETRANSLATE(B920,""my"", ""en"")"),"မဲဆ  (5 points)")</f>
        <v>မဲဆ  (5 points)</v>
      </c>
      <c r="U920" s="10" t="str">
        <f>IFERROR(__xludf.DUMMYFUNCTION("GOOGLETRANSLATE(C920,""my"", ""en"")"),"367324")</f>
        <v>367324</v>
      </c>
      <c r="V920" s="10" t="str">
        <f>IFERROR(__xludf.DUMMYFUNCTION("GOOGLETRANSLATE(D920,""my"", ""en"")"),"202716")</f>
        <v>202716</v>
      </c>
      <c r="W920" s="10" t="str">
        <f>IFERROR(__xludf.DUMMYFUNCTION("GOOGLETRANSLATE(E920,""my"", ""en"")"),"54709")</f>
        <v>54709</v>
      </c>
      <c r="X920" s="10" t="str">
        <f>IFERROR(__xludf.DUMMYFUNCTION("GOOGLETRANSLATE(F920,""my"", ""en"")"),"257425")</f>
        <v>257425</v>
      </c>
      <c r="Y920" s="10" t="str">
        <f>IFERROR(__xludf.DUMMYFUNCTION("GOOGLETRANSLATE(G920,""my"", ""en"")"),"70.08")</f>
        <v>70.08</v>
      </c>
      <c r="Z920" s="10" t="str">
        <f>IFERROR(__xludf.DUMMYFUNCTION("GOOGLETRANSLATE(H920,""my"", ""en"")"),"6878")</f>
        <v>6878</v>
      </c>
      <c r="AA920" s="10" t="str">
        <f>IFERROR(__xludf.DUMMYFUNCTION("GOOGLETRANSLATE(I920,""my"", ""en"")"),"115")</f>
        <v>115</v>
      </c>
      <c r="AB920" s="10" t="str">
        <f>IFERROR(__xludf.DUMMYFUNCTION("GOOGLETRANSLATE(J920,""my"", ""en"")"),"6993")</f>
        <v>6993</v>
      </c>
      <c r="AE920" s="10" t="str">
        <f>IFERROR(__xludf.DUMMYFUNCTION("GOOGLETRANSLATE(M920,""my"", ""en"")"),"196119")</f>
        <v>196119</v>
      </c>
      <c r="AF920" s="10" t="str">
        <f>IFERROR(__xludf.DUMMYFUNCTION("GOOGLETRANSLATE(N920,""my"", ""en"")"),"54313")</f>
        <v>54313</v>
      </c>
      <c r="AG920" s="10" t="str">
        <f>IFERROR(__xludf.DUMMYFUNCTION("GOOGLETRANSLATE(O920,""my"", ""en"")"),"250432")</f>
        <v>250432</v>
      </c>
    </row>
    <row r="921" ht="24.75" customHeigh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3" t="s">
        <v>6701</v>
      </c>
      <c r="L921" s="23" t="s">
        <v>6702</v>
      </c>
      <c r="M921" s="24" t="s">
        <v>6703</v>
      </c>
      <c r="N921" s="24" t="s">
        <v>6704</v>
      </c>
      <c r="O921" s="24" t="s">
        <v>6705</v>
      </c>
      <c r="P921" s="25" t="s">
        <v>6706</v>
      </c>
      <c r="AC921" s="10" t="str">
        <f>IFERROR(__xludf.DUMMYFUNCTION("GOOGLETRANSLATE(K921,""my"", ""en"")"),"ေဆာင် million")</f>
        <v>ေဆာင် million</v>
      </c>
      <c r="AD921" s="10" t="str">
        <f>IFERROR(__xludf.DUMMYFUNCTION("GOOGLETRANSLATE(L921,""my"", ""en"")")," Game Democracy group   Pop Party")</f>
        <v> Game Democracy group   Pop Party</v>
      </c>
      <c r="AE921" s="10" t="str">
        <f>IFERROR(__xludf.DUMMYFUNCTION("GOOGLETRANSLATE(M921,""my"", ""en"")"),"131292")</f>
        <v>131292</v>
      </c>
      <c r="AF921" s="10" t="str">
        <f>IFERROR(__xludf.DUMMYFUNCTION("GOOGLETRANSLATE(N921,""my"", ""en"")"),"34505")</f>
        <v>34505</v>
      </c>
      <c r="AG921" s="10" t="str">
        <f>IFERROR(__xludf.DUMMYFUNCTION("GOOGLETRANSLATE(O921,""my"", ""en"")"),"165797")</f>
        <v>165797</v>
      </c>
      <c r="AH921" s="10" t="str">
        <f>IFERROR(__xludf.DUMMYFUNCTION("GOOGLETRANSLATE(P921,""my"", ""en"")"),"66.21%")</f>
        <v>66.21%</v>
      </c>
    </row>
    <row r="922" ht="36.75" customHeigh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2" t="s">
        <v>6707</v>
      </c>
      <c r="L922" s="23" t="s">
        <v>6708</v>
      </c>
      <c r="M922" s="24" t="s">
        <v>6709</v>
      </c>
      <c r="N922" s="24" t="s">
        <v>6710</v>
      </c>
      <c r="O922" s="24" t="s">
        <v>6711</v>
      </c>
      <c r="P922" s="31" t="s">
        <v>6712</v>
      </c>
      <c r="AC922" s="10" t="str">
        <f>IFERROR(__xludf.DUMMYFUNCTION("GOOGLETRANSLATE(K922,""my"", ""en"")"),"Palm ေဒါက် March March
(B) palm ေဘ")</f>
        <v>Palm ေဒါက် March March
(B) palm ေဘ</v>
      </c>
      <c r="AD922" s="10" t="str">
        <f>IFERROR(__xludf.DUMMYFUNCTION("GOOGLETRANSLATE(L922,""my"", ""en"")"),"Local ေထာင် soap-stone strong ေရး  under development  Phil  ေရး Party")</f>
        <v>Local ေထာင် soap-stone strong ေရး  under development  Phil  ေရး Party</v>
      </c>
      <c r="AE922" s="10" t="str">
        <f>IFERROR(__xludf.DUMMYFUNCTION("GOOGLETRANSLATE(M922,""my"", ""en"")"),"62854")</f>
        <v>62854</v>
      </c>
      <c r="AF922" s="10" t="str">
        <f>IFERROR(__xludf.DUMMYFUNCTION("GOOGLETRANSLATE(N922,""my"", ""en"")"),"19167")</f>
        <v>19167</v>
      </c>
      <c r="AG922" s="10" t="str">
        <f>IFERROR(__xludf.DUMMYFUNCTION("GOOGLETRANSLATE(O922,""my"", ""en"")"),"82021")</f>
        <v>82021</v>
      </c>
      <c r="AH922" s="10" t="str">
        <f>IFERROR(__xludf.DUMMYFUNCTION("GOOGLETRANSLATE(P922,""my"", ""en"")"),"32.75%")</f>
        <v>32.75%</v>
      </c>
    </row>
    <row r="923" ht="25.5" customHeigh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3" t="s">
        <v>6713</v>
      </c>
      <c r="L923" s="23" t="s">
        <v>6714</v>
      </c>
      <c r="M923" s="24" t="s">
        <v>6715</v>
      </c>
      <c r="N923" s="24" t="s">
        <v>6716</v>
      </c>
      <c r="O923" s="24" t="s">
        <v>6717</v>
      </c>
      <c r="P923" s="25" t="s">
        <v>6718</v>
      </c>
      <c r="AC923" s="10" t="str">
        <f>IFERROR(__xludf.DUMMYFUNCTION("GOOGLETRANSLATE(K923,""my"", ""en"")"),"  Game ေအာင်")</f>
        <v>  Game ေအာင်</v>
      </c>
      <c r="AD923" s="10" t="str">
        <f>IFERROR(__xludf.DUMMYFUNCTION("GOOGLETRANSLATE(L923,""my"", ""en"")"),"Local ေထာင် စုေ white  Game ေဆာင် Party")</f>
        <v>Local ေထာင် စုေ white  Game ေဆာင် Party</v>
      </c>
      <c r="AE923" s="10" t="str">
        <f>IFERROR(__xludf.DUMMYFUNCTION("GOOGLETRANSLATE(M923,""my"", ""en"")"),"1973")</f>
        <v>1973</v>
      </c>
      <c r="AF923" s="10" t="str">
        <f>IFERROR(__xludf.DUMMYFUNCTION("GOOGLETRANSLATE(N923,""my"", ""en"")"),"641")</f>
        <v>641</v>
      </c>
      <c r="AG923" s="10" t="str">
        <f>IFERROR(__xludf.DUMMYFUNCTION("GOOGLETRANSLATE(O923,""my"", ""en"")"),"2614")</f>
        <v>2614</v>
      </c>
      <c r="AH923" s="10" t="str">
        <f>IFERROR(__xludf.DUMMYFUNCTION("GOOGLETRANSLATE(P923,""my"", ""en"")"),"1.04%")</f>
        <v>1.04%</v>
      </c>
    </row>
    <row r="924" ht="24.75" customHeight="1">
      <c r="A924" s="28" t="s">
        <v>6719</v>
      </c>
      <c r="B924" s="17" t="s">
        <v>6720</v>
      </c>
      <c r="C924" s="18" t="s">
        <v>6721</v>
      </c>
      <c r="D924" s="18" t="s">
        <v>6722</v>
      </c>
      <c r="E924" s="18" t="s">
        <v>6723</v>
      </c>
      <c r="F924" s="17" t="s">
        <v>6724</v>
      </c>
      <c r="G924" s="18" t="s">
        <v>6725</v>
      </c>
      <c r="H924" s="18" t="s">
        <v>6726</v>
      </c>
      <c r="I924" s="18" t="s">
        <v>6727</v>
      </c>
      <c r="J924" s="18" t="s">
        <v>6728</v>
      </c>
      <c r="K924" s="27"/>
      <c r="L924" s="27"/>
      <c r="M924" s="18" t="s">
        <v>6729</v>
      </c>
      <c r="N924" s="18" t="s">
        <v>6730</v>
      </c>
      <c r="O924" s="18" t="s">
        <v>6731</v>
      </c>
      <c r="P924" s="27"/>
      <c r="S924" s="10" t="str">
        <f>IFERROR(__xludf.DUMMYFUNCTION("GOOGLETRANSLATE(A924,""my"", ""en"")"),"155")</f>
        <v>155</v>
      </c>
      <c r="T924" s="10" t="str">
        <f>IFERROR(__xludf.DUMMYFUNCTION("GOOGLETRANSLATE(B924,""my"", ""en"")"),"မဲဆ  No. (6)")</f>
        <v>မဲဆ  No. (6)</v>
      </c>
      <c r="U924" s="10" t="str">
        <f>IFERROR(__xludf.DUMMYFUNCTION("GOOGLETRANSLATE(C924,""my"", ""en"")"),"418012")</f>
        <v>418012</v>
      </c>
      <c r="V924" s="10" t="str">
        <f>IFERROR(__xludf.DUMMYFUNCTION("GOOGLETRANSLATE(D924,""my"", ""en"")"),"253836")</f>
        <v>253836</v>
      </c>
      <c r="W924" s="10" t="str">
        <f>IFERROR(__xludf.DUMMYFUNCTION("GOOGLETRANSLATE(E924,""my"", ""en"")"),"67431")</f>
        <v>67431</v>
      </c>
      <c r="X924" s="10" t="str">
        <f>IFERROR(__xludf.DUMMYFUNCTION("GOOGLETRANSLATE(F924,""my"", ""en"")"),"321267")</f>
        <v>321267</v>
      </c>
      <c r="Y924" s="10" t="str">
        <f>IFERROR(__xludf.DUMMYFUNCTION("GOOGLETRANSLATE(G924,""my"", ""en"")"),"76.86")</f>
        <v>76.86</v>
      </c>
      <c r="Z924" s="10" t="str">
        <f>IFERROR(__xludf.DUMMYFUNCTION("GOOGLETRANSLATE(H924,""my"", ""en"")"),"6233")</f>
        <v>6233</v>
      </c>
      <c r="AA924" s="10" t="str">
        <f>IFERROR(__xludf.DUMMYFUNCTION("GOOGLETRANSLATE(I924,""my"", ""en"")"),"182")</f>
        <v>182</v>
      </c>
      <c r="AB924" s="10" t="str">
        <f>IFERROR(__xludf.DUMMYFUNCTION("GOOGLETRANSLATE(J924,""my"", ""en"")"),"6415")</f>
        <v>6415</v>
      </c>
      <c r="AE924" s="10" t="str">
        <f>IFERROR(__xludf.DUMMYFUNCTION("GOOGLETRANSLATE(M924,""my"", ""en"")"),"247574")</f>
        <v>247574</v>
      </c>
      <c r="AF924" s="10" t="str">
        <f>IFERROR(__xludf.DUMMYFUNCTION("GOOGLETRANSLATE(N924,""my"", ""en"")"),"67278")</f>
        <v>67278</v>
      </c>
      <c r="AG924" s="10" t="str">
        <f>IFERROR(__xludf.DUMMYFUNCTION("GOOGLETRANSLATE(O924,""my"", ""en"")"),"314852")</f>
        <v>314852</v>
      </c>
    </row>
    <row r="925" ht="24.0" customHeigh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3" t="s">
        <v>6732</v>
      </c>
      <c r="L925" s="23" t="s">
        <v>6733</v>
      </c>
      <c r="M925" s="24" t="s">
        <v>6734</v>
      </c>
      <c r="N925" s="24" t="s">
        <v>6735</v>
      </c>
      <c r="O925" s="24" t="s">
        <v>6736</v>
      </c>
      <c r="P925" s="25" t="s">
        <v>6737</v>
      </c>
      <c r="AC925" s="10" t="str">
        <f>IFERROR(__xludf.DUMMYFUNCTION("GOOGLETRANSLATE(K925,""my"", ""en"")"),"သူေ farther barrel")</f>
        <v>သူေ farther barrel</v>
      </c>
      <c r="AD925" s="10" t="str">
        <f>IFERROR(__xludf.DUMMYFUNCTION("GOOGLETRANSLATE(L925,""my"", ""en"")")," Game Democracy group   Pop Party")</f>
        <v> Game Democracy group   Pop Party</v>
      </c>
      <c r="AE925" s="10" t="str">
        <f>IFERROR(__xludf.DUMMYFUNCTION("GOOGLETRANSLATE(M925,""my"", ""en"")"),"156676")</f>
        <v>156676</v>
      </c>
      <c r="AF925" s="10" t="str">
        <f>IFERROR(__xludf.DUMMYFUNCTION("GOOGLETRANSLATE(N925,""my"", ""en"")"),"40987")</f>
        <v>40987</v>
      </c>
      <c r="AG925" s="10" t="str">
        <f>IFERROR(__xludf.DUMMYFUNCTION("GOOGLETRANSLATE(O925,""my"", ""en"")"),"197663")</f>
        <v>197663</v>
      </c>
      <c r="AH925" s="10" t="str">
        <f>IFERROR(__xludf.DUMMYFUNCTION("GOOGLETRANSLATE(P925,""my"", ""en"")"),"62.78%")</f>
        <v>62.78%</v>
      </c>
    </row>
    <row r="926" ht="24.0" customHeigh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3" t="s">
        <v>6738</v>
      </c>
      <c r="L926" s="23" t="s">
        <v>6739</v>
      </c>
      <c r="M926" s="24" t="s">
        <v>6740</v>
      </c>
      <c r="N926" s="24" t="s">
        <v>6741</v>
      </c>
      <c r="O926" s="24" t="s">
        <v>6742</v>
      </c>
      <c r="P926" s="25" t="s">
        <v>6743</v>
      </c>
      <c r="AC926" s="10" t="str">
        <f>IFERROR(__xludf.DUMMYFUNCTION("GOOGLETRANSLATE(K926,""my"", ""en"")"),"Lin")</f>
        <v>Lin</v>
      </c>
      <c r="AD926" s="10" t="str">
        <f>IFERROR(__xludf.DUMMYFUNCTION("GOOGLETRANSLATE(L926,""my"", ""en"")"),"Local ေထာင် soap-stone strong ေရး  under development  Phil  ေရး Party")</f>
        <v>Local ေထာင် soap-stone strong ေရး  under development  Phil  ေရး Party</v>
      </c>
      <c r="AE926" s="10" t="str">
        <f>IFERROR(__xludf.DUMMYFUNCTION("GOOGLETRANSLATE(M926,""my"", ""en"")"),"88240")</f>
        <v>88240</v>
      </c>
      <c r="AF926" s="10" t="str">
        <f>IFERROR(__xludf.DUMMYFUNCTION("GOOGLETRANSLATE(N926,""my"", ""en"")"),"25328")</f>
        <v>25328</v>
      </c>
      <c r="AG926" s="10" t="str">
        <f>IFERROR(__xludf.DUMMYFUNCTION("GOOGLETRANSLATE(O926,""my"", ""en"")"),"113568")</f>
        <v>113568</v>
      </c>
      <c r="AH926" s="10" t="str">
        <f>IFERROR(__xludf.DUMMYFUNCTION("GOOGLETRANSLATE(P926,""my"", ""en"")"),"36.07%")</f>
        <v>36.07%</v>
      </c>
    </row>
    <row r="927" ht="24.0" customHeigh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3" t="s">
        <v>6744</v>
      </c>
      <c r="L927" s="23" t="s">
        <v>6745</v>
      </c>
      <c r="M927" s="24" t="s">
        <v>6746</v>
      </c>
      <c r="N927" s="24" t="s">
        <v>6747</v>
      </c>
      <c r="O927" s="24" t="s">
        <v>6748</v>
      </c>
      <c r="P927" s="25" t="s">
        <v>6749</v>
      </c>
      <c r="AC927" s="10" t="str">
        <f>IFERROR(__xludf.DUMMYFUNCTION("GOOGLETRANSLATE(K927,""my"", ""en"")"),"Win  Lucius ")</f>
        <v>Win  Lucius </v>
      </c>
      <c r="AD927" s="10" t="str">
        <f>IFERROR(__xludf.DUMMYFUNCTION("GOOGLETRANSLATE(L927,""my"", ""en"")"),"Local ေထာင် စုေ white  Game ေဆာင် Party")</f>
        <v>Local ေထာင် စုေ white  Game ေဆာင် Party</v>
      </c>
      <c r="AE927" s="10" t="str">
        <f>IFERROR(__xludf.DUMMYFUNCTION("GOOGLETRANSLATE(M927,""my"", ""en"")"),"2658")</f>
        <v>2658</v>
      </c>
      <c r="AF927" s="10" t="str">
        <f>IFERROR(__xludf.DUMMYFUNCTION("GOOGLETRANSLATE(N927,""my"", ""en"")"),"963")</f>
        <v>963</v>
      </c>
      <c r="AG927" s="10" t="str">
        <f>IFERROR(__xludf.DUMMYFUNCTION("GOOGLETRANSLATE(O927,""my"", ""en"")"),"3621")</f>
        <v>3621</v>
      </c>
      <c r="AH927" s="10" t="str">
        <f>IFERROR(__xludf.DUMMYFUNCTION("GOOGLETRANSLATE(P927,""my"", ""en"")"),"1.15%")</f>
        <v>1.15%</v>
      </c>
    </row>
    <row r="928" ht="24.0" customHeight="1">
      <c r="A928" s="28" t="s">
        <v>6750</v>
      </c>
      <c r="B928" s="17" t="s">
        <v>6751</v>
      </c>
      <c r="C928" s="18" t="s">
        <v>6752</v>
      </c>
      <c r="D928" s="18" t="s">
        <v>6753</v>
      </c>
      <c r="E928" s="18" t="s">
        <v>6754</v>
      </c>
      <c r="F928" s="17" t="s">
        <v>6755</v>
      </c>
      <c r="G928" s="18" t="s">
        <v>6756</v>
      </c>
      <c r="H928" s="18" t="s">
        <v>6757</v>
      </c>
      <c r="I928" s="18" t="s">
        <v>6758</v>
      </c>
      <c r="J928" s="18" t="s">
        <v>6759</v>
      </c>
      <c r="K928" s="27"/>
      <c r="L928" s="27"/>
      <c r="M928" s="18" t="s">
        <v>6760</v>
      </c>
      <c r="N928" s="18" t="s">
        <v>6761</v>
      </c>
      <c r="O928" s="18" t="s">
        <v>6762</v>
      </c>
      <c r="P928" s="27"/>
      <c r="S928" s="10" t="str">
        <f>IFERROR(__xludf.DUMMYFUNCTION("GOOGLETRANSLATE(A928,""my"", ""en"")"),"156")</f>
        <v>156</v>
      </c>
      <c r="T928" s="10" t="str">
        <f>IFERROR(__xludf.DUMMYFUNCTION("GOOGLETRANSLATE(B928,""my"", ""en"")"),"မဲဆ  No. (7)")</f>
        <v>မဲဆ  No. (7)</v>
      </c>
      <c r="U928" s="10" t="str">
        <f>IFERROR(__xludf.DUMMYFUNCTION("GOOGLETRANSLATE(C928,""my"", ""en"")"),"347340")</f>
        <v>347340</v>
      </c>
      <c r="V928" s="10" t="str">
        <f>IFERROR(__xludf.DUMMYFUNCTION("GOOGLETRANSLATE(D928,""my"", ""en"")"),"207119")</f>
        <v>207119</v>
      </c>
      <c r="W928" s="10" t="str">
        <f>IFERROR(__xludf.DUMMYFUNCTION("GOOGLETRANSLATE(E928,""my"", ""en"")"),"65544")</f>
        <v>65544</v>
      </c>
      <c r="X928" s="10" t="str">
        <f>IFERROR(__xludf.DUMMYFUNCTION("GOOGLETRANSLATE(F928,""my"", ""en"")"),"272663")</f>
        <v>272663</v>
      </c>
      <c r="Y928" s="10" t="str">
        <f>IFERROR(__xludf.DUMMYFUNCTION("GOOGLETRANSLATE(G928,""my"", ""en"")"),"78.50")</f>
        <v>78.50</v>
      </c>
      <c r="Z928" s="10" t="str">
        <f>IFERROR(__xludf.DUMMYFUNCTION("GOOGLETRANSLATE(H928,""my"", ""en"")"),"7316")</f>
        <v>7316</v>
      </c>
      <c r="AA928" s="10" t="str">
        <f>IFERROR(__xludf.DUMMYFUNCTION("GOOGLETRANSLATE(I928,""my"", ""en"")"),"63")</f>
        <v>63</v>
      </c>
      <c r="AB928" s="10" t="str">
        <f>IFERROR(__xludf.DUMMYFUNCTION("GOOGLETRANSLATE(J928,""my"", ""en"")"),"7379")</f>
        <v>7379</v>
      </c>
      <c r="AE928" s="10" t="str">
        <f>IFERROR(__xludf.DUMMYFUNCTION("GOOGLETRANSLATE(M928,""my"", ""en"")"),"200716")</f>
        <v>200716</v>
      </c>
      <c r="AF928" s="10" t="str">
        <f>IFERROR(__xludf.DUMMYFUNCTION("GOOGLETRANSLATE(N928,""my"", ""en"")"),"64568")</f>
        <v>64568</v>
      </c>
      <c r="AG928" s="10" t="str">
        <f>IFERROR(__xludf.DUMMYFUNCTION("GOOGLETRANSLATE(O928,""my"", ""en"")"),"265284")</f>
        <v>265284</v>
      </c>
    </row>
    <row r="929" ht="24.75" customHeigh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3" t="s">
        <v>6763</v>
      </c>
      <c r="L929" s="23" t="s">
        <v>6764</v>
      </c>
      <c r="M929" s="24" t="s">
        <v>6765</v>
      </c>
      <c r="N929" s="24" t="s">
        <v>6766</v>
      </c>
      <c r="O929" s="24" t="s">
        <v>6767</v>
      </c>
      <c r="P929" s="25" t="s">
        <v>6768</v>
      </c>
      <c r="AC929" s="10" t="str">
        <f>IFERROR(__xludf.DUMMYFUNCTION("GOOGLETRANSLATE(K929,""my"", ""en"")"),"Than Tun")</f>
        <v>Than Tun</v>
      </c>
      <c r="AD929" s="10" t="str">
        <f>IFERROR(__xludf.DUMMYFUNCTION("GOOGLETRANSLATE(L929,""my"", ""en"")")," Game Democracy group   Pop Party")</f>
        <v> Game Democracy group   Pop Party</v>
      </c>
      <c r="AE929" s="10" t="str">
        <f>IFERROR(__xludf.DUMMYFUNCTION("GOOGLETRANSLATE(M929,""my"", ""en"")"),"129504")</f>
        <v>129504</v>
      </c>
      <c r="AF929" s="10" t="str">
        <f>IFERROR(__xludf.DUMMYFUNCTION("GOOGLETRANSLATE(N929,""my"", ""en"")"),"39996")</f>
        <v>39996</v>
      </c>
      <c r="AG929" s="10" t="str">
        <f>IFERROR(__xludf.DUMMYFUNCTION("GOOGLETRANSLATE(O929,""my"", ""en"")"),"169500")</f>
        <v>169500</v>
      </c>
      <c r="AH929" s="10" t="str">
        <f>IFERROR(__xludf.DUMMYFUNCTION("GOOGLETRANSLATE(P929,""my"", ""en"")"),"63.90%")</f>
        <v>63.90%</v>
      </c>
    </row>
    <row r="930" ht="24.0" customHeigh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3" t="s">
        <v>6769</v>
      </c>
      <c r="L930" s="23" t="s">
        <v>6770</v>
      </c>
      <c r="M930" s="24" t="s">
        <v>6771</v>
      </c>
      <c r="N930" s="24" t="s">
        <v>6772</v>
      </c>
      <c r="O930" s="24" t="s">
        <v>6773</v>
      </c>
      <c r="P930" s="25" t="s">
        <v>6774</v>
      </c>
      <c r="AC930" s="10" t="str">
        <f>IFERROR(__xludf.DUMMYFUNCTION("GOOGLETRANSLATE(K930,""my"", ""en"")"),"ဝင်းသိန်း")</f>
        <v>ဝင်းသိန်း</v>
      </c>
      <c r="AD930" s="10" t="str">
        <f>IFERROR(__xludf.DUMMYFUNCTION("GOOGLETRANSLATE(L930,""my"", ""en"")"),"Local ေထာင် soap-stone strong ေရး  under development  Phil  ေရး Party")</f>
        <v>Local ေထာင် soap-stone strong ေရး  under development  Phil  ေရး Party</v>
      </c>
      <c r="AE930" s="10" t="str">
        <f>IFERROR(__xludf.DUMMYFUNCTION("GOOGLETRANSLATE(M930,""my"", ""en"")"),"66576")</f>
        <v>66576</v>
      </c>
      <c r="AF930" s="10" t="str">
        <f>IFERROR(__xludf.DUMMYFUNCTION("GOOGLETRANSLATE(N930,""my"", ""en"")"),"22730")</f>
        <v>22730</v>
      </c>
      <c r="AG930" s="10" t="str">
        <f>IFERROR(__xludf.DUMMYFUNCTION("GOOGLETRANSLATE(O930,""my"", ""en"")"),"89306")</f>
        <v>89306</v>
      </c>
      <c r="AH930" s="10" t="str">
        <f>IFERROR(__xludf.DUMMYFUNCTION("GOOGLETRANSLATE(P930,""my"", ""en"")"),"33.66%")</f>
        <v>33.66%</v>
      </c>
    </row>
    <row r="931" ht="24.0" customHeigh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3" t="s">
        <v>6775</v>
      </c>
      <c r="L931" s="23" t="s">
        <v>6776</v>
      </c>
      <c r="M931" s="24" t="s">
        <v>6777</v>
      </c>
      <c r="N931" s="24" t="s">
        <v>6778</v>
      </c>
      <c r="O931" s="24" t="s">
        <v>6779</v>
      </c>
      <c r="P931" s="25" t="s">
        <v>6780</v>
      </c>
      <c r="AC931" s="10" t="str">
        <f>IFERROR(__xludf.DUMMYFUNCTION("GOOGLETRANSLATE(K931,""my"", ""en"")"),"ေဇာ")</f>
        <v>ေဇာ</v>
      </c>
      <c r="AD931" s="10" t="str">
        <f>IFERROR(__xludf.DUMMYFUNCTION("GOOGLETRANSLATE(L931,""my"", ""en"")"),"Local ေထာင် စုေ white  Game ေဆာင် Party")</f>
        <v>Local ေထာင် စုေ white  Game ေဆာင် Party</v>
      </c>
      <c r="AE931" s="10" t="str">
        <f>IFERROR(__xludf.DUMMYFUNCTION("GOOGLETRANSLATE(M931,""my"", ""en"")"),"4636")</f>
        <v>4636</v>
      </c>
      <c r="AF931" s="10" t="str">
        <f>IFERROR(__xludf.DUMMYFUNCTION("GOOGLETRANSLATE(N931,""my"", ""en"")"),"1842")</f>
        <v>1842</v>
      </c>
      <c r="AG931" s="10" t="str">
        <f>IFERROR(__xludf.DUMMYFUNCTION("GOOGLETRANSLATE(O931,""my"", ""en"")"),"6478")</f>
        <v>6478</v>
      </c>
      <c r="AH931" s="10" t="str">
        <f>IFERROR(__xludf.DUMMYFUNCTION("GOOGLETRANSLATE(P931,""my"", ""en"")"),"2.44%")</f>
        <v>2.44%</v>
      </c>
    </row>
    <row r="932" ht="24.0" customHeight="1">
      <c r="A932" s="28" t="s">
        <v>6781</v>
      </c>
      <c r="B932" s="17" t="s">
        <v>6782</v>
      </c>
      <c r="C932" s="18" t="s">
        <v>6783</v>
      </c>
      <c r="D932" s="18" t="s">
        <v>6784</v>
      </c>
      <c r="E932" s="18" t="s">
        <v>6785</v>
      </c>
      <c r="F932" s="17" t="s">
        <v>6786</v>
      </c>
      <c r="G932" s="18" t="s">
        <v>6787</v>
      </c>
      <c r="H932" s="18" t="s">
        <v>6788</v>
      </c>
      <c r="I932" s="18" t="s">
        <v>6789</v>
      </c>
      <c r="J932" s="18" t="s">
        <v>6790</v>
      </c>
      <c r="K932" s="27"/>
      <c r="L932" s="27"/>
      <c r="M932" s="18" t="s">
        <v>6791</v>
      </c>
      <c r="N932" s="18" t="s">
        <v>6792</v>
      </c>
      <c r="O932" s="18" t="s">
        <v>6793</v>
      </c>
      <c r="P932" s="27"/>
      <c r="S932" s="10" t="str">
        <f>IFERROR(__xludf.DUMMYFUNCTION("GOOGLETRANSLATE(A932,""my"", ""en"")"),"157")</f>
        <v>157</v>
      </c>
      <c r="T932" s="10" t="str">
        <f>IFERROR(__xludf.DUMMYFUNCTION("GOOGLETRANSLATE(B932,""my"", ""en"")"),"မဲဆ  No. (8)")</f>
        <v>မဲဆ  No. (8)</v>
      </c>
      <c r="U932" s="10" t="str">
        <f>IFERROR(__xludf.DUMMYFUNCTION("GOOGLETRANSLATE(C932,""my"", ""en"")"),"225903")</f>
        <v>225903</v>
      </c>
      <c r="V932" s="10" t="str">
        <f>IFERROR(__xludf.DUMMYFUNCTION("GOOGLETRANSLATE(D932,""my"", ""en"")"),"138233")</f>
        <v>138233</v>
      </c>
      <c r="W932" s="10" t="str">
        <f>IFERROR(__xludf.DUMMYFUNCTION("GOOGLETRANSLATE(E932,""my"", ""en"")"),"33876")</f>
        <v>33876</v>
      </c>
      <c r="X932" s="10" t="str">
        <f>IFERROR(__xludf.DUMMYFUNCTION("GOOGLETRANSLATE(F932,""my"", ""en"")"),"172109")</f>
        <v>172109</v>
      </c>
      <c r="Y932" s="10" t="str">
        <f>IFERROR(__xludf.DUMMYFUNCTION("GOOGLETRANSLATE(G932,""my"", ""en"")"),"76.19")</f>
        <v>76.19</v>
      </c>
      <c r="Z932" s="10" t="str">
        <f>IFERROR(__xludf.DUMMYFUNCTION("GOOGLETRANSLATE(H932,""my"", ""en"")"),"5010")</f>
        <v>5010</v>
      </c>
      <c r="AA932" s="10" t="str">
        <f>IFERROR(__xludf.DUMMYFUNCTION("GOOGLETRANSLATE(I932,""my"", ""en"")"),"93")</f>
        <v>93</v>
      </c>
      <c r="AB932" s="10" t="str">
        <f>IFERROR(__xludf.DUMMYFUNCTION("GOOGLETRANSLATE(J932,""my"", ""en"")"),"5103")</f>
        <v>5103</v>
      </c>
      <c r="AE932" s="10" t="str">
        <f>IFERROR(__xludf.DUMMYFUNCTION("GOOGLETRANSLATE(M932,""my"", ""en"")"),"133168")</f>
        <v>133168</v>
      </c>
      <c r="AF932" s="10" t="str">
        <f>IFERROR(__xludf.DUMMYFUNCTION("GOOGLETRANSLATE(N932,""my"", ""en"")"),"33838")</f>
        <v>33838</v>
      </c>
      <c r="AG932" s="10" t="str">
        <f>IFERROR(__xludf.DUMMYFUNCTION("GOOGLETRANSLATE(O932,""my"", ""en"")"),"167006")</f>
        <v>167006</v>
      </c>
    </row>
    <row r="933" ht="24.75" customHeigh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3" t="s">
        <v>6794</v>
      </c>
      <c r="L933" s="23" t="s">
        <v>6795</v>
      </c>
      <c r="M933" s="24" t="s">
        <v>6796</v>
      </c>
      <c r="N933" s="24" t="s">
        <v>6797</v>
      </c>
      <c r="O933" s="24" t="s">
        <v>6798</v>
      </c>
      <c r="P933" s="25" t="s">
        <v>6799</v>
      </c>
      <c r="AC933" s="10" t="str">
        <f>IFERROR(__xludf.DUMMYFUNCTION("GOOGLETRANSLATE(K933,""my"", ""en"")"),"From the invention Tun  ")</f>
        <v>From the invention Tun  </v>
      </c>
      <c r="AD933" s="10" t="str">
        <f>IFERROR(__xludf.DUMMYFUNCTION("GOOGLETRANSLATE(L933,""my"", ""en"")")," Game Democracy group   Pop Party")</f>
        <v> Game Democracy group   Pop Party</v>
      </c>
      <c r="AE933" s="10" t="str">
        <f>IFERROR(__xludf.DUMMYFUNCTION("GOOGLETRANSLATE(M933,""my"", ""en"")"),"81342")</f>
        <v>81342</v>
      </c>
      <c r="AF933" s="10" t="str">
        <f>IFERROR(__xludf.DUMMYFUNCTION("GOOGLETRANSLATE(N933,""my"", ""en"")"),"19319")</f>
        <v>19319</v>
      </c>
      <c r="AG933" s="10" t="str">
        <f>IFERROR(__xludf.DUMMYFUNCTION("GOOGLETRANSLATE(O933,""my"", ""en"")"),"100661")</f>
        <v>100661</v>
      </c>
      <c r="AH933" s="10" t="str">
        <f>IFERROR(__xludf.DUMMYFUNCTION("GOOGLETRANSLATE(P933,""my"", ""en"")"),"60.27%")</f>
        <v>60.27%</v>
      </c>
    </row>
    <row r="934" ht="24.0" customHeigh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3" t="s">
        <v>6800</v>
      </c>
      <c r="L934" s="23" t="s">
        <v>6801</v>
      </c>
      <c r="M934" s="24" t="s">
        <v>6802</v>
      </c>
      <c r="N934" s="24" t="s">
        <v>6803</v>
      </c>
      <c r="O934" s="24" t="s">
        <v>6804</v>
      </c>
      <c r="P934" s="25" t="s">
        <v>6805</v>
      </c>
      <c r="AC934" s="10" t="str">
        <f>IFERROR(__xludf.DUMMYFUNCTION("GOOGLETRANSLATE(K934,""my"", ""en"")"),"Win")</f>
        <v>Win</v>
      </c>
      <c r="AD934" s="10" t="str">
        <f>IFERROR(__xludf.DUMMYFUNCTION("GOOGLETRANSLATE(L934,""my"", ""en"")"),"Local ေထာင် soap-stone strong ေရး  under development  Phil  ေရး Party")</f>
        <v>Local ေထာင် soap-stone strong ေရး  under development  Phil  ေရး Party</v>
      </c>
      <c r="AE934" s="10" t="str">
        <f>IFERROR(__xludf.DUMMYFUNCTION("GOOGLETRANSLATE(M934,""my"", ""en"")"),"38620")</f>
        <v>38620</v>
      </c>
      <c r="AF934" s="10" t="str">
        <f>IFERROR(__xludf.DUMMYFUNCTION("GOOGLETRANSLATE(N934,""my"", ""en"")"),"11165")</f>
        <v>11165</v>
      </c>
      <c r="AG934" s="10" t="str">
        <f>IFERROR(__xludf.DUMMYFUNCTION("GOOGLETRANSLATE(O934,""my"", ""en"")"),"49785")</f>
        <v>49785</v>
      </c>
      <c r="AH934" s="10" t="str">
        <f>IFERROR(__xludf.DUMMYFUNCTION("GOOGLETRANSLATE(P934,""my"", ""en"")"),"29.81%")</f>
        <v>29.81%</v>
      </c>
    </row>
    <row r="935" ht="24.75" customHeigh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3" t="s">
        <v>6806</v>
      </c>
      <c r="L935" s="23" t="s">
        <v>6807</v>
      </c>
      <c r="M935" s="24" t="s">
        <v>6808</v>
      </c>
      <c r="N935" s="24" t="s">
        <v>6809</v>
      </c>
      <c r="O935" s="24" t="s">
        <v>6810</v>
      </c>
      <c r="P935" s="25" t="s">
        <v>6811</v>
      </c>
      <c r="AC935" s="10" t="str">
        <f>IFERROR(__xludf.DUMMYFUNCTION("GOOGLETRANSLATE(K935,""my"", ""en"")"),"Dr Saw Htoo")</f>
        <v>Dr Saw Htoo</v>
      </c>
      <c r="AD935" s="10" t="str">
        <f>IFERROR(__xludf.DUMMYFUNCTION("GOOGLETRANSLATE(L935,""my"", ""en"")"),"Karen ပည်သူ Party")</f>
        <v>Karen ပည်သူ Party</v>
      </c>
      <c r="AE935" s="10" t="str">
        <f>IFERROR(__xludf.DUMMYFUNCTION("GOOGLETRANSLATE(M935,""my"", ""en"")"),"11433")</f>
        <v>11433</v>
      </c>
      <c r="AF935" s="10" t="str">
        <f>IFERROR(__xludf.DUMMYFUNCTION("GOOGLETRANSLATE(N935,""my"", ""en"")"),"2745")</f>
        <v>2745</v>
      </c>
      <c r="AG935" s="10" t="str">
        <f>IFERROR(__xludf.DUMMYFUNCTION("GOOGLETRANSLATE(O935,""my"", ""en"")"),"14178")</f>
        <v>14178</v>
      </c>
      <c r="AH935" s="10" t="str">
        <f>IFERROR(__xludf.DUMMYFUNCTION("GOOGLETRANSLATE(P935,""my"", ""en"")"),"8.49%")</f>
        <v>8.49%</v>
      </c>
    </row>
    <row r="936" ht="24.0" customHeigh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3" t="s">
        <v>6812</v>
      </c>
      <c r="L936" s="23" t="s">
        <v>6813</v>
      </c>
      <c r="M936" s="24" t="s">
        <v>6814</v>
      </c>
      <c r="N936" s="24" t="s">
        <v>6815</v>
      </c>
      <c r="O936" s="24" t="s">
        <v>6816</v>
      </c>
      <c r="P936" s="25" t="s">
        <v>6817</v>
      </c>
      <c r="AC936" s="10" t="str">
        <f>IFERROR(__xludf.DUMMYFUNCTION("GOOGLETRANSLATE(K936,""my"", ""en"")"),"ေစာ of chat")</f>
        <v>ေစာ of chat</v>
      </c>
      <c r="AD936" s="10" t="str">
        <f>IFERROR(__xludf.DUMMYFUNCTION("GOOGLETRANSLATE(L936,""my"", ""en"")"),"Local ေထာင် စုေ white  Game ေဆာင် Party")</f>
        <v>Local ေထာင် စုေ white  Game ေဆာင် Party</v>
      </c>
      <c r="AE936" s="10" t="str">
        <f>IFERROR(__xludf.DUMMYFUNCTION("GOOGLETRANSLATE(M936,""my"", ""en"")"),"1271")</f>
        <v>1271</v>
      </c>
      <c r="AF936" s="10" t="str">
        <f>IFERROR(__xludf.DUMMYFUNCTION("GOOGLETRANSLATE(N936,""my"", ""en"")"),"387")</f>
        <v>387</v>
      </c>
      <c r="AG936" s="10" t="str">
        <f>IFERROR(__xludf.DUMMYFUNCTION("GOOGLETRANSLATE(O936,""my"", ""en"")"),"1658")</f>
        <v>1658</v>
      </c>
      <c r="AH936" s="10" t="str">
        <f>IFERROR(__xludf.DUMMYFUNCTION("GOOGLETRANSLATE(P936,""my"", ""en"")"),"1.00%")</f>
        <v>1.00%</v>
      </c>
    </row>
    <row r="937" ht="37.5" customHeigh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32" t="s">
        <v>6818</v>
      </c>
      <c r="L937" s="23" t="s">
        <v>6819</v>
      </c>
      <c r="M937" s="33" t="s">
        <v>6820</v>
      </c>
      <c r="N937" s="33" t="s">
        <v>6821</v>
      </c>
      <c r="O937" s="33" t="s">
        <v>6822</v>
      </c>
      <c r="P937" s="31" t="s">
        <v>6823</v>
      </c>
      <c r="AC937" s="10" t="str">
        <f>IFERROR(__xludf.DUMMYFUNCTION("GOOGLETRANSLATE(K937,""my"", ""en"")"),"ေစာ Ah, Augusto news")</f>
        <v>ေစာ Ah, Augusto news</v>
      </c>
      <c r="AD937" s="10" t="str">
        <f>IFERROR(__xludf.DUMMYFUNCTION("GOOGLETRANSLATE(L937,""my"", ""en"")")," Union ေသာ ethnic  Game Democracy Party")</f>
        <v> Union ေသာ ethnic  Game Democracy Party</v>
      </c>
      <c r="AE937" s="10" t="str">
        <f>IFERROR(__xludf.DUMMYFUNCTION("GOOGLETRANSLATE(M937,""my"", ""en"")"),"502")</f>
        <v>502</v>
      </c>
      <c r="AF937" s="10" t="str">
        <f>IFERROR(__xludf.DUMMYFUNCTION("GOOGLETRANSLATE(N937,""my"", ""en"")"),"222")</f>
        <v>222</v>
      </c>
      <c r="AG937" s="10" t="str">
        <f>IFERROR(__xludf.DUMMYFUNCTION("GOOGLETRANSLATE(O937,""my"", ""en"")"),"724")</f>
        <v>724</v>
      </c>
      <c r="AH937" s="10" t="str">
        <f>IFERROR(__xludf.DUMMYFUNCTION("GOOGLETRANSLATE(P937,""my"", ""en"")"),"0.43%")</f>
        <v>0.43%</v>
      </c>
    </row>
    <row r="938" ht="24.0" customHeight="1">
      <c r="A938" s="28" t="s">
        <v>6824</v>
      </c>
      <c r="B938" s="17" t="s">
        <v>6825</v>
      </c>
      <c r="C938" s="18" t="s">
        <v>6826</v>
      </c>
      <c r="D938" s="18" t="s">
        <v>6827</v>
      </c>
      <c r="E938" s="18" t="s">
        <v>6828</v>
      </c>
      <c r="F938" s="17" t="s">
        <v>6829</v>
      </c>
      <c r="G938" s="18" t="s">
        <v>6830</v>
      </c>
      <c r="H938" s="18" t="s">
        <v>6831</v>
      </c>
      <c r="I938" s="18" t="s">
        <v>6832</v>
      </c>
      <c r="J938" s="18" t="s">
        <v>6833</v>
      </c>
      <c r="K938" s="27"/>
      <c r="L938" s="27"/>
      <c r="M938" s="18" t="s">
        <v>6834</v>
      </c>
      <c r="N938" s="18" t="s">
        <v>6835</v>
      </c>
      <c r="O938" s="18" t="s">
        <v>6836</v>
      </c>
      <c r="P938" s="27"/>
      <c r="S938" s="10" t="str">
        <f>IFERROR(__xludf.DUMMYFUNCTION("GOOGLETRANSLATE(A938,""my"", ""en"")"),"158")</f>
        <v>158</v>
      </c>
      <c r="T938" s="10" t="str">
        <f>IFERROR(__xludf.DUMMYFUNCTION("GOOGLETRANSLATE(B938,""my"", ""en"")"),"မဲဆ  No. (9)")</f>
        <v>မဲဆ  No. (9)</v>
      </c>
      <c r="U938" s="10" t="str">
        <f>IFERROR(__xludf.DUMMYFUNCTION("GOOGLETRANSLATE(C938,""my"", ""en"")"),"379538")</f>
        <v>379538</v>
      </c>
      <c r="V938" s="10" t="str">
        <f>IFERROR(__xludf.DUMMYFUNCTION("GOOGLETRANSLATE(D938,""my"", ""en"")"),"222947")</f>
        <v>222947</v>
      </c>
      <c r="W938" s="10" t="str">
        <f>IFERROR(__xludf.DUMMYFUNCTION("GOOGLETRANSLATE(E938,""my"", ""en"")"),"64214")</f>
        <v>64214</v>
      </c>
      <c r="X938" s="10" t="str">
        <f>IFERROR(__xludf.DUMMYFUNCTION("GOOGLETRANSLATE(F938,""my"", ""en"")"),"287161")</f>
        <v>287161</v>
      </c>
      <c r="Y938" s="10" t="str">
        <f>IFERROR(__xludf.DUMMYFUNCTION("GOOGLETRANSLATE(G938,""my"", ""en"")"),"75.66")</f>
        <v>75.66</v>
      </c>
      <c r="Z938" s="10" t="str">
        <f>IFERROR(__xludf.DUMMYFUNCTION("GOOGLETRANSLATE(H938,""my"", ""en"")"),"9225")</f>
        <v>9225</v>
      </c>
      <c r="AA938" s="10" t="str">
        <f>IFERROR(__xludf.DUMMYFUNCTION("GOOGLETRANSLATE(I938,""my"", ""en"")"),"279")</f>
        <v>279</v>
      </c>
      <c r="AB938" s="10" t="str">
        <f>IFERROR(__xludf.DUMMYFUNCTION("GOOGLETRANSLATE(J938,""my"", ""en"")"),"9504")</f>
        <v>9504</v>
      </c>
      <c r="AE938" s="10" t="str">
        <f>IFERROR(__xludf.DUMMYFUNCTION("GOOGLETRANSLATE(M938,""my"", ""en"")"),"213455")</f>
        <v>213455</v>
      </c>
      <c r="AF938" s="10" t="str">
        <f>IFERROR(__xludf.DUMMYFUNCTION("GOOGLETRANSLATE(N938,""my"", ""en"")"),"64202")</f>
        <v>64202</v>
      </c>
      <c r="AG938" s="10" t="str">
        <f>IFERROR(__xludf.DUMMYFUNCTION("GOOGLETRANSLATE(O938,""my"", ""en"")"),"277657")</f>
        <v>277657</v>
      </c>
    </row>
    <row r="939" ht="24.75" customHeigh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3" t="s">
        <v>6837</v>
      </c>
      <c r="L939" s="23" t="s">
        <v>6838</v>
      </c>
      <c r="M939" s="24" t="s">
        <v>6839</v>
      </c>
      <c r="N939" s="24" t="s">
        <v>6840</v>
      </c>
      <c r="O939" s="24" t="s">
        <v>6841</v>
      </c>
      <c r="P939" s="25" t="s">
        <v>6842</v>
      </c>
      <c r="AC939" s="10" t="str">
        <f>IFERROR(__xludf.DUMMYFUNCTION("GOOGLETRANSLATE(K939,""my"", ""en"")"),"Canada is inevitable  Phil ")</f>
        <v>Canada is inevitable  Phil </v>
      </c>
      <c r="AD939" s="10" t="str">
        <f>IFERROR(__xludf.DUMMYFUNCTION("GOOGLETRANSLATE(L939,""my"", ""en"")")," Game Democracy group   Pop Party")</f>
        <v> Game Democracy group   Pop Party</v>
      </c>
      <c r="AE939" s="10" t="str">
        <f>IFERROR(__xludf.DUMMYFUNCTION("GOOGLETRANSLATE(M939,""my"", ""en"")"),"131926")</f>
        <v>131926</v>
      </c>
      <c r="AF939" s="10" t="str">
        <f>IFERROR(__xludf.DUMMYFUNCTION("GOOGLETRANSLATE(N939,""my"", ""en"")"),"39497")</f>
        <v>39497</v>
      </c>
      <c r="AG939" s="10" t="str">
        <f>IFERROR(__xludf.DUMMYFUNCTION("GOOGLETRANSLATE(O939,""my"", ""en"")"),"171423")</f>
        <v>171423</v>
      </c>
      <c r="AH939" s="10" t="str">
        <f>IFERROR(__xludf.DUMMYFUNCTION("GOOGLETRANSLATE(P939,""my"", ""en"")"),"61.74%")</f>
        <v>61.74%</v>
      </c>
    </row>
    <row r="940" ht="25.5" customHeigh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3" t="s">
        <v>6843</v>
      </c>
      <c r="L940" s="23" t="s">
        <v>6844</v>
      </c>
      <c r="M940" s="24" t="s">
        <v>6845</v>
      </c>
      <c r="N940" s="24" t="s">
        <v>6846</v>
      </c>
      <c r="O940" s="24" t="s">
        <v>6847</v>
      </c>
      <c r="P940" s="25" t="s">
        <v>6848</v>
      </c>
      <c r="AC940" s="10" t="str">
        <f>IFERROR(__xludf.DUMMYFUNCTION("GOOGLETRANSLATE(K940,""my"", ""en"")"),"Show ေအာင်")</f>
        <v>Show ေအာင်</v>
      </c>
      <c r="AD940" s="10" t="str">
        <f>IFERROR(__xludf.DUMMYFUNCTION("GOOGLETRANSLATE(L940,""my"", ""en"")"),"Local ေထာင် soap-stone strong ေရး  under development  Phil  ေရး Party")</f>
        <v>Local ေထာင် soap-stone strong ေရး  under development  Phil  ေရး Party</v>
      </c>
      <c r="AE940" s="10" t="str">
        <f>IFERROR(__xludf.DUMMYFUNCTION("GOOGLETRANSLATE(M940,""my"", ""en"")"),"69319")</f>
        <v>69319</v>
      </c>
      <c r="AF940" s="10" t="str">
        <f>IFERROR(__xludf.DUMMYFUNCTION("GOOGLETRANSLATE(N940,""my"", ""en"")"),"20702")</f>
        <v>20702</v>
      </c>
      <c r="AG940" s="10" t="str">
        <f>IFERROR(__xludf.DUMMYFUNCTION("GOOGLETRANSLATE(O940,""my"", ""en"")"),"90021")</f>
        <v>90021</v>
      </c>
      <c r="AH940" s="10" t="str">
        <f>IFERROR(__xludf.DUMMYFUNCTION("GOOGLETRANSLATE(P940,""my"", ""en"")"),"32.42%")</f>
        <v>32.42%</v>
      </c>
    </row>
    <row r="941" ht="36.0" customHeigh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3" t="s">
        <v>6849</v>
      </c>
      <c r="L941" s="22" t="s">
        <v>6850</v>
      </c>
      <c r="M941" s="24" t="s">
        <v>6851</v>
      </c>
      <c r="N941" s="24" t="s">
        <v>6852</v>
      </c>
      <c r="O941" s="24" t="s">
        <v>6853</v>
      </c>
      <c r="P941" s="31" t="s">
        <v>6854</v>
      </c>
      <c r="AC941" s="10" t="str">
        <f>IFERROR(__xludf.DUMMYFUNCTION("GOOGLETRANSLATE(K941,""my"", ""en"")"),"ေကျာ ေအာင်")</f>
        <v>ေကျာ ေအာင်</v>
      </c>
      <c r="AD941" s="10" t="str">
        <f>IFERROR(__xludf.DUMMYFUNCTION("GOOGLETRANSLATE(L941,""my"", ""en"")"),"Burma  treated ငံေ တာင် farmer workers
ပည်သူ Party")</f>
        <v>Burma  treated ငံေ တာင် farmer workers
ပည်သူ Party</v>
      </c>
      <c r="AE941" s="10" t="str">
        <f>IFERROR(__xludf.DUMMYFUNCTION("GOOGLETRANSLATE(M941,""my"", ""en"")"),"6660")</f>
        <v>6660</v>
      </c>
      <c r="AF941" s="10" t="str">
        <f>IFERROR(__xludf.DUMMYFUNCTION("GOOGLETRANSLATE(N941,""my"", ""en"")"),"2053")</f>
        <v>2053</v>
      </c>
      <c r="AG941" s="10" t="str">
        <f>IFERROR(__xludf.DUMMYFUNCTION("GOOGLETRANSLATE(O941,""my"", ""en"")"),"8713")</f>
        <v>8713</v>
      </c>
      <c r="AH941" s="10" t="str">
        <f>IFERROR(__xludf.DUMMYFUNCTION("GOOGLETRANSLATE(P941,""my"", ""en"")"),"3.14%")</f>
        <v>3.14%</v>
      </c>
    </row>
    <row r="942" ht="36.0" customHeigh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3" t="s">
        <v>6855</v>
      </c>
      <c r="L942" s="23" t="s">
        <v>6856</v>
      </c>
      <c r="M942" s="24" t="s">
        <v>6857</v>
      </c>
      <c r="N942" s="24" t="s">
        <v>6858</v>
      </c>
      <c r="O942" s="24" t="s">
        <v>6859</v>
      </c>
      <c r="P942" s="31" t="s">
        <v>6860</v>
      </c>
      <c r="AC942" s="10" t="str">
        <f>IFERROR(__xludf.DUMMYFUNCTION("GOOGLETRANSLATE(K942,""my"", ""en"")"),"Win million million (b) court Padoh Mann")</f>
        <v>Win million million (b) court Padoh Mann</v>
      </c>
      <c r="AD942" s="10" t="str">
        <f>IFERROR(__xludf.DUMMYFUNCTION("GOOGLETRANSLATE(L942,""my"", ""en"")"),"Local ေထာင် စုေ white  Game ေဆာင် Party")</f>
        <v>Local ေထာင် စုေ white  Game ေဆာင် Party</v>
      </c>
      <c r="AE942" s="10" t="str">
        <f>IFERROR(__xludf.DUMMYFUNCTION("GOOGLETRANSLATE(M942,""my"", ""en"")"),"5550")</f>
        <v>5550</v>
      </c>
      <c r="AF942" s="10" t="str">
        <f>IFERROR(__xludf.DUMMYFUNCTION("GOOGLETRANSLATE(N942,""my"", ""en"")"),"1950")</f>
        <v>1950</v>
      </c>
      <c r="AG942" s="10" t="str">
        <f>IFERROR(__xludf.DUMMYFUNCTION("GOOGLETRANSLATE(O942,""my"", ""en"")"),"7,500")</f>
        <v>7,500</v>
      </c>
      <c r="AH942" s="10" t="str">
        <f>IFERROR(__xludf.DUMMYFUNCTION("GOOGLETRANSLATE(P942,""my"", ""en"")"),"2.70%")</f>
        <v>2.70%</v>
      </c>
    </row>
    <row r="943" ht="24.75" customHeight="1">
      <c r="A943" s="28" t="s">
        <v>6861</v>
      </c>
      <c r="B943" s="17" t="s">
        <v>6862</v>
      </c>
      <c r="C943" s="18" t="s">
        <v>6863</v>
      </c>
      <c r="D943" s="17" t="s">
        <v>6864</v>
      </c>
      <c r="E943" s="18" t="s">
        <v>6865</v>
      </c>
      <c r="F943" s="17" t="s">
        <v>6866</v>
      </c>
      <c r="G943" s="18" t="s">
        <v>6867</v>
      </c>
      <c r="H943" s="18" t="s">
        <v>6868</v>
      </c>
      <c r="I943" s="18" t="s">
        <v>6869</v>
      </c>
      <c r="J943" s="18" t="s">
        <v>6870</v>
      </c>
      <c r="K943" s="27"/>
      <c r="L943" s="27"/>
      <c r="M943" s="18" t="s">
        <v>6871</v>
      </c>
      <c r="N943" s="18" t="s">
        <v>6872</v>
      </c>
      <c r="O943" s="18" t="s">
        <v>6873</v>
      </c>
      <c r="P943" s="27"/>
      <c r="S943" s="10" t="str">
        <f>IFERROR(__xludf.DUMMYFUNCTION("GOOGLETRANSLATE(A943,""my"", ""en"")"),"159")</f>
        <v>159</v>
      </c>
      <c r="T943" s="10" t="str">
        <f>IFERROR(__xludf.DUMMYFUNCTION("GOOGLETRANSLATE(B943,""my"", ""en"")"),"မဲဆ  No. (10)")</f>
        <v>မဲဆ  No. (10)</v>
      </c>
      <c r="U943" s="10" t="str">
        <f>IFERROR(__xludf.DUMMYFUNCTION("GOOGLETRANSLATE(C943,""my"", ""en"")"),"446388")</f>
        <v>446388</v>
      </c>
      <c r="V943" s="10" t="str">
        <f>IFERROR(__xludf.DUMMYFUNCTION("GOOGLETRANSLATE(D943,""my"", ""en"")"),"257475")</f>
        <v>257475</v>
      </c>
      <c r="W943" s="10" t="str">
        <f>IFERROR(__xludf.DUMMYFUNCTION("GOOGLETRANSLATE(E943,""my"", ""en"")"),"61240")</f>
        <v>61240</v>
      </c>
      <c r="X943" s="10" t="str">
        <f>IFERROR(__xludf.DUMMYFUNCTION("GOOGLETRANSLATE(F943,""my"", ""en"")"),"318715")</f>
        <v>318715</v>
      </c>
      <c r="Y943" s="10" t="str">
        <f>IFERROR(__xludf.DUMMYFUNCTION("GOOGLETRANSLATE(G943,""my"", ""en"")"),"71.40")</f>
        <v>71.40</v>
      </c>
      <c r="Z943" s="10" t="str">
        <f>IFERROR(__xludf.DUMMYFUNCTION("GOOGLETRANSLATE(H943,""my"", ""en"")"),"10503")</f>
        <v>10503</v>
      </c>
      <c r="AA943" s="10" t="str">
        <f>IFERROR(__xludf.DUMMYFUNCTION("GOOGLETRANSLATE(I943,""my"", ""en"")"),"-")</f>
        <v>-</v>
      </c>
      <c r="AB943" s="10" t="str">
        <f>IFERROR(__xludf.DUMMYFUNCTION("GOOGLETRANSLATE(J943,""my"", ""en"")"),"10503")</f>
        <v>10503</v>
      </c>
      <c r="AE943" s="10" t="str">
        <f>IFERROR(__xludf.DUMMYFUNCTION("GOOGLETRANSLATE(M943,""my"", ""en"")"),"248407")</f>
        <v>248407</v>
      </c>
      <c r="AF943" s="10" t="str">
        <f>IFERROR(__xludf.DUMMYFUNCTION("GOOGLETRANSLATE(N943,""my"", ""en"")"),"59805")</f>
        <v>59805</v>
      </c>
      <c r="AG943" s="10" t="str">
        <f>IFERROR(__xludf.DUMMYFUNCTION("GOOGLETRANSLATE(O943,""my"", ""en"")"),"308212")</f>
        <v>308212</v>
      </c>
    </row>
    <row r="944" ht="24.0" customHeigh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3" t="s">
        <v>6874</v>
      </c>
      <c r="L944" s="23" t="s">
        <v>6875</v>
      </c>
      <c r="M944" s="24" t="s">
        <v>6876</v>
      </c>
      <c r="N944" s="24" t="s">
        <v>6877</v>
      </c>
      <c r="O944" s="24" t="s">
        <v>6878</v>
      </c>
      <c r="P944" s="25" t="s">
        <v>6879</v>
      </c>
      <c r="AC944" s="10" t="str">
        <f>IFERROR(__xludf.DUMMYFUNCTION("GOOGLETRANSLATE(K944,""my"", ""en"")"),"Chan  ငိမ်း ေကျာ")</f>
        <v>Chan  ငိမ်း ေကျာ</v>
      </c>
      <c r="AD944" s="10" t="str">
        <f>IFERROR(__xludf.DUMMYFUNCTION("GOOGLETRANSLATE(L944,""my"", ""en"")")," Game Democracy group   Pop Party")</f>
        <v> Game Democracy group   Pop Party</v>
      </c>
      <c r="AE944" s="10" t="str">
        <f>IFERROR(__xludf.DUMMYFUNCTION("GOOGLETRANSLATE(M944,""my"", ""en"")"),"155957")</f>
        <v>155957</v>
      </c>
      <c r="AF944" s="10" t="str">
        <f>IFERROR(__xludf.DUMMYFUNCTION("GOOGLETRANSLATE(N944,""my"", ""en"")"),"36320")</f>
        <v>36320</v>
      </c>
      <c r="AG944" s="10" t="str">
        <f>IFERROR(__xludf.DUMMYFUNCTION("GOOGLETRANSLATE(O944,""my"", ""en"")"),"192277")</f>
        <v>192277</v>
      </c>
      <c r="AH944" s="10" t="str">
        <f>IFERROR(__xludf.DUMMYFUNCTION("GOOGLETRANSLATE(P944,""my"", ""en"")"),"62.39%")</f>
        <v>62.39%</v>
      </c>
    </row>
    <row r="945" ht="22.5" customHeigh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3" t="s">
        <v>6880</v>
      </c>
      <c r="L945" s="23" t="s">
        <v>6881</v>
      </c>
      <c r="M945" s="24" t="s">
        <v>6882</v>
      </c>
      <c r="N945" s="24" t="s">
        <v>6883</v>
      </c>
      <c r="O945" s="24" t="s">
        <v>6884</v>
      </c>
      <c r="P945" s="25" t="s">
        <v>6885</v>
      </c>
      <c r="AC945" s="10" t="str">
        <f>IFERROR(__xludf.DUMMYFUNCTION("GOOGLETRANSLATE(K945,""my"", ""en"")"),"daylight")</f>
        <v>daylight</v>
      </c>
      <c r="AD945" s="10" t="str">
        <f>IFERROR(__xludf.DUMMYFUNCTION("GOOGLETRANSLATE(L945,""my"", ""en"")"),"Local ေထာင် soap-stone strong ေရး  under development  Phil  ေရး Party")</f>
        <v>Local ေထာင် soap-stone strong ေရး  under development  Phil  ေရး Party</v>
      </c>
      <c r="AE945" s="10" t="str">
        <f>IFERROR(__xludf.DUMMYFUNCTION("GOOGLETRANSLATE(M945,""my"", ""en"")"),"87764")</f>
        <v>87764</v>
      </c>
      <c r="AF945" s="10" t="str">
        <f>IFERROR(__xludf.DUMMYFUNCTION("GOOGLETRANSLATE(N945,""my"", ""en"")"),"22551")</f>
        <v>22551</v>
      </c>
      <c r="AG945" s="10" t="str">
        <f>IFERROR(__xludf.DUMMYFUNCTION("GOOGLETRANSLATE(O945,""my"", ""en"")"),"110315")</f>
        <v>110315</v>
      </c>
      <c r="AH945" s="10" t="str">
        <f>IFERROR(__xludf.DUMMYFUNCTION("GOOGLETRANSLATE(P945,""my"", ""en"")"),"35.79%")</f>
        <v>35.79%</v>
      </c>
    </row>
    <row r="946" ht="22.5" customHeigh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3" t="s">
        <v>6886</v>
      </c>
      <c r="L946" s="23" t="s">
        <v>6887</v>
      </c>
      <c r="M946" s="24" t="s">
        <v>6888</v>
      </c>
      <c r="N946" s="24" t="s">
        <v>6889</v>
      </c>
      <c r="O946" s="24" t="s">
        <v>6890</v>
      </c>
      <c r="P946" s="25" t="s">
        <v>6891</v>
      </c>
      <c r="AC946" s="10" t="str">
        <f>IFERROR(__xludf.DUMMYFUNCTION("GOOGLETRANSLATE(K946,""my"", ""en"")"),"ေဇာ")</f>
        <v>ေဇာ</v>
      </c>
      <c r="AD946" s="10" t="str">
        <f>IFERROR(__xludf.DUMMYFUNCTION("GOOGLETRANSLATE(L946,""my"", ""en"")"),"Local ေထာင် စုေ white  Game ေဆာင် Party")</f>
        <v>Local ေထာင် စုေ white  Game ေဆာင် Party</v>
      </c>
      <c r="AE946" s="10" t="str">
        <f>IFERROR(__xludf.DUMMYFUNCTION("GOOGLETRANSLATE(M946,""my"", ""en"")"),"4686")</f>
        <v>4686</v>
      </c>
      <c r="AF946" s="10" t="str">
        <f>IFERROR(__xludf.DUMMYFUNCTION("GOOGLETRANSLATE(N946,""my"", ""en"")"),"934")</f>
        <v>934</v>
      </c>
      <c r="AG946" s="10" t="str">
        <f>IFERROR(__xludf.DUMMYFUNCTION("GOOGLETRANSLATE(O946,""my"", ""en"")"),"5620")</f>
        <v>5620</v>
      </c>
      <c r="AH946" s="10" t="str">
        <f>IFERROR(__xludf.DUMMYFUNCTION("GOOGLETRANSLATE(P946,""my"", ""en"")"),"1.82%")</f>
        <v>1.82%</v>
      </c>
    </row>
    <row r="947" ht="21.75" customHeight="1">
      <c r="A947" s="28" t="s">
        <v>6892</v>
      </c>
      <c r="B947" s="17" t="s">
        <v>6893</v>
      </c>
      <c r="C947" s="18" t="s">
        <v>6894</v>
      </c>
      <c r="D947" s="17" t="s">
        <v>6895</v>
      </c>
      <c r="E947" s="18" t="s">
        <v>6896</v>
      </c>
      <c r="F947" s="17" t="s">
        <v>6897</v>
      </c>
      <c r="G947" s="18" t="s">
        <v>6898</v>
      </c>
      <c r="H947" s="18" t="s">
        <v>6899</v>
      </c>
      <c r="I947" s="18" t="s">
        <v>6900</v>
      </c>
      <c r="J947" s="18" t="s">
        <v>6901</v>
      </c>
      <c r="K947" s="27"/>
      <c r="L947" s="27"/>
      <c r="M947" s="18" t="s">
        <v>6902</v>
      </c>
      <c r="N947" s="18" t="s">
        <v>6903</v>
      </c>
      <c r="O947" s="18" t="s">
        <v>6904</v>
      </c>
      <c r="P947" s="27"/>
      <c r="S947" s="10" t="str">
        <f>IFERROR(__xludf.DUMMYFUNCTION("GOOGLETRANSLATE(A947,""my"", ""en"")"),"160")</f>
        <v>160</v>
      </c>
      <c r="T947" s="10" t="str">
        <f>IFERROR(__xludf.DUMMYFUNCTION("GOOGLETRANSLATE(B947,""my"", ""en"")"),"မဲဆ  No. (11)")</f>
        <v>မဲဆ  No. (11)</v>
      </c>
      <c r="U947" s="10" t="str">
        <f>IFERROR(__xludf.DUMMYFUNCTION("GOOGLETRANSLATE(C947,""my"", ""en"")"),"411382")</f>
        <v>411382</v>
      </c>
      <c r="V947" s="10" t="str">
        <f>IFERROR(__xludf.DUMMYFUNCTION("GOOGLETRANSLATE(D947,""my"", ""en"")"),"238196")</f>
        <v>238196</v>
      </c>
      <c r="W947" s="10" t="str">
        <f>IFERROR(__xludf.DUMMYFUNCTION("GOOGLETRANSLATE(E947,""my"", ""en"")"),"87079")</f>
        <v>87079</v>
      </c>
      <c r="X947" s="10" t="str">
        <f>IFERROR(__xludf.DUMMYFUNCTION("GOOGLETRANSLATE(F947,""my"", ""en"")"),"325275")</f>
        <v>325275</v>
      </c>
      <c r="Y947" s="10" t="str">
        <f>IFERROR(__xludf.DUMMYFUNCTION("GOOGLETRANSLATE(G947,""my"", ""en"")"),"79.07")</f>
        <v>79.07</v>
      </c>
      <c r="Z947" s="10" t="str">
        <f>IFERROR(__xludf.DUMMYFUNCTION("GOOGLETRANSLATE(H947,""my"", ""en"")"),"6419")</f>
        <v>6419</v>
      </c>
      <c r="AA947" s="10" t="str">
        <f>IFERROR(__xludf.DUMMYFUNCTION("GOOGLETRANSLATE(I947,""my"", ""en"")"),"44")</f>
        <v>44</v>
      </c>
      <c r="AB947" s="10" t="str">
        <f>IFERROR(__xludf.DUMMYFUNCTION("GOOGLETRANSLATE(J947,""my"", ""en"")"),"6463")</f>
        <v>6463</v>
      </c>
      <c r="AE947" s="10" t="str">
        <f>IFERROR(__xludf.DUMMYFUNCTION("GOOGLETRANSLATE(M947,""my"", ""en"")"),"233227")</f>
        <v>233227</v>
      </c>
      <c r="AF947" s="10" t="str">
        <f>IFERROR(__xludf.DUMMYFUNCTION("GOOGLETRANSLATE(N947,""my"", ""en"")"),"85585")</f>
        <v>85585</v>
      </c>
      <c r="AG947" s="10" t="str">
        <f>IFERROR(__xludf.DUMMYFUNCTION("GOOGLETRANSLATE(O947,""my"", ""en"")"),"318812")</f>
        <v>318812</v>
      </c>
    </row>
    <row r="948" ht="25.5" customHeigh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3" t="s">
        <v>6905</v>
      </c>
      <c r="L948" s="23" t="s">
        <v>6906</v>
      </c>
      <c r="M948" s="24" t="s">
        <v>6907</v>
      </c>
      <c r="N948" s="24" t="s">
        <v>6908</v>
      </c>
      <c r="O948" s="24" t="s">
        <v>6909</v>
      </c>
      <c r="P948" s="25" t="s">
        <v>6910</v>
      </c>
      <c r="AC948" s="10" t="str">
        <f>IFERROR(__xludf.DUMMYFUNCTION("GOOGLETRANSLATE(K948,""my"", ""en"")"),"Zay cold garden")</f>
        <v>Zay cold garden</v>
      </c>
      <c r="AD948" s="10" t="str">
        <f>IFERROR(__xludf.DUMMYFUNCTION("GOOGLETRANSLATE(L948,""my"", ""en"")")," Game Democracy group   Pop Party")</f>
        <v> Game Democracy group   Pop Party</v>
      </c>
      <c r="AE948" s="10" t="str">
        <f>IFERROR(__xludf.DUMMYFUNCTION("GOOGLETRANSLATE(M948,""my"", ""en"")"),"161905")</f>
        <v>161905</v>
      </c>
      <c r="AF948" s="10" t="str">
        <f>IFERROR(__xludf.DUMMYFUNCTION("GOOGLETRANSLATE(N948,""my"", ""en"")"),"55880")</f>
        <v>55880</v>
      </c>
      <c r="AG948" s="10" t="str">
        <f>IFERROR(__xludf.DUMMYFUNCTION("GOOGLETRANSLATE(O948,""my"", ""en"")"),"217785")</f>
        <v>217785</v>
      </c>
      <c r="AH948" s="10" t="str">
        <f>IFERROR(__xludf.DUMMYFUNCTION("GOOGLETRANSLATE(P948,""my"", ""en"")"),"68.31%")</f>
        <v>68.31%</v>
      </c>
    </row>
    <row r="949" ht="24.75" customHeigh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3" t="s">
        <v>6911</v>
      </c>
      <c r="L949" s="23" t="s">
        <v>6912</v>
      </c>
      <c r="M949" s="24" t="s">
        <v>6913</v>
      </c>
      <c r="N949" s="24" t="s">
        <v>6914</v>
      </c>
      <c r="O949" s="24" t="s">
        <v>6915</v>
      </c>
      <c r="P949" s="25" t="s">
        <v>6916</v>
      </c>
      <c r="AC949" s="10" t="str">
        <f>IFERROR(__xludf.DUMMYFUNCTION("GOOGLETRANSLATE(K949,""my"", ""en"")")," Game")</f>
        <v> Game</v>
      </c>
      <c r="AD949" s="10" t="str">
        <f>IFERROR(__xludf.DUMMYFUNCTION("GOOGLETRANSLATE(L949,""my"", ""en"")"),"Local ေထာင် soap-stone strong ေရး  under development  Phil  ေရး Party")</f>
        <v>Local ေထာင် soap-stone strong ေရး  under development  Phil  ေရး Party</v>
      </c>
      <c r="AE949" s="10" t="str">
        <f>IFERROR(__xludf.DUMMYFUNCTION("GOOGLETRANSLATE(M949,""my"", ""en"")"),"69035")</f>
        <v>69035</v>
      </c>
      <c r="AF949" s="10" t="str">
        <f>IFERROR(__xludf.DUMMYFUNCTION("GOOGLETRANSLATE(N949,""my"", ""en"")"),"28648")</f>
        <v>28648</v>
      </c>
      <c r="AG949" s="10" t="str">
        <f>IFERROR(__xludf.DUMMYFUNCTION("GOOGLETRANSLATE(O949,""my"", ""en"")"),"97683")</f>
        <v>97683</v>
      </c>
      <c r="AH949" s="10" t="str">
        <f>IFERROR(__xludf.DUMMYFUNCTION("GOOGLETRANSLATE(P949,""my"", ""en"")"),"30.64%")</f>
        <v>30.64%</v>
      </c>
    </row>
    <row r="950" ht="24.75" customHeigh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3" t="s">
        <v>6917</v>
      </c>
      <c r="L950" s="23" t="s">
        <v>6918</v>
      </c>
      <c r="M950" s="24" t="s">
        <v>6919</v>
      </c>
      <c r="N950" s="24" t="s">
        <v>6920</v>
      </c>
      <c r="O950" s="24" t="s">
        <v>6921</v>
      </c>
      <c r="P950" s="25" t="s">
        <v>6922</v>
      </c>
      <c r="AC950" s="10" t="str">
        <f>IFERROR(__xludf.DUMMYFUNCTION("GOOGLETRANSLATE(K950,""my"", ""en"")"),"ေအာင်")</f>
        <v>ေအာင်</v>
      </c>
      <c r="AD950" s="10" t="str">
        <f>IFERROR(__xludf.DUMMYFUNCTION("GOOGLETRANSLATE(L950,""my"", ""en"")"),"Local ေထာင် စုေ white  Game ေဆာင် Party")</f>
        <v>Local ေထာင် စုေ white  Game ေဆာင် Party</v>
      </c>
      <c r="AE950" s="10" t="str">
        <f>IFERROR(__xludf.DUMMYFUNCTION("GOOGLETRANSLATE(M950,""my"", ""en"")"),"2287")</f>
        <v>2287</v>
      </c>
      <c r="AF950" s="10" t="str">
        <f>IFERROR(__xludf.DUMMYFUNCTION("GOOGLETRANSLATE(N950,""my"", ""en"")"),"1057")</f>
        <v>1057</v>
      </c>
      <c r="AG950" s="10" t="str">
        <f>IFERROR(__xludf.DUMMYFUNCTION("GOOGLETRANSLATE(O950,""my"", ""en"")"),"3344")</f>
        <v>3344</v>
      </c>
      <c r="AH950" s="10" t="str">
        <f>IFERROR(__xludf.DUMMYFUNCTION("GOOGLETRANSLATE(P950,""my"", ""en"")"),"1.05%")</f>
        <v>1.05%</v>
      </c>
    </row>
    <row r="951" ht="22.5" customHeight="1">
      <c r="A951" s="28" t="s">
        <v>6923</v>
      </c>
      <c r="B951" s="17" t="s">
        <v>6924</v>
      </c>
      <c r="C951" s="18" t="s">
        <v>6925</v>
      </c>
      <c r="D951" s="17" t="s">
        <v>6926</v>
      </c>
      <c r="E951" s="18" t="s">
        <v>6927</v>
      </c>
      <c r="F951" s="17" t="s">
        <v>6928</v>
      </c>
      <c r="G951" s="18" t="s">
        <v>6929</v>
      </c>
      <c r="H951" s="18" t="s">
        <v>6930</v>
      </c>
      <c r="I951" s="18" t="s">
        <v>6931</v>
      </c>
      <c r="J951" s="18" t="s">
        <v>6932</v>
      </c>
      <c r="K951" s="27"/>
      <c r="L951" s="27"/>
      <c r="M951" s="18" t="s">
        <v>6933</v>
      </c>
      <c r="N951" s="18" t="s">
        <v>6934</v>
      </c>
      <c r="O951" s="18" t="s">
        <v>6935</v>
      </c>
      <c r="P951" s="27"/>
      <c r="S951" s="10" t="str">
        <f>IFERROR(__xludf.DUMMYFUNCTION("GOOGLETRANSLATE(A951,""my"", ""en"")"),"161")</f>
        <v>161</v>
      </c>
      <c r="T951" s="10" t="str">
        <f>IFERROR(__xludf.DUMMYFUNCTION("GOOGLETRANSLATE(B951,""my"", ""en"")"),"မဲဆ  No. (12)")</f>
        <v>မဲဆ  No. (12)</v>
      </c>
      <c r="U951" s="10" t="str">
        <f>IFERROR(__xludf.DUMMYFUNCTION("GOOGLETRANSLATE(C951,""my"", ""en"")"),"489535")</f>
        <v>489535</v>
      </c>
      <c r="V951" s="10" t="str">
        <f>IFERROR(__xludf.DUMMYFUNCTION("GOOGLETRANSLATE(D951,""my"", ""en"")"),"286664")</f>
        <v>286664</v>
      </c>
      <c r="W951" s="10" t="str">
        <f>IFERROR(__xludf.DUMMYFUNCTION("GOOGLETRANSLATE(E951,""my"", ""en"")"),"94821")</f>
        <v>94821</v>
      </c>
      <c r="X951" s="10" t="str">
        <f>IFERROR(__xludf.DUMMYFUNCTION("GOOGLETRANSLATE(F951,""my"", ""en"")"),"381485")</f>
        <v>381485</v>
      </c>
      <c r="Y951" s="10" t="str">
        <f>IFERROR(__xludf.DUMMYFUNCTION("GOOGLETRANSLATE(G951,""my"", ""en"")"),"77.93")</f>
        <v>77.93</v>
      </c>
      <c r="Z951" s="10" t="str">
        <f>IFERROR(__xludf.DUMMYFUNCTION("GOOGLETRANSLATE(H951,""my"", ""en"")"),"7252")</f>
        <v>7252</v>
      </c>
      <c r="AA951" s="10" t="str">
        <f>IFERROR(__xludf.DUMMYFUNCTION("GOOGLETRANSLATE(I951,""my"", ""en"")"),"90")</f>
        <v>90</v>
      </c>
      <c r="AB951" s="10" t="str">
        <f>IFERROR(__xludf.DUMMYFUNCTION("GOOGLETRANSLATE(J951,""my"", ""en"")"),"7342")</f>
        <v>7342</v>
      </c>
      <c r="AE951" s="10" t="str">
        <f>IFERROR(__xludf.DUMMYFUNCTION("GOOGLETRANSLATE(M951,""my"", ""en"")"),"279588")</f>
        <v>279588</v>
      </c>
      <c r="AF951" s="10" t="str">
        <f>IFERROR(__xludf.DUMMYFUNCTION("GOOGLETRANSLATE(N951,""my"", ""en"")"),"94555")</f>
        <v>94555</v>
      </c>
      <c r="AG951" s="10" t="str">
        <f>IFERROR(__xludf.DUMMYFUNCTION("GOOGLETRANSLATE(O951,""my"", ""en"")"),"374143")</f>
        <v>374143</v>
      </c>
    </row>
    <row r="952" ht="24.75" customHeigh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3" t="s">
        <v>6936</v>
      </c>
      <c r="L952" s="23" t="s">
        <v>6937</v>
      </c>
      <c r="M952" s="24" t="s">
        <v>6938</v>
      </c>
      <c r="N952" s="24" t="s">
        <v>6939</v>
      </c>
      <c r="O952" s="24" t="s">
        <v>6940</v>
      </c>
      <c r="P952" s="25" t="s">
        <v>6941</v>
      </c>
      <c r="AC952" s="10" t="str">
        <f>IFERROR(__xludf.DUMMYFUNCTION("GOOGLETRANSLATE(K952,""my"", ""en"")"),"Wine over ေမာင်")</f>
        <v>Wine over ေမာင်</v>
      </c>
      <c r="AD952" s="10" t="str">
        <f>IFERROR(__xludf.DUMMYFUNCTION("GOOGLETRANSLATE(L952,""my"", ""en"")")," Game Democracy group   Pop Party")</f>
        <v> Game Democracy group   Pop Party</v>
      </c>
      <c r="AE952" s="10" t="str">
        <f>IFERROR(__xludf.DUMMYFUNCTION("GOOGLETRANSLATE(M952,""my"", ""en"")"),"182848")</f>
        <v>182848</v>
      </c>
      <c r="AF952" s="10" t="str">
        <f>IFERROR(__xludf.DUMMYFUNCTION("GOOGLETRANSLATE(N952,""my"", ""en"")"),"59199")</f>
        <v>59199</v>
      </c>
      <c r="AG952" s="10" t="str">
        <f>IFERROR(__xludf.DUMMYFUNCTION("GOOGLETRANSLATE(O952,""my"", ""en"")"),"242047")</f>
        <v>242047</v>
      </c>
      <c r="AH952" s="10" t="str">
        <f>IFERROR(__xludf.DUMMYFUNCTION("GOOGLETRANSLATE(P952,""my"", ""en"")"),"64.69%")</f>
        <v>64.69%</v>
      </c>
    </row>
    <row r="953" ht="24.0" customHeigh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3" t="s">
        <v>6942</v>
      </c>
      <c r="L953" s="23" t="s">
        <v>6943</v>
      </c>
      <c r="M953" s="24" t="s">
        <v>6944</v>
      </c>
      <c r="N953" s="24" t="s">
        <v>6945</v>
      </c>
      <c r="O953" s="24" t="s">
        <v>6946</v>
      </c>
      <c r="P953" s="25" t="s">
        <v>6947</v>
      </c>
      <c r="AC953" s="10" t="str">
        <f>IFERROR(__xludf.DUMMYFUNCTION("GOOGLETRANSLATE(K953,""my"", ""en"")"),"Tin Soe")</f>
        <v>Tin Soe</v>
      </c>
      <c r="AD953" s="10" t="str">
        <f>IFERROR(__xludf.DUMMYFUNCTION("GOOGLETRANSLATE(L953,""my"", ""en"")"),"Local ေထာင် soap-stone strong ေရး  under development  Phil  ေရး Party")</f>
        <v>Local ေထာင် soap-stone strong ေရး  under development  Phil  ေရး Party</v>
      </c>
      <c r="AE953" s="10" t="str">
        <f>IFERROR(__xludf.DUMMYFUNCTION("GOOGLETRANSLATE(M953,""my"", ""en"")"),"88610")</f>
        <v>88610</v>
      </c>
      <c r="AF953" s="10" t="str">
        <f>IFERROR(__xludf.DUMMYFUNCTION("GOOGLETRANSLATE(N953,""my"", ""en"")"),"32261")</f>
        <v>32261</v>
      </c>
      <c r="AG953" s="10" t="str">
        <f>IFERROR(__xludf.DUMMYFUNCTION("GOOGLETRANSLATE(O953,""my"", ""en"")"),"120871")</f>
        <v>120871</v>
      </c>
      <c r="AH953" s="10" t="str">
        <f>IFERROR(__xludf.DUMMYFUNCTION("GOOGLETRANSLATE(P953,""my"", ""en"")"),"32.31%")</f>
        <v>32.31%</v>
      </c>
    </row>
    <row r="954" ht="24.75" customHeigh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3" t="s">
        <v>6948</v>
      </c>
      <c r="L954" s="23" t="s">
        <v>6949</v>
      </c>
      <c r="M954" s="24" t="s">
        <v>6950</v>
      </c>
      <c r="N954" s="24" t="s">
        <v>6951</v>
      </c>
      <c r="O954" s="24" t="s">
        <v>6952</v>
      </c>
      <c r="P954" s="25" t="s">
        <v>6953</v>
      </c>
      <c r="AC954" s="10" t="str">
        <f>IFERROR(__xludf.DUMMYFUNCTION("GOOGLETRANSLATE(K954,""my"", ""en"")"),"ေအာင် not strong")</f>
        <v>ေအာင် not strong</v>
      </c>
      <c r="AD954" s="10" t="str">
        <f>IFERROR(__xludf.DUMMYFUNCTION("GOOGLETRANSLATE(L954,""my"", ""en"")"),"Local ေထာင် စုေ white  Game ေဆာင် Party")</f>
        <v>Local ေထာင် စုေ white  Game ေဆာင် Party</v>
      </c>
      <c r="AE954" s="10" t="str">
        <f>IFERROR(__xludf.DUMMYFUNCTION("GOOGLETRANSLATE(M954,""my"", ""en"")"),"4419")</f>
        <v>4419</v>
      </c>
      <c r="AF954" s="10" t="str">
        <f>IFERROR(__xludf.DUMMYFUNCTION("GOOGLETRANSLATE(N954,""my"", ""en"")"),"1257")</f>
        <v>1257</v>
      </c>
      <c r="AG954" s="10" t="str">
        <f>IFERROR(__xludf.DUMMYFUNCTION("GOOGLETRANSLATE(O954,""my"", ""en"")"),"5676")</f>
        <v>5676</v>
      </c>
      <c r="AH954" s="10" t="str">
        <f>IFERROR(__xludf.DUMMYFUNCTION("GOOGLETRANSLATE(P954,""my"", ""en"")"),"1.52%")</f>
        <v>1.52%</v>
      </c>
    </row>
    <row r="955" ht="24.0" customHeigh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3" t="s">
        <v>6954</v>
      </c>
      <c r="L955" s="23" t="s">
        <v>6955</v>
      </c>
      <c r="M955" s="24" t="s">
        <v>6956</v>
      </c>
      <c r="N955" s="24" t="s">
        <v>6957</v>
      </c>
      <c r="O955" s="24" t="s">
        <v>6958</v>
      </c>
      <c r="P955" s="25" t="s">
        <v>6959</v>
      </c>
      <c r="AC955" s="10" t="str">
        <f>IFERROR(__xludf.DUMMYFUNCTION("GOOGLETRANSLATE(K955,""my"", ""en"")"),"Tin Con")</f>
        <v>Tin Con</v>
      </c>
      <c r="AD955" s="10" t="str">
        <f>IFERROR(__xludf.DUMMYFUNCTION("GOOGLETRANSLATE(L955,""my"", ""en"")"),"Ethnic unity  working party ေရး")</f>
        <v>Ethnic unity  working party ေရး</v>
      </c>
      <c r="AE955" s="10" t="str">
        <f>IFERROR(__xludf.DUMMYFUNCTION("GOOGLETRANSLATE(M955,""my"", ""en"")"),"1776")</f>
        <v>1776</v>
      </c>
      <c r="AF955" s="10" t="str">
        <f>IFERROR(__xludf.DUMMYFUNCTION("GOOGLETRANSLATE(N955,""my"", ""en"")"),"1041")</f>
        <v>1041</v>
      </c>
      <c r="AG955" s="10" t="str">
        <f>IFERROR(__xludf.DUMMYFUNCTION("GOOGLETRANSLATE(O955,""my"", ""en"")"),"2817")</f>
        <v>2817</v>
      </c>
      <c r="AH955" s="10" t="str">
        <f>IFERROR(__xludf.DUMMYFUNCTION("GOOGLETRANSLATE(P955,""my"", ""en"")"),"0.75%")</f>
        <v>0.75%</v>
      </c>
    </row>
    <row r="956" ht="24.75" customHeigh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3" t="s">
        <v>6960</v>
      </c>
      <c r="L956" s="23" t="s">
        <v>6961</v>
      </c>
      <c r="M956" s="24" t="s">
        <v>6962</v>
      </c>
      <c r="N956" s="24" t="s">
        <v>6963</v>
      </c>
      <c r="O956" s="24" t="s">
        <v>6964</v>
      </c>
      <c r="P956" s="25" t="s">
        <v>6965</v>
      </c>
      <c r="AC956" s="10" t="str">
        <f>IFERROR(__xludf.DUMMYFUNCTION("GOOGLETRANSLATE(K956,""my"", ""en"")"),"ေဒ   Game")</f>
        <v>ေဒ   Game</v>
      </c>
      <c r="AD956" s="10" t="str">
        <f>IFERROR(__xludf.DUMMYFUNCTION("GOOGLETRANSLATE(L956,""my"", ""en"")"),"ပည်သူ Party")</f>
        <v>ပည်သူ Party</v>
      </c>
      <c r="AE956" s="10" t="str">
        <f>IFERROR(__xludf.DUMMYFUNCTION("GOOGLETRANSLATE(M956,""my"", ""en"")"),"1336")</f>
        <v>1336</v>
      </c>
      <c r="AF956" s="10" t="str">
        <f>IFERROR(__xludf.DUMMYFUNCTION("GOOGLETRANSLATE(N956,""my"", ""en"")"),"555")</f>
        <v>555</v>
      </c>
      <c r="AG956" s="10" t="str">
        <f>IFERROR(__xludf.DUMMYFUNCTION("GOOGLETRANSLATE(O956,""my"", ""en"")"),"1891")</f>
        <v>1891</v>
      </c>
      <c r="AH956" s="10" t="str">
        <f>IFERROR(__xludf.DUMMYFUNCTION("GOOGLETRANSLATE(P956,""my"", ""en"")"),"0.51%")</f>
        <v>0.51%</v>
      </c>
    </row>
    <row r="957" ht="24.0" customHeigh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3" t="s">
        <v>6966</v>
      </c>
      <c r="L957" s="23" t="s">
        <v>6967</v>
      </c>
      <c r="M957" s="24" t="s">
        <v>6968</v>
      </c>
      <c r="N957" s="24" t="s">
        <v>6969</v>
      </c>
      <c r="O957" s="24" t="s">
        <v>6970</v>
      </c>
      <c r="P957" s="25" t="s">
        <v>6971</v>
      </c>
      <c r="AC957" s="10" t="str">
        <f>IFERROR(__xludf.DUMMYFUNCTION("GOOGLETRANSLATE(K957,""my"", ""en"")"),"U Hla Tun ေအာင်")</f>
        <v>U Hla Tun ေအာင်</v>
      </c>
      <c r="AD957" s="10" t="str">
        <f>IFERROR(__xludf.DUMMYFUNCTION("GOOGLETRANSLATE(L957,""my"", ""en"")"),"Personal ")</f>
        <v>Personal </v>
      </c>
      <c r="AE957" s="10" t="str">
        <f>IFERROR(__xludf.DUMMYFUNCTION("GOOGLETRANSLATE(M957,""my"", ""en"")"),"599")</f>
        <v>599</v>
      </c>
      <c r="AF957" s="10" t="str">
        <f>IFERROR(__xludf.DUMMYFUNCTION("GOOGLETRANSLATE(N957,""my"", ""en"")"),"242")</f>
        <v>242</v>
      </c>
      <c r="AG957" s="10" t="str">
        <f>IFERROR(__xludf.DUMMYFUNCTION("GOOGLETRANSLATE(O957,""my"", ""en"")"),"841")</f>
        <v>841</v>
      </c>
      <c r="AH957" s="10" t="str">
        <f>IFERROR(__xludf.DUMMYFUNCTION("GOOGLETRANSLATE(P957,""my"", ""en"")"),"0.22%")</f>
        <v>0.22%</v>
      </c>
    </row>
    <row r="958" ht="24.0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58"/>
      <c r="L958" s="58"/>
      <c r="M958" s="59"/>
      <c r="N958" s="59"/>
      <c r="O958" s="59"/>
      <c r="P958" s="60"/>
    </row>
  </sheetData>
  <mergeCells count="21">
    <mergeCell ref="K2:K3"/>
    <mergeCell ref="L2:L3"/>
    <mergeCell ref="M2:O2"/>
    <mergeCell ref="P2:P3"/>
    <mergeCell ref="A1:Q1"/>
    <mergeCell ref="A2:A3"/>
    <mergeCell ref="B2:B3"/>
    <mergeCell ref="C2:C3"/>
    <mergeCell ref="D2:F2"/>
    <mergeCell ref="G2:G3"/>
    <mergeCell ref="H2:J2"/>
    <mergeCell ref="Z2:AB2"/>
    <mergeCell ref="AE2:AG2"/>
    <mergeCell ref="S2:S3"/>
    <mergeCell ref="T2:T3"/>
    <mergeCell ref="U2:U3"/>
    <mergeCell ref="V2:X2"/>
    <mergeCell ref="Y2:Y3"/>
    <mergeCell ref="AC2:AC3"/>
    <mergeCell ref="AD2:AD3"/>
    <mergeCell ref="AH2:AH3"/>
  </mergeCells>
  <printOptions/>
  <pageMargins bottom="0.75" footer="0.0" header="0.0" left="0.7" right="0.7" top="0.75"/>
  <pageSetup orientation="landscape"/>
  <drawing r:id="rId1"/>
</worksheet>
</file>