
<file path=[Content_Types].xml><?xml version="1.0" encoding="utf-8"?>
<Types xmlns="http://schemas.openxmlformats.org/package/2006/content-type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ThisWorkbook" defaultThemeVersion="166925"/>
  <mc:AlternateContent xmlns:mc="http://schemas.openxmlformats.org/markup-compatibility/2006">
    <mc:Choice Requires="x15">
      <x15ac:absPath xmlns:x15ac="http://schemas.microsoft.com/office/spreadsheetml/2010/11/ac" url="/Users/nick/Documents/NicksSoftware/UGR_LCM_Weber/"/>
    </mc:Choice>
  </mc:AlternateContent>
  <xr:revisionPtr revIDLastSave="0" documentId="13_ncr:1_{5018B334-3FB5-9649-8D21-F93618A516BC}" xr6:coauthVersionLast="36" xr6:coauthVersionMax="36" xr10:uidLastSave="{00000000-0000-0000-0000-000000000000}"/>
  <bookViews>
    <workbookView xWindow="640" yWindow="1020" windowWidth="40760" windowHeight="24200" xr2:uid="{BDC6114A-2371-C44B-9A16-408EBE939B3C}"/>
  </bookViews>
  <sheets>
    <sheet name="Model" sheetId="2" r:id="rId1"/>
    <sheet name="Inputs" sheetId="1" r:id="rId2"/>
    <sheet name="Settings" sheetId="8" r:id="rId3"/>
    <sheet name="Scenarios" sheetId="3" r:id="rId4"/>
    <sheet name="Fry_Parr_p" sheetId="7" r:id="rId5"/>
    <sheet name="Fry_Parr_c_I" sheetId="11" r:id="rId6"/>
    <sheet name="Fry_Parr_c_II" sheetId="13" r:id="rId7"/>
    <sheet name="Parr_PreSmolt" sheetId="15" r:id="rId8"/>
    <sheet name="PreSmolt_LGDSmolt" sheetId="14" r:id="rId9"/>
    <sheet name="SAR" sheetId="5" r:id="rId10"/>
    <sheet name="Spawner_Egg_p" sheetId="6" r:id="rId11"/>
    <sheet name="Spawner_Egg_c" sheetId="12" r:id="rId12"/>
    <sheet name="HatchRelease_LGDSmolt" sheetId="9" r:id="rId13"/>
    <sheet name="PassedAdult_Spawner" sheetId="10" r:id="rId14"/>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8" l="1"/>
  <c r="B9" i="8"/>
  <c r="O71" i="10" l="1"/>
  <c r="O70" i="10"/>
  <c r="E15" i="1"/>
  <c r="D15" i="1"/>
  <c r="D4" i="10"/>
  <c r="D3" i="10"/>
  <c r="C4" i="10"/>
  <c r="C3" i="10"/>
  <c r="O48" i="10"/>
  <c r="N48" i="10"/>
  <c r="D55" i="10"/>
  <c r="O47" i="10"/>
  <c r="E55" i="10" l="1"/>
  <c r="N49" i="10"/>
  <c r="N47" i="10"/>
  <c r="R20" i="7"/>
  <c r="D32" i="10"/>
  <c r="H32" i="10"/>
  <c r="I32" i="10"/>
  <c r="J32" i="10"/>
  <c r="D33" i="10"/>
  <c r="H33" i="10"/>
  <c r="I33" i="10"/>
  <c r="J33" i="10"/>
  <c r="D34" i="10"/>
  <c r="H34" i="10"/>
  <c r="I34" i="10"/>
  <c r="J34" i="10"/>
  <c r="D35" i="10"/>
  <c r="H35" i="10"/>
  <c r="I35" i="10"/>
  <c r="J35" i="10"/>
  <c r="D36" i="10"/>
  <c r="H36" i="10"/>
  <c r="I36" i="10"/>
  <c r="J36" i="10"/>
  <c r="D37" i="10"/>
  <c r="H37" i="10"/>
  <c r="I37" i="10"/>
  <c r="J37" i="10"/>
  <c r="D38" i="10"/>
  <c r="H38" i="10"/>
  <c r="I38" i="10"/>
  <c r="J38" i="10"/>
  <c r="D39" i="10"/>
  <c r="H39" i="10"/>
  <c r="I39" i="10"/>
  <c r="J39" i="10"/>
  <c r="D40" i="10"/>
  <c r="H40" i="10"/>
  <c r="I40" i="10"/>
  <c r="J40" i="10"/>
  <c r="D41" i="10"/>
  <c r="H41" i="10"/>
  <c r="I41" i="10"/>
  <c r="J41" i="10"/>
  <c r="D42" i="10"/>
  <c r="H42" i="10"/>
  <c r="I42" i="10"/>
  <c r="J42" i="10"/>
  <c r="D43" i="10"/>
  <c r="H43" i="10"/>
  <c r="I43" i="10"/>
  <c r="J43" i="10"/>
  <c r="D44" i="10"/>
  <c r="H44" i="10"/>
  <c r="I44" i="10"/>
  <c r="J44" i="10"/>
  <c r="D45" i="10"/>
  <c r="H45" i="10"/>
  <c r="I45" i="10"/>
  <c r="J45" i="10"/>
  <c r="I5" i="1" l="1"/>
  <c r="I4" i="1"/>
  <c r="H5" i="1"/>
  <c r="H4" i="1"/>
  <c r="C6" i="15"/>
  <c r="C5" i="15"/>
  <c r="E17" i="14" l="1"/>
  <c r="D5" i="14"/>
  <c r="D4" i="14"/>
  <c r="E6" i="1" s="1"/>
  <c r="D6" i="14"/>
  <c r="E7" i="1" s="1"/>
  <c r="D3" i="14"/>
  <c r="C5" i="14"/>
  <c r="C6" i="14"/>
  <c r="D7" i="1" s="1"/>
  <c r="E16" i="14"/>
  <c r="C4" i="14" s="1"/>
  <c r="D6" i="1" s="1"/>
  <c r="E15" i="14"/>
  <c r="E14" i="14"/>
  <c r="C3" i="14" s="1"/>
  <c r="D4" i="13"/>
  <c r="D5" i="13"/>
  <c r="D6" i="13"/>
  <c r="D7" i="13"/>
  <c r="D8" i="13"/>
  <c r="D9" i="13"/>
  <c r="D10" i="13"/>
  <c r="D11" i="13"/>
  <c r="D12" i="13"/>
  <c r="D13" i="13"/>
  <c r="D14" i="13"/>
  <c r="D15" i="13"/>
  <c r="D16" i="13"/>
  <c r="D3" i="13"/>
  <c r="C5" i="13"/>
  <c r="C13" i="13"/>
  <c r="C16" i="13"/>
  <c r="F22" i="13"/>
  <c r="G22" i="13" s="1"/>
  <c r="C3" i="13" s="1"/>
  <c r="F30" i="13"/>
  <c r="G30" i="13" s="1"/>
  <c r="C11" i="13" s="1"/>
  <c r="F31" i="13"/>
  <c r="G31" i="13" s="1"/>
  <c r="C12" i="13" s="1"/>
  <c r="F32" i="13"/>
  <c r="G32" i="13" s="1"/>
  <c r="F33" i="13"/>
  <c r="G33" i="13" s="1"/>
  <c r="C14" i="13" s="1"/>
  <c r="F34" i="13"/>
  <c r="G34" i="13" s="1"/>
  <c r="C15" i="13" s="1"/>
  <c r="F35" i="13"/>
  <c r="G35" i="13" s="1"/>
  <c r="F29" i="13"/>
  <c r="G29" i="13" s="1"/>
  <c r="C10" i="13" s="1"/>
  <c r="F23" i="13"/>
  <c r="G23" i="13" s="1"/>
  <c r="C4" i="13" s="1"/>
  <c r="F24" i="13"/>
  <c r="G24" i="13" s="1"/>
  <c r="F25" i="13"/>
  <c r="G25" i="13" s="1"/>
  <c r="C6" i="13" s="1"/>
  <c r="F26" i="13"/>
  <c r="G26" i="13" s="1"/>
  <c r="C7" i="13" s="1"/>
  <c r="F27" i="13"/>
  <c r="G27" i="13" s="1"/>
  <c r="C8" i="13" s="1"/>
  <c r="F28" i="13"/>
  <c r="G28" i="13" s="1"/>
  <c r="C9" i="13" s="1"/>
  <c r="D23" i="13"/>
  <c r="A4" i="13" s="1"/>
  <c r="D24" i="13"/>
  <c r="A5" i="13" s="1"/>
  <c r="D25" i="13"/>
  <c r="A6" i="13" s="1"/>
  <c r="D26" i="13"/>
  <c r="A7" i="13" s="1"/>
  <c r="D27" i="13"/>
  <c r="A8" i="13" s="1"/>
  <c r="D28" i="13"/>
  <c r="A9" i="13" s="1"/>
  <c r="D29" i="13"/>
  <c r="A10" i="13" s="1"/>
  <c r="D30" i="13"/>
  <c r="A11" i="13" s="1"/>
  <c r="D31" i="13"/>
  <c r="A12" i="13" s="1"/>
  <c r="D32" i="13"/>
  <c r="A13" i="13" s="1"/>
  <c r="D33" i="13"/>
  <c r="A14" i="13" s="1"/>
  <c r="D34" i="13"/>
  <c r="A15" i="13" s="1"/>
  <c r="D35" i="13"/>
  <c r="A16" i="13" s="1"/>
  <c r="D22" i="13"/>
  <c r="A3" i="13" s="1"/>
  <c r="C9" i="12"/>
  <c r="A6" i="12"/>
  <c r="J28" i="12"/>
  <c r="D6" i="12" s="1"/>
  <c r="J38" i="12"/>
  <c r="D16" i="12" s="1"/>
  <c r="I38" i="12"/>
  <c r="C16" i="12" s="1"/>
  <c r="H38" i="12"/>
  <c r="D38" i="12"/>
  <c r="A16" i="12" s="1"/>
  <c r="J37" i="12"/>
  <c r="D15" i="12" s="1"/>
  <c r="I37" i="12"/>
  <c r="C15" i="12" s="1"/>
  <c r="H37" i="12"/>
  <c r="D37" i="12"/>
  <c r="A15" i="12" s="1"/>
  <c r="J36" i="12"/>
  <c r="D14" i="12" s="1"/>
  <c r="I36" i="12"/>
  <c r="C14" i="12" s="1"/>
  <c r="H36" i="12"/>
  <c r="D36" i="12"/>
  <c r="A14" i="12" s="1"/>
  <c r="J35" i="12"/>
  <c r="D13" i="12" s="1"/>
  <c r="I35" i="12"/>
  <c r="C13" i="12" s="1"/>
  <c r="H35" i="12"/>
  <c r="D35" i="12"/>
  <c r="A13" i="12" s="1"/>
  <c r="J34" i="12"/>
  <c r="D12" i="12" s="1"/>
  <c r="I34" i="12"/>
  <c r="C12" i="12" s="1"/>
  <c r="H34" i="12"/>
  <c r="D34" i="12"/>
  <c r="A12" i="12" s="1"/>
  <c r="J33" i="12"/>
  <c r="D11" i="12" s="1"/>
  <c r="I33" i="12"/>
  <c r="C11" i="12" s="1"/>
  <c r="H33" i="12"/>
  <c r="D33" i="12"/>
  <c r="A11" i="12" s="1"/>
  <c r="J32" i="12"/>
  <c r="D10" i="12" s="1"/>
  <c r="I32" i="12"/>
  <c r="C10" i="12" s="1"/>
  <c r="H32" i="12"/>
  <c r="D32" i="12"/>
  <c r="A10" i="12" s="1"/>
  <c r="J31" i="12"/>
  <c r="D9" i="12" s="1"/>
  <c r="I31" i="12"/>
  <c r="H31" i="12"/>
  <c r="D31" i="12"/>
  <c r="A9" i="12" s="1"/>
  <c r="J30" i="12"/>
  <c r="D8" i="12" s="1"/>
  <c r="I30" i="12"/>
  <c r="C8" i="12" s="1"/>
  <c r="H30" i="12"/>
  <c r="D30" i="12"/>
  <c r="A8" i="12" s="1"/>
  <c r="J29" i="12"/>
  <c r="D7" i="12" s="1"/>
  <c r="I29" i="12"/>
  <c r="C7" i="12" s="1"/>
  <c r="H29" i="12"/>
  <c r="D29" i="12"/>
  <c r="A7" i="12" s="1"/>
  <c r="I28" i="12"/>
  <c r="C6" i="12" s="1"/>
  <c r="H28" i="12"/>
  <c r="D28" i="12"/>
  <c r="J27" i="12"/>
  <c r="D5" i="12" s="1"/>
  <c r="I27" i="12"/>
  <c r="C5" i="12" s="1"/>
  <c r="H27" i="12"/>
  <c r="D27" i="12"/>
  <c r="A5" i="12" s="1"/>
  <c r="J26" i="12"/>
  <c r="D4" i="12" s="1"/>
  <c r="I26" i="12"/>
  <c r="C4" i="12" s="1"/>
  <c r="H26" i="12"/>
  <c r="D26" i="12"/>
  <c r="A4" i="12" s="1"/>
  <c r="J25" i="12"/>
  <c r="D3" i="12" s="1"/>
  <c r="I25" i="12"/>
  <c r="C3" i="12" s="1"/>
  <c r="H25" i="12"/>
  <c r="D25" i="12"/>
  <c r="A3" i="12" s="1"/>
  <c r="K114" i="11"/>
  <c r="K113" i="11"/>
  <c r="K112" i="11"/>
  <c r="K111" i="11"/>
  <c r="K110" i="11"/>
  <c r="K109" i="11"/>
  <c r="K108" i="11"/>
  <c r="K107" i="11"/>
  <c r="K106" i="11"/>
  <c r="K105" i="11"/>
  <c r="K104" i="11"/>
  <c r="K103" i="11"/>
  <c r="K102" i="11"/>
  <c r="K101" i="11"/>
  <c r="K100" i="11"/>
  <c r="K99" i="11"/>
  <c r="K98" i="11"/>
  <c r="K97" i="11"/>
  <c r="K96" i="11"/>
  <c r="K95" i="11"/>
  <c r="K94" i="11"/>
  <c r="K93" i="11"/>
  <c r="K92" i="11"/>
  <c r="K91" i="11"/>
  <c r="K90" i="11"/>
  <c r="K89" i="11"/>
  <c r="K88" i="11"/>
  <c r="K87" i="11"/>
  <c r="K86" i="11"/>
  <c r="K85" i="11"/>
  <c r="K84" i="11"/>
  <c r="K83" i="11"/>
  <c r="K82" i="11"/>
  <c r="K81" i="11"/>
  <c r="K80" i="11"/>
  <c r="K79" i="11"/>
  <c r="K78" i="11"/>
  <c r="K77" i="11"/>
  <c r="K76" i="11"/>
  <c r="K75" i="11"/>
  <c r="K74" i="11"/>
  <c r="K73" i="11"/>
  <c r="K72" i="11"/>
  <c r="K71" i="11"/>
  <c r="K70" i="11"/>
  <c r="K69" i="11"/>
  <c r="K68" i="11"/>
  <c r="K67" i="11"/>
  <c r="K66" i="11"/>
  <c r="K65" i="11"/>
  <c r="K64" i="11"/>
  <c r="K63" i="11"/>
  <c r="K62" i="11"/>
  <c r="K61" i="11"/>
  <c r="K60" i="11"/>
  <c r="K59" i="11"/>
  <c r="K58" i="11"/>
  <c r="K57" i="11"/>
  <c r="K56" i="11"/>
  <c r="K55" i="11"/>
  <c r="K54" i="11"/>
  <c r="K53" i="11"/>
  <c r="K52" i="11"/>
  <c r="K51" i="11"/>
  <c r="K50" i="11"/>
  <c r="K49" i="11"/>
  <c r="K48" i="11"/>
  <c r="K47" i="11"/>
  <c r="K46" i="11"/>
  <c r="K45" i="11"/>
  <c r="K44" i="11"/>
  <c r="K43" i="11"/>
  <c r="K42" i="11"/>
  <c r="K41" i="11"/>
  <c r="K40" i="11"/>
  <c r="K39" i="11"/>
  <c r="K38" i="11"/>
  <c r="K37" i="11"/>
  <c r="K36" i="11"/>
  <c r="S35" i="11"/>
  <c r="K35" i="11"/>
  <c r="K34" i="11"/>
  <c r="V33" i="11"/>
  <c r="T33" i="11"/>
  <c r="U33" i="11" s="1"/>
  <c r="K33" i="11"/>
  <c r="V32" i="11"/>
  <c r="T32" i="11"/>
  <c r="U32" i="11" s="1"/>
  <c r="K32" i="11"/>
  <c r="V31" i="11"/>
  <c r="T31" i="11"/>
  <c r="U31" i="11" s="1"/>
  <c r="K31" i="11"/>
  <c r="V30" i="11"/>
  <c r="T30" i="11"/>
  <c r="U30" i="11" s="1"/>
  <c r="K30" i="11"/>
  <c r="V29" i="11"/>
  <c r="T29" i="11"/>
  <c r="U29" i="11" s="1"/>
  <c r="K29" i="11"/>
  <c r="V28" i="11"/>
  <c r="T28" i="11"/>
  <c r="U28" i="11" s="1"/>
  <c r="K28" i="11"/>
  <c r="V27" i="11"/>
  <c r="T27" i="11"/>
  <c r="U27" i="11" s="1"/>
  <c r="K27" i="11"/>
  <c r="V26" i="11"/>
  <c r="T26" i="11"/>
  <c r="U26" i="11" s="1"/>
  <c r="K26" i="11"/>
  <c r="V25" i="11"/>
  <c r="T25" i="11"/>
  <c r="U25" i="11" s="1"/>
  <c r="K25" i="11"/>
  <c r="V24" i="11"/>
  <c r="T24" i="11"/>
  <c r="U24" i="11" s="1"/>
  <c r="K24" i="11"/>
  <c r="E24" i="11"/>
  <c r="V23" i="11"/>
  <c r="T23" i="11"/>
  <c r="U23" i="11" s="1"/>
  <c r="K23" i="11"/>
  <c r="V22" i="11"/>
  <c r="T22" i="11"/>
  <c r="U22" i="11" s="1"/>
  <c r="K22" i="11"/>
  <c r="H22" i="11"/>
  <c r="F22" i="11"/>
  <c r="G22" i="11" s="1"/>
  <c r="V21" i="11"/>
  <c r="T21" i="11"/>
  <c r="U21" i="11" s="1"/>
  <c r="K21" i="11"/>
  <c r="H21" i="11"/>
  <c r="F21" i="11"/>
  <c r="G21" i="11" s="1"/>
  <c r="V20" i="11"/>
  <c r="T20" i="11"/>
  <c r="U20" i="11" s="1"/>
  <c r="K20" i="11"/>
  <c r="H20" i="11"/>
  <c r="F20" i="11"/>
  <c r="G20" i="11" s="1"/>
  <c r="V19" i="11"/>
  <c r="T19" i="11"/>
  <c r="U19" i="11" s="1"/>
  <c r="K19" i="11"/>
  <c r="H19" i="11"/>
  <c r="F19" i="11"/>
  <c r="G19" i="11" s="1"/>
  <c r="V18" i="11"/>
  <c r="T18" i="11"/>
  <c r="U18" i="11" s="1"/>
  <c r="K18" i="11"/>
  <c r="H18" i="11"/>
  <c r="F18" i="11"/>
  <c r="G18" i="11" s="1"/>
  <c r="V17" i="11"/>
  <c r="T17" i="11"/>
  <c r="U17" i="11" s="1"/>
  <c r="K17" i="11"/>
  <c r="H17" i="11"/>
  <c r="F17" i="11"/>
  <c r="G17" i="11" s="1"/>
  <c r="V16" i="11"/>
  <c r="T16" i="11"/>
  <c r="U16" i="11" s="1"/>
  <c r="K16" i="11"/>
  <c r="H16" i="11"/>
  <c r="F16" i="11"/>
  <c r="G16" i="11" s="1"/>
  <c r="W15" i="11"/>
  <c r="X15" i="11" s="1"/>
  <c r="V15" i="11"/>
  <c r="T15" i="11"/>
  <c r="U15" i="11" s="1"/>
  <c r="K15" i="11"/>
  <c r="I15" i="11"/>
  <c r="I16" i="11" s="1"/>
  <c r="H15" i="11"/>
  <c r="F15" i="11"/>
  <c r="G15" i="11" s="1"/>
  <c r="X14" i="11"/>
  <c r="V14" i="11"/>
  <c r="T14" i="11"/>
  <c r="U14" i="11" s="1"/>
  <c r="K14" i="11"/>
  <c r="J14" i="11"/>
  <c r="H14" i="11"/>
  <c r="F14" i="11"/>
  <c r="G14" i="11" s="1"/>
  <c r="U10" i="11"/>
  <c r="G10" i="11"/>
  <c r="G11" i="11" l="1"/>
  <c r="J16" i="11"/>
  <c r="I17" i="11"/>
  <c r="U11" i="11"/>
  <c r="J15" i="11"/>
  <c r="W16" i="11"/>
  <c r="X16" i="11" l="1"/>
  <c r="W17" i="11"/>
  <c r="I18" i="11"/>
  <c r="J17" i="11"/>
  <c r="J18" i="11" l="1"/>
  <c r="I19" i="11"/>
  <c r="W18" i="11"/>
  <c r="X17" i="11"/>
  <c r="J19" i="11" l="1"/>
  <c r="I20" i="11"/>
  <c r="W19" i="11"/>
  <c r="X18" i="11"/>
  <c r="X19" i="11" l="1"/>
  <c r="W20" i="11"/>
  <c r="I21" i="11"/>
  <c r="J20" i="11"/>
  <c r="J21" i="11" l="1"/>
  <c r="I22" i="11"/>
  <c r="W21" i="11"/>
  <c r="X20" i="11"/>
  <c r="W22" i="11" l="1"/>
  <c r="X21" i="11"/>
  <c r="I23" i="11"/>
  <c r="J22" i="11"/>
  <c r="I24" i="11" l="1"/>
  <c r="J23" i="11"/>
  <c r="W23" i="11"/>
  <c r="X22" i="11"/>
  <c r="W24" i="11" l="1"/>
  <c r="X23" i="11"/>
  <c r="J24" i="11"/>
  <c r="I25" i="11"/>
  <c r="X24" i="11" l="1"/>
  <c r="W25" i="11"/>
  <c r="J25" i="11"/>
  <c r="I26" i="11"/>
  <c r="J26" i="11" l="1"/>
  <c r="I27" i="11"/>
  <c r="W26" i="11"/>
  <c r="X25" i="11"/>
  <c r="X26" i="11" l="1"/>
  <c r="W27" i="11"/>
  <c r="J27" i="11"/>
  <c r="I28" i="11"/>
  <c r="X27" i="11" l="1"/>
  <c r="W28" i="11"/>
  <c r="J28" i="11"/>
  <c r="I29" i="11"/>
  <c r="X28" i="11" l="1"/>
  <c r="W29" i="11"/>
  <c r="J29" i="11"/>
  <c r="I30" i="11"/>
  <c r="J30" i="11" l="1"/>
  <c r="I31" i="11"/>
  <c r="W30" i="11"/>
  <c r="X29" i="11"/>
  <c r="W31" i="11" l="1"/>
  <c r="X30" i="11"/>
  <c r="J31" i="11"/>
  <c r="I32" i="11"/>
  <c r="J32" i="11" l="1"/>
  <c r="I33" i="11"/>
  <c r="X31" i="11"/>
  <c r="W32" i="11"/>
  <c r="W33" i="11" l="1"/>
  <c r="X32" i="11"/>
  <c r="J33" i="11"/>
  <c r="I34" i="11"/>
  <c r="I35" i="11" l="1"/>
  <c r="J34" i="11"/>
  <c r="W34" i="11"/>
  <c r="X33" i="11"/>
  <c r="X34" i="11" l="1"/>
  <c r="W35" i="11"/>
  <c r="I36" i="11"/>
  <c r="J35" i="11"/>
  <c r="J36" i="11" l="1"/>
  <c r="I37" i="11"/>
  <c r="W36" i="11"/>
  <c r="X35" i="11"/>
  <c r="X36" i="11" l="1"/>
  <c r="W37" i="11"/>
  <c r="I38" i="11"/>
  <c r="J37" i="11"/>
  <c r="X37" i="11" l="1"/>
  <c r="W38" i="11"/>
  <c r="I39" i="11"/>
  <c r="J38" i="11"/>
  <c r="J39" i="11" l="1"/>
  <c r="I40" i="11"/>
  <c r="W39" i="11"/>
  <c r="X38" i="11"/>
  <c r="X39" i="11" l="1"/>
  <c r="W40" i="11"/>
  <c r="I41" i="11"/>
  <c r="J40" i="11"/>
  <c r="J41" i="11" l="1"/>
  <c r="I42" i="11"/>
  <c r="X40" i="11"/>
  <c r="W41" i="11"/>
  <c r="W42" i="11" l="1"/>
  <c r="X41" i="11"/>
  <c r="J42" i="11"/>
  <c r="I43" i="11"/>
  <c r="I44" i="11" l="1"/>
  <c r="J43" i="11"/>
  <c r="X42" i="11"/>
  <c r="W43" i="11"/>
  <c r="X43" i="11" l="1"/>
  <c r="W44" i="11"/>
  <c r="J44" i="11"/>
  <c r="I45" i="11"/>
  <c r="I46" i="11" l="1"/>
  <c r="J45" i="11"/>
  <c r="X44" i="11"/>
  <c r="W45" i="11"/>
  <c r="X45" i="11" l="1"/>
  <c r="W46" i="11"/>
  <c r="J46" i="11"/>
  <c r="I47" i="11"/>
  <c r="I48" i="11" l="1"/>
  <c r="J47" i="11"/>
  <c r="W47" i="11"/>
  <c r="X46" i="11"/>
  <c r="X47" i="11" l="1"/>
  <c r="W48" i="11"/>
  <c r="I49" i="11"/>
  <c r="J48" i="11"/>
  <c r="J49" i="11" l="1"/>
  <c r="I50" i="11"/>
  <c r="X48" i="11"/>
  <c r="W49" i="11"/>
  <c r="W50" i="11" l="1"/>
  <c r="X49" i="11"/>
  <c r="J50" i="11"/>
  <c r="I51" i="11"/>
  <c r="I52" i="11" l="1"/>
  <c r="J51" i="11"/>
  <c r="X50" i="11"/>
  <c r="W51" i="11"/>
  <c r="W52" i="11" l="1"/>
  <c r="X51" i="11"/>
  <c r="J52" i="11"/>
  <c r="I53" i="11"/>
  <c r="I54" i="11" l="1"/>
  <c r="J53" i="11"/>
  <c r="W53" i="11"/>
  <c r="X52" i="11"/>
  <c r="X53" i="11" l="1"/>
  <c r="W54" i="11"/>
  <c r="I55" i="11"/>
  <c r="J54" i="11"/>
  <c r="I56" i="11" l="1"/>
  <c r="J55" i="11"/>
  <c r="W55" i="11"/>
  <c r="X54" i="11"/>
  <c r="X55" i="11" l="1"/>
  <c r="W56" i="11"/>
  <c r="I57" i="11"/>
  <c r="J56" i="11"/>
  <c r="J57" i="11" l="1"/>
  <c r="I58" i="11"/>
  <c r="X56" i="11"/>
  <c r="W57" i="11"/>
  <c r="W58" i="11" l="1"/>
  <c r="X57" i="11"/>
  <c r="J58" i="11"/>
  <c r="I59" i="11"/>
  <c r="I60" i="11" l="1"/>
  <c r="J59" i="11"/>
  <c r="X58" i="11"/>
  <c r="W59" i="11"/>
  <c r="X59" i="11" l="1"/>
  <c r="W60" i="11"/>
  <c r="J60" i="11"/>
  <c r="I61" i="11"/>
  <c r="I62" i="11" l="1"/>
  <c r="J61" i="11"/>
  <c r="W61" i="11"/>
  <c r="X60" i="11"/>
  <c r="X61" i="11" l="1"/>
  <c r="W62" i="11"/>
  <c r="I63" i="11"/>
  <c r="J62" i="11"/>
  <c r="I64" i="11" l="1"/>
  <c r="J63" i="11"/>
  <c r="W63" i="11"/>
  <c r="X62" i="11"/>
  <c r="W64" i="11" l="1"/>
  <c r="X63" i="11"/>
  <c r="I65" i="11"/>
  <c r="J64" i="11"/>
  <c r="J65" i="11" l="1"/>
  <c r="I66" i="11"/>
  <c r="X64" i="11"/>
  <c r="W65" i="11"/>
  <c r="W66" i="11" l="1"/>
  <c r="X65" i="11"/>
  <c r="I67" i="11"/>
  <c r="J66" i="11"/>
  <c r="I68" i="11" l="1"/>
  <c r="J67" i="11"/>
  <c r="X66" i="11"/>
  <c r="W67" i="11"/>
  <c r="X67" i="11" l="1"/>
  <c r="W68" i="11"/>
  <c r="J68" i="11"/>
  <c r="I69" i="11"/>
  <c r="I70" i="11" l="1"/>
  <c r="J69" i="11"/>
  <c r="X68" i="11"/>
  <c r="W69" i="11"/>
  <c r="X69" i="11" l="1"/>
  <c r="W70" i="11"/>
  <c r="I71" i="11"/>
  <c r="J70" i="11"/>
  <c r="J71" i="11" l="1"/>
  <c r="I72" i="11"/>
  <c r="W71" i="11"/>
  <c r="X70" i="11"/>
  <c r="X71" i="11" l="1"/>
  <c r="W72" i="11"/>
  <c r="I73" i="11"/>
  <c r="J72" i="11"/>
  <c r="J73" i="11" l="1"/>
  <c r="I74" i="11"/>
  <c r="X72" i="11"/>
  <c r="W73" i="11"/>
  <c r="W74" i="11" l="1"/>
  <c r="X74" i="11" s="1"/>
  <c r="X73" i="11"/>
  <c r="I75" i="11"/>
  <c r="J74" i="11"/>
  <c r="J75" i="11" l="1"/>
  <c r="I76" i="11"/>
  <c r="I77" i="11" l="1"/>
  <c r="J76" i="11"/>
  <c r="J77" i="11" l="1"/>
  <c r="I78" i="11"/>
  <c r="I79" i="11" l="1"/>
  <c r="J78" i="11"/>
  <c r="I80" i="11" l="1"/>
  <c r="J79" i="11"/>
  <c r="J80" i="11" l="1"/>
  <c r="I81" i="11"/>
  <c r="I82" i="11" l="1"/>
  <c r="J81" i="11"/>
  <c r="J82" i="11" l="1"/>
  <c r="I83" i="11"/>
  <c r="J83" i="11" l="1"/>
  <c r="I84" i="11"/>
  <c r="I85" i="11" l="1"/>
  <c r="J84" i="11"/>
  <c r="J85" i="11" l="1"/>
  <c r="I86" i="11"/>
  <c r="I87" i="11" l="1"/>
  <c r="J86" i="11"/>
  <c r="I88" i="11" l="1"/>
  <c r="J87" i="11"/>
  <c r="J88" i="11" l="1"/>
  <c r="I89" i="11"/>
  <c r="I90" i="11" l="1"/>
  <c r="J89" i="11"/>
  <c r="J90" i="11" l="1"/>
  <c r="I91" i="11"/>
  <c r="J91" i="11" l="1"/>
  <c r="I92" i="11"/>
  <c r="I93" i="11" l="1"/>
  <c r="J92" i="11"/>
  <c r="J93" i="11" l="1"/>
  <c r="I94" i="11"/>
  <c r="I95" i="11" l="1"/>
  <c r="J94" i="11"/>
  <c r="I96" i="11" l="1"/>
  <c r="J95" i="11"/>
  <c r="J96" i="11" l="1"/>
  <c r="I97" i="11"/>
  <c r="I98" i="11" l="1"/>
  <c r="J97" i="11"/>
  <c r="J98" i="11" l="1"/>
  <c r="I99" i="11"/>
  <c r="I100" i="11" l="1"/>
  <c r="J99" i="11"/>
  <c r="I101" i="11" l="1"/>
  <c r="J100" i="11"/>
  <c r="J101" i="11" l="1"/>
  <c r="I102" i="11"/>
  <c r="I103" i="11" l="1"/>
  <c r="J102" i="11"/>
  <c r="I104" i="11" l="1"/>
  <c r="J103" i="11"/>
  <c r="J104" i="11" l="1"/>
  <c r="I105" i="11"/>
  <c r="I106" i="11" l="1"/>
  <c r="J105" i="11"/>
  <c r="J106" i="11" l="1"/>
  <c r="I107" i="11"/>
  <c r="J107" i="11" l="1"/>
  <c r="I108" i="11"/>
  <c r="I109" i="11" l="1"/>
  <c r="J108" i="11"/>
  <c r="J109" i="11" l="1"/>
  <c r="I110" i="11"/>
  <c r="I111" i="11" l="1"/>
  <c r="J110" i="11"/>
  <c r="I112" i="11" l="1"/>
  <c r="J111" i="11"/>
  <c r="J112" i="11" l="1"/>
  <c r="I113" i="11"/>
  <c r="I114" i="11" l="1"/>
  <c r="J114" i="11" s="1"/>
  <c r="J113" i="11"/>
  <c r="Q11" i="7" l="1"/>
  <c r="P11" i="7"/>
  <c r="O11" i="7"/>
  <c r="Q68" i="10" l="1"/>
  <c r="O69" i="10"/>
  <c r="Q67" i="10"/>
  <c r="O68" i="10"/>
  <c r="Q66" i="10"/>
  <c r="O67" i="10"/>
  <c r="Q65" i="10"/>
  <c r="O66" i="10"/>
  <c r="Q64" i="10"/>
  <c r="O65" i="10"/>
  <c r="Q63" i="10"/>
  <c r="O64" i="10"/>
  <c r="Q62" i="10"/>
  <c r="O63" i="10"/>
  <c r="Q61" i="10"/>
  <c r="O62" i="10"/>
  <c r="Q60" i="10"/>
  <c r="O61" i="10"/>
  <c r="F60" i="10"/>
  <c r="G60" i="10" s="1"/>
  <c r="D60" i="10"/>
  <c r="E60" i="10" s="1"/>
  <c r="Q59" i="10"/>
  <c r="O60" i="10"/>
  <c r="F59" i="10"/>
  <c r="G59" i="10" s="1"/>
  <c r="D59" i="10"/>
  <c r="E59" i="10" s="1"/>
  <c r="Q58" i="10"/>
  <c r="O59" i="10"/>
  <c r="F58" i="10"/>
  <c r="G58" i="10" s="1"/>
  <c r="D58" i="10"/>
  <c r="E58" i="10" s="1"/>
  <c r="Q57" i="10"/>
  <c r="O58" i="10"/>
  <c r="F57" i="10"/>
  <c r="G57" i="10" s="1"/>
  <c r="D57" i="10"/>
  <c r="E57" i="10" s="1"/>
  <c r="Q56" i="10"/>
  <c r="O57" i="10"/>
  <c r="F56" i="10"/>
  <c r="G56" i="10" s="1"/>
  <c r="D56" i="10"/>
  <c r="E56" i="10" s="1"/>
  <c r="F55" i="10"/>
  <c r="G55" i="10" s="1"/>
  <c r="F54" i="10"/>
  <c r="G54" i="10" s="1"/>
  <c r="D54" i="10"/>
  <c r="E54" i="10" s="1"/>
  <c r="O49" i="10"/>
  <c r="O50" i="10" s="1"/>
  <c r="O13" i="9"/>
  <c r="D4" i="9" s="1"/>
  <c r="E8" i="1" s="1"/>
  <c r="O12" i="9"/>
  <c r="D3" i="9" s="1"/>
  <c r="N12" i="9"/>
  <c r="N13" i="9"/>
  <c r="M13" i="9"/>
  <c r="L13" i="9"/>
  <c r="C4" i="9" s="1"/>
  <c r="D8" i="1" s="1"/>
  <c r="K13" i="9"/>
  <c r="J13" i="9"/>
  <c r="M12" i="9"/>
  <c r="L12" i="9"/>
  <c r="C3" i="9" s="1"/>
  <c r="K12" i="9"/>
  <c r="J12" i="9"/>
  <c r="B6" i="8"/>
  <c r="B7" i="8"/>
  <c r="B8" i="8"/>
  <c r="B10" i="8"/>
  <c r="B5" i="8"/>
  <c r="B4" i="8"/>
  <c r="B3" i="8"/>
  <c r="Q69" i="10" l="1"/>
  <c r="Q70" i="10" s="1"/>
  <c r="G16" i="1"/>
  <c r="G3" i="1"/>
  <c r="F3" i="1"/>
  <c r="F16" i="1"/>
  <c r="N50" i="10"/>
  <c r="C34" i="6" l="1"/>
  <c r="C33" i="6"/>
  <c r="D23" i="6"/>
  <c r="C3" i="6" s="1"/>
  <c r="E16" i="1" s="1"/>
  <c r="D22" i="6"/>
  <c r="B3" i="6" s="1"/>
  <c r="D16" i="1" s="1"/>
  <c r="D10" i="1"/>
  <c r="E9" i="1"/>
  <c r="C6" i="5"/>
  <c r="E12" i="1" s="1"/>
  <c r="C5" i="5"/>
  <c r="E11" i="1" s="1"/>
  <c r="C3" i="5"/>
  <c r="N33" i="5"/>
  <c r="O33" i="5"/>
  <c r="C7" i="5" s="1"/>
  <c r="E13" i="1" s="1"/>
  <c r="P33" i="5"/>
  <c r="Q33" i="5"/>
  <c r="R33" i="5"/>
  <c r="M33" i="5"/>
  <c r="C4" i="5" s="1"/>
  <c r="E10" i="1" s="1"/>
  <c r="B4" i="5"/>
  <c r="S17" i="5"/>
  <c r="G17" i="5"/>
  <c r="H17" i="5"/>
  <c r="F17" i="5"/>
  <c r="J17" i="5" s="1"/>
  <c r="R32" i="5"/>
  <c r="Q32" i="5"/>
  <c r="P32" i="5"/>
  <c r="O32" i="5"/>
  <c r="N32" i="5"/>
  <c r="M32" i="5"/>
  <c r="R31" i="5"/>
  <c r="Q31" i="5"/>
  <c r="D5" i="5" s="1"/>
  <c r="P31" i="5"/>
  <c r="D3" i="5" s="1"/>
  <c r="O31" i="5"/>
  <c r="B7" i="5" s="1"/>
  <c r="D13" i="1" s="1"/>
  <c r="N31" i="5"/>
  <c r="B6" i="5" s="1"/>
  <c r="D12" i="1" s="1"/>
  <c r="M31" i="5"/>
  <c r="B3" i="5" s="1"/>
  <c r="D9" i="1" s="1"/>
  <c r="U30" i="5"/>
  <c r="T30" i="5"/>
  <c r="S30" i="5"/>
  <c r="E30" i="5"/>
  <c r="H30" i="5" s="1"/>
  <c r="U29" i="5"/>
  <c r="T29" i="5"/>
  <c r="S29" i="5"/>
  <c r="H29" i="5"/>
  <c r="L29" i="5" s="1"/>
  <c r="G29" i="5"/>
  <c r="K29" i="5" s="1"/>
  <c r="F29" i="5"/>
  <c r="J29" i="5" s="1"/>
  <c r="U28" i="5"/>
  <c r="T28" i="5"/>
  <c r="S28" i="5"/>
  <c r="H28" i="5"/>
  <c r="L28" i="5" s="1"/>
  <c r="G28" i="5"/>
  <c r="K28" i="5" s="1"/>
  <c r="W28" i="5" s="1"/>
  <c r="F28" i="5"/>
  <c r="J28" i="5" s="1"/>
  <c r="U27" i="5"/>
  <c r="T27" i="5"/>
  <c r="S27" i="5"/>
  <c r="H27" i="5"/>
  <c r="L27" i="5" s="1"/>
  <c r="X27" i="5" s="1"/>
  <c r="G27" i="5"/>
  <c r="K27" i="5" s="1"/>
  <c r="W27" i="5" s="1"/>
  <c r="F27" i="5"/>
  <c r="J27" i="5" s="1"/>
  <c r="U26" i="5"/>
  <c r="T26" i="5"/>
  <c r="S26" i="5"/>
  <c r="H26" i="5"/>
  <c r="L26" i="5" s="1"/>
  <c r="G26" i="5"/>
  <c r="K26" i="5" s="1"/>
  <c r="F26" i="5"/>
  <c r="J26" i="5" s="1"/>
  <c r="U25" i="5"/>
  <c r="T25" i="5"/>
  <c r="S25" i="5"/>
  <c r="L25" i="5"/>
  <c r="H25" i="5"/>
  <c r="G25" i="5"/>
  <c r="K25" i="5" s="1"/>
  <c r="W25" i="5" s="1"/>
  <c r="F25" i="5"/>
  <c r="J25" i="5" s="1"/>
  <c r="U24" i="5"/>
  <c r="T24" i="5"/>
  <c r="S24" i="5"/>
  <c r="H24" i="5"/>
  <c r="L24" i="5" s="1"/>
  <c r="G24" i="5"/>
  <c r="K24" i="5" s="1"/>
  <c r="F24" i="5"/>
  <c r="J24" i="5" s="1"/>
  <c r="U23" i="5"/>
  <c r="T23" i="5"/>
  <c r="S23" i="5"/>
  <c r="H23" i="5"/>
  <c r="L23" i="5" s="1"/>
  <c r="X23" i="5" s="1"/>
  <c r="G23" i="5"/>
  <c r="K23" i="5" s="1"/>
  <c r="W23" i="5" s="1"/>
  <c r="F23" i="5"/>
  <c r="J23" i="5" s="1"/>
  <c r="U22" i="5"/>
  <c r="T22" i="5"/>
  <c r="S22" i="5"/>
  <c r="H22" i="5"/>
  <c r="L22" i="5" s="1"/>
  <c r="X22" i="5" s="1"/>
  <c r="G22" i="5"/>
  <c r="K22" i="5" s="1"/>
  <c r="W22" i="5" s="1"/>
  <c r="F22" i="5"/>
  <c r="J22" i="5" s="1"/>
  <c r="V22" i="5" s="1"/>
  <c r="U21" i="5"/>
  <c r="T21" i="5"/>
  <c r="S21" i="5"/>
  <c r="H21" i="5"/>
  <c r="L21" i="5" s="1"/>
  <c r="G21" i="5"/>
  <c r="K21" i="5" s="1"/>
  <c r="W21" i="5" s="1"/>
  <c r="F21" i="5"/>
  <c r="J21" i="5" s="1"/>
  <c r="V21" i="5" s="1"/>
  <c r="U20" i="5"/>
  <c r="T20" i="5"/>
  <c r="S20" i="5"/>
  <c r="H20" i="5"/>
  <c r="L20" i="5" s="1"/>
  <c r="G20" i="5"/>
  <c r="K20" i="5" s="1"/>
  <c r="F20" i="5"/>
  <c r="J20" i="5" s="1"/>
  <c r="U19" i="5"/>
  <c r="T19" i="5"/>
  <c r="S19" i="5"/>
  <c r="H19" i="5"/>
  <c r="L19" i="5" s="1"/>
  <c r="X19" i="5" s="1"/>
  <c r="G19" i="5"/>
  <c r="K19" i="5" s="1"/>
  <c r="W19" i="5" s="1"/>
  <c r="F19" i="5"/>
  <c r="J19" i="5" s="1"/>
  <c r="U18" i="5"/>
  <c r="T18" i="5"/>
  <c r="S18" i="5"/>
  <c r="H18" i="5"/>
  <c r="L18" i="5" s="1"/>
  <c r="G18" i="5"/>
  <c r="K18" i="5" s="1"/>
  <c r="F18" i="5"/>
  <c r="J18" i="5" s="1"/>
  <c r="U17" i="5"/>
  <c r="T17" i="5"/>
  <c r="L17" i="5"/>
  <c r="D4" i="5" l="1"/>
  <c r="H10" i="1" s="1"/>
  <c r="H9" i="1"/>
  <c r="D6" i="5"/>
  <c r="H12" i="1" s="1"/>
  <c r="H11" i="1"/>
  <c r="H31" i="5"/>
  <c r="Q15" i="7" s="1"/>
  <c r="F21" i="7" s="1"/>
  <c r="F31" i="5"/>
  <c r="O15" i="7" s="1"/>
  <c r="B5" i="5"/>
  <c r="D11" i="1" s="1"/>
  <c r="V20" i="5"/>
  <c r="X21" i="5"/>
  <c r="V29" i="5"/>
  <c r="X17" i="5"/>
  <c r="W20" i="5"/>
  <c r="W24" i="5"/>
  <c r="W29" i="5"/>
  <c r="X24" i="5"/>
  <c r="X25" i="5"/>
  <c r="V28" i="5"/>
  <c r="X29" i="5"/>
  <c r="I21" i="7"/>
  <c r="F28" i="7"/>
  <c r="I28" i="7" s="1"/>
  <c r="D34" i="7"/>
  <c r="G34" i="7" s="1"/>
  <c r="F36" i="7"/>
  <c r="I36" i="7" s="1"/>
  <c r="F31" i="7"/>
  <c r="I31" i="7" s="1"/>
  <c r="D37" i="7"/>
  <c r="G37" i="7" s="1"/>
  <c r="F39" i="7"/>
  <c r="I39" i="7" s="1"/>
  <c r="F17" i="7"/>
  <c r="I17" i="7" s="1"/>
  <c r="D24" i="7"/>
  <c r="G24" i="7" s="1"/>
  <c r="F26" i="7"/>
  <c r="I26" i="7" s="1"/>
  <c r="D18" i="7"/>
  <c r="F20" i="7"/>
  <c r="I20" i="7" s="1"/>
  <c r="F37" i="7"/>
  <c r="I37" i="7" s="1"/>
  <c r="F40" i="7"/>
  <c r="I40" i="7" s="1"/>
  <c r="F13" i="7"/>
  <c r="I13" i="7" s="1"/>
  <c r="D15" i="7"/>
  <c r="G15" i="7" s="1"/>
  <c r="F27" i="7"/>
  <c r="I27" i="7" s="1"/>
  <c r="D33" i="7"/>
  <c r="G33" i="7" s="1"/>
  <c r="F35" i="7"/>
  <c r="I35" i="7" s="1"/>
  <c r="D19" i="7"/>
  <c r="F22" i="7"/>
  <c r="I22" i="7" s="1"/>
  <c r="F38" i="7"/>
  <c r="I38" i="7" s="1"/>
  <c r="D11" i="7"/>
  <c r="G11" i="7" s="1"/>
  <c r="F25" i="7"/>
  <c r="I25" i="7" s="1"/>
  <c r="D31" i="7"/>
  <c r="G31" i="7" s="1"/>
  <c r="G18" i="7"/>
  <c r="G19" i="7"/>
  <c r="F30" i="5"/>
  <c r="V27" i="5"/>
  <c r="G30" i="5"/>
  <c r="G31" i="5" s="1"/>
  <c r="P15" i="7" s="1"/>
  <c r="I30" i="5"/>
  <c r="J30" i="5" s="1"/>
  <c r="V30" i="5" s="1"/>
  <c r="V17" i="5"/>
  <c r="V19" i="5"/>
  <c r="V18" i="5"/>
  <c r="X20" i="5"/>
  <c r="V25" i="5"/>
  <c r="V26" i="5"/>
  <c r="X28" i="5"/>
  <c r="W18" i="5"/>
  <c r="W26" i="5"/>
  <c r="X18" i="5"/>
  <c r="V23" i="5"/>
  <c r="V24" i="5"/>
  <c r="X26" i="5"/>
  <c r="K17" i="5"/>
  <c r="W17" i="5" s="1"/>
  <c r="L30" i="5"/>
  <c r="X30" i="5" s="1"/>
  <c r="E21" i="7" l="1"/>
  <c r="H21" i="7" s="1"/>
  <c r="E35" i="7"/>
  <c r="H35" i="7" s="1"/>
  <c r="E23" i="7"/>
  <c r="H23" i="7" s="1"/>
  <c r="E34" i="7"/>
  <c r="H34" i="7" s="1"/>
  <c r="J34" i="7" s="1"/>
  <c r="M34" i="7" s="1"/>
  <c r="E14" i="7"/>
  <c r="H14" i="7" s="1"/>
  <c r="E31" i="7"/>
  <c r="H31" i="7" s="1"/>
  <c r="J31" i="7" s="1"/>
  <c r="M31" i="7" s="1"/>
  <c r="E18" i="7"/>
  <c r="H18" i="7" s="1"/>
  <c r="E13" i="7"/>
  <c r="H13" i="7" s="1"/>
  <c r="E17" i="7"/>
  <c r="H17" i="7" s="1"/>
  <c r="E27" i="7"/>
  <c r="H27" i="7" s="1"/>
  <c r="E11" i="7"/>
  <c r="H11" i="7" s="1"/>
  <c r="E26" i="7"/>
  <c r="H26" i="7" s="1"/>
  <c r="E39" i="7"/>
  <c r="H39" i="7" s="1"/>
  <c r="E29" i="7"/>
  <c r="H29" i="7" s="1"/>
  <c r="E24" i="7"/>
  <c r="H24" i="7" s="1"/>
  <c r="J24" i="7" s="1"/>
  <c r="M24" i="7" s="1"/>
  <c r="E38" i="7"/>
  <c r="H38" i="7" s="1"/>
  <c r="E25" i="7"/>
  <c r="H25" i="7" s="1"/>
  <c r="E12" i="7"/>
  <c r="H12" i="7" s="1"/>
  <c r="E41" i="7"/>
  <c r="H41" i="7" s="1"/>
  <c r="E36" i="7"/>
  <c r="H36" i="7" s="1"/>
  <c r="E22" i="7"/>
  <c r="H22" i="7" s="1"/>
  <c r="E32" i="7"/>
  <c r="H32" i="7" s="1"/>
  <c r="E19" i="7"/>
  <c r="H19" i="7" s="1"/>
  <c r="J19" i="7" s="1"/>
  <c r="M19" i="7" s="1"/>
  <c r="E15" i="7"/>
  <c r="H15" i="7" s="1"/>
  <c r="J15" i="7" s="1"/>
  <c r="M15" i="7" s="1"/>
  <c r="E16" i="7"/>
  <c r="H16" i="7" s="1"/>
  <c r="E37" i="7"/>
  <c r="H37" i="7" s="1"/>
  <c r="E33" i="7"/>
  <c r="H33" i="7" s="1"/>
  <c r="J33" i="7" s="1"/>
  <c r="M33" i="7" s="1"/>
  <c r="E28" i="7"/>
  <c r="H28" i="7" s="1"/>
  <c r="E20" i="7"/>
  <c r="H20" i="7" s="1"/>
  <c r="E30" i="7"/>
  <c r="H30" i="7" s="1"/>
  <c r="E40" i="7"/>
  <c r="H40" i="7" s="1"/>
  <c r="D38" i="7"/>
  <c r="G38" i="7" s="1"/>
  <c r="J38" i="7" s="1"/>
  <c r="M38" i="7" s="1"/>
  <c r="D26" i="7"/>
  <c r="G26" i="7" s="1"/>
  <c r="D21" i="7"/>
  <c r="G21" i="7" s="1"/>
  <c r="D22" i="7"/>
  <c r="G22" i="7" s="1"/>
  <c r="D20" i="7"/>
  <c r="G20" i="7" s="1"/>
  <c r="J20" i="7" s="1"/>
  <c r="D14" i="7"/>
  <c r="G14" i="7" s="1"/>
  <c r="D30" i="7"/>
  <c r="G30" i="7" s="1"/>
  <c r="J30" i="7" s="1"/>
  <c r="M30" i="7" s="1"/>
  <c r="D29" i="7"/>
  <c r="G29" i="7" s="1"/>
  <c r="J29" i="7" s="1"/>
  <c r="M29" i="7" s="1"/>
  <c r="D13" i="7"/>
  <c r="G13" i="7" s="1"/>
  <c r="J13" i="7" s="1"/>
  <c r="M13" i="7" s="1"/>
  <c r="D17" i="7"/>
  <c r="G17" i="7" s="1"/>
  <c r="K30" i="5"/>
  <c r="W30" i="5" s="1"/>
  <c r="D23" i="7"/>
  <c r="G23" i="7" s="1"/>
  <c r="D36" i="7"/>
  <c r="G36" i="7" s="1"/>
  <c r="F41" i="7"/>
  <c r="I41" i="7" s="1"/>
  <c r="F16" i="7"/>
  <c r="I16" i="7" s="1"/>
  <c r="J16" i="7" s="1"/>
  <c r="M16" i="7" s="1"/>
  <c r="F29" i="7"/>
  <c r="I29" i="7" s="1"/>
  <c r="F14" i="7"/>
  <c r="I14" i="7" s="1"/>
  <c r="J14" i="7" s="1"/>
  <c r="M14" i="7" s="1"/>
  <c r="D12" i="7"/>
  <c r="G12" i="7" s="1"/>
  <c r="F30" i="7"/>
  <c r="I30" i="7" s="1"/>
  <c r="F34" i="7"/>
  <c r="I34" i="7" s="1"/>
  <c r="F15" i="7"/>
  <c r="I15" i="7" s="1"/>
  <c r="D28" i="7"/>
  <c r="G28" i="7" s="1"/>
  <c r="J28" i="7" s="1"/>
  <c r="M28" i="7" s="1"/>
  <c r="D41" i="7"/>
  <c r="G41" i="7" s="1"/>
  <c r="J41" i="7" s="1"/>
  <c r="M41" i="7" s="1"/>
  <c r="F18" i="7"/>
  <c r="I18" i="7" s="1"/>
  <c r="F32" i="7"/>
  <c r="I32" i="7" s="1"/>
  <c r="J32" i="7" s="1"/>
  <c r="M32" i="7" s="1"/>
  <c r="D27" i="7"/>
  <c r="G27" i="7" s="1"/>
  <c r="D32" i="7"/>
  <c r="G32" i="7" s="1"/>
  <c r="F23" i="7"/>
  <c r="I23" i="7" s="1"/>
  <c r="F11" i="7"/>
  <c r="I11" i="7" s="1"/>
  <c r="F19" i="7"/>
  <c r="I19" i="7" s="1"/>
  <c r="D35" i="7"/>
  <c r="G35" i="7" s="1"/>
  <c r="J35" i="7" s="1"/>
  <c r="M35" i="7" s="1"/>
  <c r="D40" i="7"/>
  <c r="G40" i="7" s="1"/>
  <c r="D25" i="7"/>
  <c r="G25" i="7" s="1"/>
  <c r="J25" i="7" s="1"/>
  <c r="M25" i="7" s="1"/>
  <c r="D39" i="7"/>
  <c r="G39" i="7" s="1"/>
  <c r="F24" i="7"/>
  <c r="I24" i="7" s="1"/>
  <c r="F33" i="7"/>
  <c r="I33" i="7" s="1"/>
  <c r="D16" i="7"/>
  <c r="G16" i="7" s="1"/>
  <c r="F12" i="7"/>
  <c r="I12" i="7" s="1"/>
  <c r="J22" i="7"/>
  <c r="M22" i="7" s="1"/>
  <c r="J26" i="7"/>
  <c r="M26" i="7" s="1"/>
  <c r="J11" i="7"/>
  <c r="M11" i="7" s="1"/>
  <c r="J23" i="7"/>
  <c r="M23" i="7" s="1"/>
  <c r="J36" i="7"/>
  <c r="M36" i="7" s="1"/>
  <c r="J12" i="7"/>
  <c r="M12" i="7" s="1"/>
  <c r="J37" i="7"/>
  <c r="M37" i="7" s="1"/>
  <c r="J40" i="7"/>
  <c r="M40" i="7" s="1"/>
  <c r="J21" i="7"/>
  <c r="M21" i="7" s="1"/>
  <c r="J27" i="7"/>
  <c r="M27" i="7" s="1"/>
  <c r="J18" i="7"/>
  <c r="M18" i="7" s="1"/>
  <c r="J17" i="7"/>
  <c r="M17" i="7" s="1"/>
  <c r="X32" i="5"/>
  <c r="J39" i="7" l="1"/>
  <c r="M39" i="7" s="1"/>
  <c r="C3" i="7"/>
  <c r="U20" i="7"/>
  <c r="D3" i="7" s="1"/>
  <c r="P20" i="7"/>
  <c r="P21" i="7"/>
  <c r="U21" i="7"/>
  <c r="D4" i="7" s="1"/>
  <c r="T21" i="7"/>
  <c r="R21" i="7"/>
  <c r="C4" i="7" s="1"/>
  <c r="S20" i="7"/>
  <c r="T20" i="7"/>
  <c r="Q20" i="7"/>
  <c r="Q21" i="7"/>
  <c r="S21" i="7"/>
  <c r="C8" i="1"/>
  <c r="E3" i="1" l="1"/>
  <c r="D3" i="1"/>
  <c r="C10" i="1"/>
  <c r="C3" i="1" l="1"/>
  <c r="C4" i="1"/>
  <c r="C5" i="1"/>
  <c r="C6" i="1"/>
  <c r="C7" i="1"/>
  <c r="C9" i="1"/>
  <c r="C11" i="1"/>
  <c r="C12" i="1"/>
  <c r="C13" i="1"/>
  <c r="C14" i="1"/>
  <c r="C15" i="1"/>
  <c r="C16"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Nick</author>
  </authors>
  <commentList>
    <comment ref="A1" authorId="0" shapeId="0" xr:uid="{A616F4A8-FBAB-FC4F-91E1-38E8F2F85CF8}">
      <text>
        <r>
          <rPr>
            <b/>
            <sz val="10"/>
            <color rgb="FF000000"/>
            <rFont val="Tahoma"/>
            <family val="2"/>
          </rPr>
          <t>Nick:</t>
        </r>
        <r>
          <rPr>
            <sz val="10"/>
            <color rgb="FF000000"/>
            <rFont val="Tahoma"/>
            <family val="2"/>
          </rPr>
          <t xml:space="preserve">
</t>
        </r>
        <r>
          <rPr>
            <sz val="10"/>
            <color rgb="FF000000"/>
            <rFont val="Tahoma"/>
            <family val="2"/>
          </rPr>
          <t>If it's used in the model anywhere it should be here</t>
        </r>
      </text>
    </comment>
    <comment ref="I4" authorId="0" shapeId="0" xr:uid="{158F6C90-8D92-4C4A-ADBC-F175FB10F971}">
      <text>
        <r>
          <rPr>
            <b/>
            <sz val="10"/>
            <color rgb="FF000000"/>
            <rFont val="Tahoma"/>
            <family val="2"/>
          </rPr>
          <t>Nick:</t>
        </r>
        <r>
          <rPr>
            <sz val="10"/>
            <color rgb="FF000000"/>
            <rFont val="Tahoma"/>
            <family val="2"/>
          </rPr>
          <t xml:space="preserve">
</t>
        </r>
        <r>
          <rPr>
            <sz val="10"/>
            <color rgb="FF000000"/>
            <rFont val="Tahoma"/>
            <family val="2"/>
          </rPr>
          <t>Transition SD's should match for the choice pairs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 Jonasson</author>
    <author>bjonasson</author>
    <author>Brian Jonasson</author>
    <author>Brian C Jonasson</author>
  </authors>
  <commentList>
    <comment ref="L10" authorId="0" shapeId="0" xr:uid="{FCF7C9CF-DA0E-5947-90E6-02C116A22D38}">
      <text>
        <r>
          <rPr>
            <b/>
            <sz val="8"/>
            <color rgb="FF000000"/>
            <rFont val="Tahoma"/>
            <family val="2"/>
          </rPr>
          <t>B Jonasson:</t>
        </r>
        <r>
          <rPr>
            <sz val="8"/>
            <color rgb="FF000000"/>
            <rFont val="Tahoma"/>
            <family val="2"/>
          </rPr>
          <t xml:space="preserve">
</t>
        </r>
        <r>
          <rPr>
            <sz val="8"/>
            <color rgb="FF000000"/>
            <rFont val="Tahoma"/>
            <family val="2"/>
          </rPr>
          <t xml:space="preserve">estimated by: Smolt equivalents at LGD/summer parr survival to LGD
</t>
        </r>
        <r>
          <rPr>
            <sz val="8"/>
            <color rgb="FF000000"/>
            <rFont val="Tahoma"/>
            <family val="2"/>
          </rPr>
          <t xml:space="preserve">
</t>
        </r>
        <r>
          <rPr>
            <sz val="8"/>
            <color rgb="FF000000"/>
            <rFont val="Tahoma"/>
            <family val="2"/>
          </rPr>
          <t>This will give the number of late summer parr that produced the smolt equivalents at Lower Granite Dam.</t>
        </r>
      </text>
    </comment>
    <comment ref="M10" authorId="1" shapeId="0" xr:uid="{44D53625-FF8E-3547-9120-4C07CD6454F7}">
      <text>
        <r>
          <rPr>
            <b/>
            <sz val="8"/>
            <color rgb="FF000000"/>
            <rFont val="Tahoma"/>
            <family val="2"/>
          </rPr>
          <t>bjonasson:</t>
        </r>
        <r>
          <rPr>
            <sz val="8"/>
            <color rgb="FF000000"/>
            <rFont val="Tahoma"/>
            <family val="2"/>
          </rPr>
          <t xml:space="preserve">
</t>
        </r>
        <r>
          <rPr>
            <sz val="8"/>
            <color rgb="FF000000"/>
            <rFont val="Tahoma"/>
            <family val="2"/>
          </rPr>
          <t>adjusted to account for redds below screw trap</t>
        </r>
      </text>
    </comment>
    <comment ref="C32" authorId="1" shapeId="0" xr:uid="{F2A73267-53EF-2749-9557-A3CA92DF9340}">
      <text>
        <r>
          <rPr>
            <b/>
            <sz val="8"/>
            <color rgb="FF000000"/>
            <rFont val="Tahoma"/>
            <family val="2"/>
          </rPr>
          <t>bjonasson:</t>
        </r>
        <r>
          <rPr>
            <sz val="8"/>
            <color rgb="FF000000"/>
            <rFont val="Tahoma"/>
            <family val="2"/>
          </rPr>
          <t xml:space="preserve">
</t>
        </r>
        <r>
          <rPr>
            <sz val="8"/>
            <color rgb="FF000000"/>
            <rFont val="Tahoma"/>
            <family val="2"/>
          </rPr>
          <t>includes 5 redds in Sheep Creek</t>
        </r>
      </text>
    </comment>
    <comment ref="C33" authorId="2" shapeId="0" xr:uid="{EEFD76A2-04C5-B847-B422-7C9C6A78BB96}">
      <text>
        <r>
          <rPr>
            <b/>
            <sz val="8"/>
            <color indexed="81"/>
            <rFont val="Tahoma"/>
            <family val="2"/>
          </rPr>
          <t>Brian Jonasson:</t>
        </r>
        <r>
          <rPr>
            <sz val="8"/>
            <color indexed="81"/>
            <rFont val="Tahoma"/>
            <family val="2"/>
          </rPr>
          <t xml:space="preserve">
includes 1 redd in Sheep Creek</t>
        </r>
      </text>
    </comment>
    <comment ref="K33" authorId="0" shapeId="0" xr:uid="{8578A06C-B8F2-C44C-B11A-A1EB16084C1F}">
      <text>
        <r>
          <rPr>
            <b/>
            <sz val="8"/>
            <color rgb="FF000000"/>
            <rFont val="Tahoma"/>
            <family val="2"/>
          </rPr>
          <t>B Jonasson:</t>
        </r>
        <r>
          <rPr>
            <sz val="8"/>
            <color rgb="FF000000"/>
            <rFont val="Tahoma"/>
            <family val="2"/>
          </rPr>
          <t xml:space="preserve">
</t>
        </r>
        <r>
          <rPr>
            <sz val="8"/>
            <color rgb="FF000000"/>
            <rFont val="Tahoma"/>
            <family val="2"/>
          </rPr>
          <t>trap located at rkm 257 (Orodell)</t>
        </r>
      </text>
    </comment>
    <comment ref="C34" authorId="2" shapeId="0" xr:uid="{090F48F1-79C5-1849-86E6-A75D538DB155}">
      <text>
        <r>
          <rPr>
            <b/>
            <sz val="8"/>
            <color rgb="FF000000"/>
            <rFont val="Tahoma"/>
            <family val="2"/>
          </rPr>
          <t>Brian Jonasson:</t>
        </r>
        <r>
          <rPr>
            <sz val="8"/>
            <color rgb="FF000000"/>
            <rFont val="Tahoma"/>
            <family val="2"/>
          </rPr>
          <t xml:space="preserve">
</t>
        </r>
        <r>
          <rPr>
            <sz val="8"/>
            <color rgb="FF000000"/>
            <rFont val="Tahoma"/>
            <family val="2"/>
          </rPr>
          <t>did not survey Vey Meadows</t>
        </r>
      </text>
    </comment>
    <comment ref="C35" authorId="2" shapeId="0" xr:uid="{4BAD68D2-07FE-604A-8043-38BAB050C1AA}">
      <text>
        <r>
          <rPr>
            <b/>
            <sz val="8"/>
            <color indexed="81"/>
            <rFont val="Tahoma"/>
            <family val="2"/>
          </rPr>
          <t>Brian Jonasson:</t>
        </r>
        <r>
          <rPr>
            <sz val="8"/>
            <color indexed="81"/>
            <rFont val="Tahoma"/>
            <family val="2"/>
          </rPr>
          <t xml:space="preserve">
did not survey Vey Meadows</t>
        </r>
      </text>
    </comment>
    <comment ref="C36" authorId="2" shapeId="0" xr:uid="{E9478152-3B60-DD4E-9FA8-FC7D875BABAF}">
      <text>
        <r>
          <rPr>
            <b/>
            <sz val="8"/>
            <color indexed="81"/>
            <rFont val="Tahoma"/>
            <family val="2"/>
          </rPr>
          <t>Brian Jonasson:</t>
        </r>
        <r>
          <rPr>
            <sz val="8"/>
            <color indexed="81"/>
            <rFont val="Tahoma"/>
            <family val="2"/>
          </rPr>
          <t xml:space="preserve">
did not survey Vey Meadows</t>
        </r>
      </text>
    </comment>
    <comment ref="C37" authorId="0" shapeId="0" xr:uid="{D6F11E8E-E7B7-1D47-8C89-7B84C24192D6}">
      <text>
        <r>
          <rPr>
            <b/>
            <sz val="8"/>
            <color indexed="81"/>
            <rFont val="Tahoma"/>
            <family val="2"/>
          </rPr>
          <t>B Jonasson:</t>
        </r>
        <r>
          <rPr>
            <sz val="8"/>
            <color indexed="81"/>
            <rFont val="Tahoma"/>
            <family val="2"/>
          </rPr>
          <t xml:space="preserve">
did not survey Vey Meadows;
336 redds GRR,and 
9 in Sheep Cr,
15 in Limber Jim Cr, and 
0 in Meadow Cr</t>
        </r>
      </text>
    </comment>
    <comment ref="C38" authorId="0" shapeId="0" xr:uid="{4D070020-7D17-4D49-96B6-8E39E5FD9F04}">
      <text>
        <r>
          <rPr>
            <b/>
            <sz val="8"/>
            <color indexed="81"/>
            <rFont val="Tahoma"/>
            <family val="2"/>
          </rPr>
          <t>B Jonasson:</t>
        </r>
        <r>
          <rPr>
            <sz val="8"/>
            <color indexed="81"/>
            <rFont val="Tahoma"/>
            <family val="2"/>
          </rPr>
          <t xml:space="preserve">
did not survey Vey Meadows;
225 redds GRR,and 
2 in Sheep Cr,
0 in Limber Jim Cr,
0 in McCoy Cr, and 
0 in Meadow Cr</t>
        </r>
      </text>
    </comment>
    <comment ref="C39" authorId="3" shapeId="0" xr:uid="{00F43AFE-A026-7041-B1B8-E2BFBBEC0057}">
      <text>
        <r>
          <rPr>
            <b/>
            <sz val="9"/>
            <color rgb="FF000000"/>
            <rFont val="Tahoma"/>
            <family val="2"/>
          </rPr>
          <t>Brian C Jonasson:</t>
        </r>
        <r>
          <rPr>
            <sz val="9"/>
            <color rgb="FF000000"/>
            <rFont val="Tahoma"/>
            <family val="2"/>
          </rPr>
          <t xml:space="preserve">
</t>
        </r>
        <r>
          <rPr>
            <sz val="9"/>
            <color rgb="FF000000"/>
            <rFont val="Tahoma"/>
            <family val="2"/>
          </rPr>
          <t xml:space="preserve">did not survey Vey Meadows;
</t>
        </r>
        <r>
          <rPr>
            <sz val="9"/>
            <color rgb="FF000000"/>
            <rFont val="Tahoma"/>
            <family val="2"/>
          </rPr>
          <t>0 redds in Limber Jim, Sheep, Meadow, McCoy</t>
        </r>
      </text>
    </comment>
    <comment ref="C40" authorId="3" shapeId="0" xr:uid="{53E37A47-A777-6842-A60C-B7B6E08FD705}">
      <text>
        <r>
          <rPr>
            <b/>
            <sz val="9"/>
            <color indexed="81"/>
            <rFont val="Tahoma"/>
            <family val="2"/>
          </rPr>
          <t>Brian C Jonasson:</t>
        </r>
        <r>
          <rPr>
            <sz val="9"/>
            <color indexed="81"/>
            <rFont val="Tahoma"/>
            <family val="2"/>
          </rPr>
          <t xml:space="preserve">
did not survey Vey Meadows;
total includes 
Limber Jim = 0 redds
Sheep Creek = 9 redds
</t>
        </r>
      </text>
    </comment>
    <comment ref="C41" authorId="3" shapeId="0" xr:uid="{0BA6FEA5-32AF-4E4C-9B96-30DBA30B6C18}">
      <text>
        <r>
          <rPr>
            <b/>
            <sz val="9"/>
            <color indexed="81"/>
            <rFont val="Tahoma"/>
            <family val="2"/>
          </rPr>
          <t>Brian C Jonasson:</t>
        </r>
        <r>
          <rPr>
            <sz val="9"/>
            <color indexed="81"/>
            <rFont val="Tahoma"/>
            <family val="2"/>
          </rPr>
          <t xml:space="preserve">
did not survey Vey Meadows;
total includes 
Upper Grande Ronde = 261
Limber Jim = 0 redds
Sheep Creek = 31 redds
McCoy Creek = 1 redd
Meadow Creek = 0 redds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 Jonasson</author>
  </authors>
  <commentList>
    <comment ref="E13" authorId="0" shapeId="0" xr:uid="{C45ED73A-344F-9D44-925A-CECC3B371281}">
      <text>
        <r>
          <rPr>
            <b/>
            <sz val="8"/>
            <color rgb="FF000000"/>
            <rFont val="Tahoma"/>
            <family val="2"/>
          </rPr>
          <t>B Jonasson:</t>
        </r>
        <r>
          <rPr>
            <sz val="8"/>
            <color rgb="FF000000"/>
            <rFont val="Tahoma"/>
            <family val="2"/>
          </rPr>
          <t xml:space="preserve">
</t>
        </r>
        <r>
          <rPr>
            <sz val="8"/>
            <color rgb="FF000000"/>
            <rFont val="Tahoma"/>
            <family val="2"/>
          </rPr>
          <t xml:space="preserve">estimated by: Smolt equivalents at LGD/summer parr survival to LGD
</t>
        </r>
        <r>
          <rPr>
            <sz val="8"/>
            <color rgb="FF000000"/>
            <rFont val="Tahoma"/>
            <family val="2"/>
          </rPr>
          <t xml:space="preserve">
</t>
        </r>
        <r>
          <rPr>
            <sz val="8"/>
            <color rgb="FF000000"/>
            <rFont val="Tahoma"/>
            <family val="2"/>
          </rPr>
          <t>This will give the number of late summer parr that produced the smolt equivalents at Lower Granite Dam.</t>
        </r>
      </text>
    </comment>
    <comment ref="S13" authorId="0" shapeId="0" xr:uid="{EFE52586-4235-B64D-A8D8-CB5D7893AA32}">
      <text>
        <r>
          <rPr>
            <b/>
            <sz val="8"/>
            <color indexed="81"/>
            <rFont val="Tahoma"/>
            <family val="2"/>
          </rPr>
          <t>B Jonasson:</t>
        </r>
        <r>
          <rPr>
            <sz val="8"/>
            <color indexed="81"/>
            <rFont val="Tahoma"/>
            <family val="2"/>
          </rPr>
          <t xml:space="preserve">
estimated by: Smolt equivalents at LGD/summer parr survival to LGD
This will give the number of late summer parr that produced the smolt equivalents at Lower Granite Dam.</t>
        </r>
      </text>
    </comment>
    <comment ref="C15" authorId="0" shapeId="0" xr:uid="{177296C7-F273-3E43-8C84-07B1EE835E3E}">
      <text>
        <r>
          <rPr>
            <b/>
            <sz val="8"/>
            <color rgb="FF000000"/>
            <rFont val="Tahoma"/>
            <family val="2"/>
          </rPr>
          <t>B Jonasson:</t>
        </r>
        <r>
          <rPr>
            <sz val="8"/>
            <color rgb="FF000000"/>
            <rFont val="Tahoma"/>
            <family val="2"/>
          </rPr>
          <t xml:space="preserve">
</t>
        </r>
        <r>
          <rPr>
            <sz val="8"/>
            <color rgb="FF000000"/>
            <rFont val="Tahoma"/>
            <family val="2"/>
          </rPr>
          <t>trap located at rkm 257 (Orodell)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Nick</author>
    <author>Peter McHugh</author>
  </authors>
  <commentList>
    <comment ref="R16" authorId="0" shapeId="0" xr:uid="{DD2E6029-5D36-5541-ABD6-B225F1202516}">
      <text>
        <r>
          <rPr>
            <b/>
            <sz val="10"/>
            <color rgb="FF000000"/>
            <rFont val="Calibri"/>
            <family val="2"/>
          </rPr>
          <t>Nick:</t>
        </r>
        <r>
          <rPr>
            <sz val="10"/>
            <color rgb="FF000000"/>
            <rFont val="Calibri"/>
            <family val="2"/>
          </rPr>
          <t xml:space="preserve">
</t>
        </r>
        <r>
          <rPr>
            <sz val="10"/>
            <color rgb="FF000000"/>
            <rFont val="Calibri"/>
            <family val="2"/>
          </rPr>
          <t>This will stay at 100%</t>
        </r>
      </text>
    </comment>
    <comment ref="E30" authorId="1" shapeId="0" xr:uid="{DE896F7E-91D1-B642-A0C2-3A36D3B53815}">
      <text>
        <r>
          <rPr>
            <b/>
            <sz val="9"/>
            <color rgb="FF000000"/>
            <rFont val="Tahoma"/>
            <family val="2"/>
          </rPr>
          <t>Peter McHugh:</t>
        </r>
        <r>
          <rPr>
            <sz val="9"/>
            <color rgb="FF000000"/>
            <rFont val="Tahoma"/>
            <family val="2"/>
          </rPr>
          <t xml:space="preserve">
</t>
        </r>
        <r>
          <rPr>
            <sz val="9"/>
            <color rgb="FF000000"/>
            <rFont val="Tahoma"/>
            <family val="2"/>
          </rPr>
          <t>estimated based on average ratio of 3-salt to 2-salt...</t>
        </r>
      </text>
    </comment>
    <comment ref="M31" authorId="0" shapeId="0" xr:uid="{1B849EF0-D828-7948-8186-3F6F8C022075}">
      <text>
        <r>
          <rPr>
            <b/>
            <sz val="10"/>
            <color rgb="FF000000"/>
            <rFont val="Calibri"/>
            <family val="2"/>
          </rPr>
          <t>Nick:</t>
        </r>
        <r>
          <rPr>
            <sz val="10"/>
            <color rgb="FF000000"/>
            <rFont val="Calibri"/>
            <family val="2"/>
          </rPr>
          <t xml:space="preserve">
</t>
        </r>
        <r>
          <rPr>
            <sz val="10"/>
            <color rgb="FF000000"/>
            <rFont val="Calibri"/>
            <family val="2"/>
          </rPr>
          <t>Use these values as model inputs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Nick</author>
  </authors>
  <commentList>
    <comment ref="I24" authorId="0" shapeId="0" xr:uid="{4B7D60D1-D774-584E-9E5A-32A99147CAD0}">
      <text>
        <r>
          <rPr>
            <b/>
            <sz val="10"/>
            <color rgb="FF000000"/>
            <rFont val="Tahoma"/>
            <family val="2"/>
          </rPr>
          <t>Nick:</t>
        </r>
        <r>
          <rPr>
            <sz val="10"/>
            <color rgb="FF000000"/>
            <rFont val="Tahoma"/>
            <family val="2"/>
          </rPr>
          <t xml:space="preserve">
</t>
        </r>
        <r>
          <rPr>
            <sz val="10"/>
            <color rgb="FF000000"/>
            <rFont val="Tahoma"/>
            <family val="2"/>
          </rPr>
          <t>Capacity in the model is on Eggs, we use 3831</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Nick</author>
  </authors>
  <commentList>
    <comment ref="I31" authorId="0" shapeId="0" xr:uid="{DA5F50A2-939D-7C47-8966-9BAC2FF1FC71}">
      <text>
        <r>
          <rPr>
            <b/>
            <sz val="10"/>
            <color rgb="FF000000"/>
            <rFont val="Tahoma"/>
            <family val="2"/>
          </rPr>
          <t>Nick:</t>
        </r>
        <r>
          <rPr>
            <sz val="10"/>
            <color rgb="FF000000"/>
            <rFont val="Tahoma"/>
            <family val="2"/>
          </rPr>
          <t xml:space="preserve">
</t>
        </r>
        <r>
          <rPr>
            <sz val="10"/>
            <color rgb="FF000000"/>
            <rFont val="Tahoma"/>
            <family val="2"/>
          </rPr>
          <t>Capacity in the model is on Eggs, we use 3831</t>
        </r>
      </text>
    </comment>
    <comment ref="M51" authorId="0" shapeId="0" xr:uid="{163D1A75-9956-9C46-A5CB-5A4EE8C0653D}">
      <text>
        <r>
          <rPr>
            <b/>
            <sz val="10"/>
            <color rgb="FF000000"/>
            <rFont val="Tahoma"/>
            <family val="2"/>
          </rPr>
          <t>Nick:</t>
        </r>
        <r>
          <rPr>
            <sz val="10"/>
            <color rgb="FF000000"/>
            <rFont val="Tahoma"/>
            <family val="2"/>
          </rPr>
          <t xml:space="preserve">
</t>
        </r>
        <r>
          <rPr>
            <sz val="10"/>
            <color rgb="FF000000"/>
            <rFont val="Tahoma"/>
            <family val="2"/>
          </rPr>
          <t>Adjust these so that Realized Survival eauals Mean Survival above, given S1_Curr</t>
        </r>
      </text>
    </comment>
  </commentList>
</comments>
</file>

<file path=xl/sharedStrings.xml><?xml version="1.0" encoding="utf-8"?>
<sst xmlns="http://schemas.openxmlformats.org/spreadsheetml/2006/main" count="622" uniqueCount="279">
  <si>
    <t>Stage1</t>
  </si>
  <si>
    <t>Stage2</t>
  </si>
  <si>
    <t>Egg</t>
  </si>
  <si>
    <t>Fry</t>
  </si>
  <si>
    <t>Parr</t>
  </si>
  <si>
    <t>LGDSmolt</t>
  </si>
  <si>
    <t>OceanAdult1</t>
  </si>
  <si>
    <t>LGDAdult1</t>
  </si>
  <si>
    <t>OceanAdult2</t>
  </si>
  <si>
    <t>LGDAdult2</t>
  </si>
  <si>
    <t>LGDAdult3</t>
  </si>
  <si>
    <t>years</t>
  </si>
  <si>
    <t>runs</t>
  </si>
  <si>
    <t>scenario</t>
  </si>
  <si>
    <t>Stage_Transition</t>
  </si>
  <si>
    <t>Productivity</t>
  </si>
  <si>
    <t>Productivity_SD</t>
  </si>
  <si>
    <t>Capacity</t>
  </si>
  <si>
    <t>Transition</t>
  </si>
  <si>
    <t>Transition_SD</t>
  </si>
  <si>
    <t>PreSmoltHeadwaters</t>
  </si>
  <si>
    <t>PreSmoltValley</t>
  </si>
  <si>
    <t>Capacity_SD</t>
  </si>
  <si>
    <t>population</t>
  </si>
  <si>
    <t>CC or UGR</t>
  </si>
  <si>
    <t>CC</t>
  </si>
  <si>
    <t>seed_fry</t>
  </si>
  <si>
    <t>seed_hatchery_smolt</t>
  </si>
  <si>
    <t>scenerio</t>
  </si>
  <si>
    <t>how many years to model</t>
  </si>
  <si>
    <t>runs to model</t>
  </si>
  <si>
    <t>starting fry model seed</t>
  </si>
  <si>
    <t>starting hatchery smolt model seed</t>
  </si>
  <si>
    <t>HatchRelease</t>
  </si>
  <si>
    <t>LGDAdult</t>
  </si>
  <si>
    <t>TrapAdult</t>
  </si>
  <si>
    <t>Spawner</t>
  </si>
  <si>
    <t>PassedAdult</t>
  </si>
  <si>
    <t>Natural_Cap_Scaler</t>
  </si>
  <si>
    <t>Hatchery_Cap_Scaler</t>
  </si>
  <si>
    <t>TotalSpawner</t>
  </si>
  <si>
    <t>Natural_Prod_Scaler</t>
  </si>
  <si>
    <t>Hatchery_Prod_Scaler</t>
  </si>
  <si>
    <t>Population</t>
  </si>
  <si>
    <t>UGR</t>
  </si>
  <si>
    <t>Scenario</t>
  </si>
  <si>
    <t>Curr</t>
  </si>
  <si>
    <t>PNV</t>
  </si>
  <si>
    <t>HiPr</t>
  </si>
  <si>
    <t>Clim</t>
  </si>
  <si>
    <t>ClimVeg</t>
  </si>
  <si>
    <t>ClimVegWid</t>
  </si>
  <si>
    <t>stochasticity</t>
  </si>
  <si>
    <t>Stochasticity</t>
  </si>
  <si>
    <t>ON</t>
  </si>
  <si>
    <t>OFF</t>
  </si>
  <si>
    <t xml:space="preserve">    adults and jacks detected at Lower Granite Dam from smolt migration years 2001 to 2014.</t>
  </si>
  <si>
    <t>Smolt</t>
  </si>
  <si>
    <t>Jacks</t>
  </si>
  <si>
    <t>Adults</t>
  </si>
  <si>
    <t>Percent</t>
  </si>
  <si>
    <t>Overall SAR (w/ jack, B.19)</t>
  </si>
  <si>
    <t>OA2 ret</t>
  </si>
  <si>
    <t>OA3 ret</t>
  </si>
  <si>
    <t>Survival</t>
  </si>
  <si>
    <t>Maturation</t>
  </si>
  <si>
    <t>Expected</t>
  </si>
  <si>
    <t>1-salt</t>
  </si>
  <si>
    <t>2-salt</t>
  </si>
  <si>
    <t>3-salt</t>
  </si>
  <si>
    <t>SAR</t>
  </si>
  <si>
    <t>S1</t>
  </si>
  <si>
    <t>S2</t>
  </si>
  <si>
    <t>S3</t>
  </si>
  <si>
    <t>m1</t>
  </si>
  <si>
    <t>m2</t>
  </si>
  <si>
    <t>m3</t>
  </si>
  <si>
    <t>Average (2001–2013)</t>
  </si>
  <si>
    <r>
      <rPr>
        <b/>
        <sz val="12"/>
        <rFont val="Calibri"/>
        <family val="2"/>
        <scheme val="minor"/>
      </rPr>
      <t>Table F.4</t>
    </r>
    <r>
      <rPr>
        <sz val="12"/>
        <rFont val="Calibri"/>
        <family val="2"/>
        <scheme val="minor"/>
      </rPr>
      <t xml:space="preserve">  Age composition of returning PIT-tagged CATHERINE CREEK HATCHERY SPRING CHINOOK</t>
    </r>
  </si>
  <si>
    <r>
      <t>2006</t>
    </r>
    <r>
      <rPr>
        <vertAlign val="superscript"/>
        <sz val="12"/>
        <rFont val="Calibri"/>
        <family val="2"/>
        <scheme val="minor"/>
      </rPr>
      <t>A</t>
    </r>
  </si>
  <si>
    <r>
      <t>2007</t>
    </r>
    <r>
      <rPr>
        <vertAlign val="superscript"/>
        <sz val="12"/>
        <rFont val="Calibri"/>
        <family val="2"/>
        <scheme val="minor"/>
      </rPr>
      <t>A</t>
    </r>
  </si>
  <si>
    <r>
      <t>2008</t>
    </r>
    <r>
      <rPr>
        <vertAlign val="superscript"/>
        <sz val="12"/>
        <rFont val="Calibri"/>
        <family val="2"/>
        <scheme val="minor"/>
      </rPr>
      <t>A</t>
    </r>
  </si>
  <si>
    <r>
      <t>2009</t>
    </r>
    <r>
      <rPr>
        <vertAlign val="superscript"/>
        <sz val="12"/>
        <rFont val="Calibri"/>
        <family val="2"/>
        <scheme val="minor"/>
      </rPr>
      <t>A</t>
    </r>
  </si>
  <si>
    <r>
      <t>2010</t>
    </r>
    <r>
      <rPr>
        <vertAlign val="superscript"/>
        <sz val="12"/>
        <rFont val="Calibri"/>
        <family val="2"/>
        <scheme val="minor"/>
      </rPr>
      <t>A</t>
    </r>
  </si>
  <si>
    <r>
      <t>2011</t>
    </r>
    <r>
      <rPr>
        <vertAlign val="superscript"/>
        <sz val="12"/>
        <rFont val="Calibri"/>
        <family val="2"/>
        <scheme val="minor"/>
      </rPr>
      <t>A</t>
    </r>
  </si>
  <si>
    <r>
      <t>2012</t>
    </r>
    <r>
      <rPr>
        <vertAlign val="superscript"/>
        <sz val="12"/>
        <rFont val="Calibri"/>
        <family val="2"/>
        <scheme val="minor"/>
      </rPr>
      <t>A</t>
    </r>
    <r>
      <rPr>
        <sz val="12"/>
        <rFont val="Calibri"/>
        <family val="2"/>
        <scheme val="minor"/>
      </rPr>
      <t xml:space="preserve"> </t>
    </r>
  </si>
  <si>
    <r>
      <t>2013</t>
    </r>
    <r>
      <rPr>
        <vertAlign val="superscript"/>
        <sz val="12"/>
        <rFont val="Calibri"/>
        <family val="2"/>
        <scheme val="minor"/>
      </rPr>
      <t>A</t>
    </r>
  </si>
  <si>
    <r>
      <t>2014</t>
    </r>
    <r>
      <rPr>
        <vertAlign val="superscript"/>
        <sz val="12"/>
        <rFont val="Calibri"/>
        <family val="2"/>
        <scheme val="minor"/>
      </rPr>
      <t xml:space="preserve"> A, B</t>
    </r>
  </si>
  <si>
    <r>
      <t>A</t>
    </r>
    <r>
      <rPr>
        <sz val="12"/>
        <rFont val="Calibri"/>
        <family val="2"/>
        <scheme val="minor"/>
      </rPr>
      <t xml:space="preserve"> Smolt migration year 2006–2014 data are from combined T &amp; R groups.</t>
    </r>
  </si>
  <si>
    <r>
      <t>B</t>
    </r>
    <r>
      <rPr>
        <sz val="12"/>
        <rFont val="Calibri"/>
        <family val="2"/>
        <scheme val="minor"/>
      </rPr>
      <t xml:space="preserve"> Incomplete adult returns through 9/16/2016 at GRA; not included in average.</t>
    </r>
  </si>
  <si>
    <t>Smolt to Adult Return Ratios (SAR)</t>
  </si>
  <si>
    <t>Summary</t>
  </si>
  <si>
    <t>Migration Year</t>
  </si>
  <si>
    <t>The smolt to adult ration (SAR) relies on CSS data from bonneville dam and back, thus, for the sake of this model framework the ocean begins and ends at Bonneville Dam</t>
  </si>
  <si>
    <t>Data</t>
  </si>
  <si>
    <t>Smolts</t>
  </si>
  <si>
    <t>Total Smolt</t>
  </si>
  <si>
    <t>Table B.19</t>
  </si>
  <si>
    <t>SAR Estimate</t>
  </si>
  <si>
    <t>Solver Changes These Cells</t>
  </si>
  <si>
    <t>Observed:Expected</t>
  </si>
  <si>
    <t>Solver sets this to a minimum</t>
  </si>
  <si>
    <t>Estimated by Solver</t>
  </si>
  <si>
    <t>Minimized by Solver</t>
  </si>
  <si>
    <t>Mean =&gt;</t>
  </si>
  <si>
    <t>Median =&gt;</t>
  </si>
  <si>
    <t>Solver Target =&gt;</t>
  </si>
  <si>
    <t>LGDSmolt_LGDAdult1</t>
  </si>
  <si>
    <t>LGDSmolt_OceanAdult1</t>
  </si>
  <si>
    <t>OceanAdult1_LGDAdult2</t>
  </si>
  <si>
    <t>OceanAdult1_OceanAdult2</t>
  </si>
  <si>
    <t>OceanAdult2_LGDAdult3</t>
  </si>
  <si>
    <t>SD =&gt;</t>
  </si>
  <si>
    <t>To Do: Consider adding stochastic component to maturation probability</t>
  </si>
  <si>
    <t>To Do: Consider adding age specific fecundity to the model framework</t>
  </si>
  <si>
    <t>OA1</t>
  </si>
  <si>
    <t>OA2</t>
  </si>
  <si>
    <t>OA3</t>
  </si>
  <si>
    <t>Data URL</t>
  </si>
  <si>
    <t>http://www.fpc.org/documents/CSS/CSS_2016_Final.pdf</t>
  </si>
  <si>
    <t>The SAR and age comp data used to estimate S1, S2, S3, m1, m2 are based on this table from FPC's 2016 CSS report</t>
  </si>
  <si>
    <t>Fecundity - Spawner to Egg</t>
  </si>
  <si>
    <t>Current value is an annual average reported by Van Duke et al. 2008</t>
  </si>
  <si>
    <t>https://www.cbfish.org/Document.mvc/Viewer/P105971</t>
  </si>
  <si>
    <t>Average Value from 1997 - 2005 reported in Table 3. of Van Duke 2009</t>
  </si>
  <si>
    <t>TotalSpawner_Egg</t>
  </si>
  <si>
    <t>Year</t>
  </si>
  <si>
    <t>Fecundity</t>
  </si>
  <si>
    <t>Table 3. Van Dyke 2008</t>
  </si>
  <si>
    <t>To Do: Figure out where this data came from, consider adding to model in age specific fecundity</t>
  </si>
  <si>
    <t>Age</t>
  </si>
  <si>
    <t>Fecundity by Age</t>
  </si>
  <si>
    <t>Egg to Parr Survival Workup</t>
  </si>
  <si>
    <t>Data supplied by ODFW and is ratio of Eggs to predicted late summer Parr</t>
  </si>
  <si>
    <t>Spawner Fecundity</t>
  </si>
  <si>
    <t>Brood Year</t>
  </si>
  <si>
    <t>Redds</t>
  </si>
  <si>
    <t>Age1</t>
  </si>
  <si>
    <t>Age2</t>
  </si>
  <si>
    <t>Age3</t>
  </si>
  <si>
    <t>Eggs1</t>
  </si>
  <si>
    <t>Eggs2</t>
  </si>
  <si>
    <t>Eggs3</t>
  </si>
  <si>
    <t>TotalEggs</t>
  </si>
  <si>
    <t>MigratoryYear</t>
  </si>
  <si>
    <t>Late summer parr</t>
  </si>
  <si>
    <t>Egg to Parr</t>
  </si>
  <si>
    <t>Age 1</t>
  </si>
  <si>
    <t>Age 2</t>
  </si>
  <si>
    <t>Age 3</t>
  </si>
  <si>
    <t>Spawner Age Structure</t>
  </si>
  <si>
    <t>Estimated Egg to Parr Survival</t>
  </si>
  <si>
    <t>Min</t>
  </si>
  <si>
    <t>25th</t>
  </si>
  <si>
    <t>50th</t>
  </si>
  <si>
    <t>75th</t>
  </si>
  <si>
    <t>Max</t>
  </si>
  <si>
    <t>TO DO: Double Check These Tables</t>
  </si>
  <si>
    <t>Model</t>
  </si>
  <si>
    <t>setting_name</t>
  </si>
  <si>
    <t>setting_value</t>
  </si>
  <si>
    <t>Life Cycle Model Specification</t>
  </si>
  <si>
    <t>Years</t>
  </si>
  <si>
    <t>Model Setting</t>
  </si>
  <si>
    <t>Setting Value</t>
  </si>
  <si>
    <t>Setting Description</t>
  </si>
  <si>
    <t>StDev</t>
  </si>
  <si>
    <t>Consider Calibration to Mean Abundances</t>
  </si>
  <si>
    <t>Consider Using Mean Rather Than 50th</t>
  </si>
  <si>
    <t>Fry_Parr</t>
  </si>
  <si>
    <t>Hatchery Release Survival to LGD</t>
  </si>
  <si>
    <t>Data supplied by Casey Justice analysis of smolt survival and length</t>
  </si>
  <si>
    <t>Migration year</t>
  </si>
  <si>
    <t>Survival estimate</t>
  </si>
  <si>
    <t>SE</t>
  </si>
  <si>
    <t>LCL</t>
  </si>
  <si>
    <t>UCL</t>
  </si>
  <si>
    <t>Hatchery Release Survival Summary</t>
  </si>
  <si>
    <t>TODO: Track down and add reference for source table</t>
  </si>
  <si>
    <t>HatchRelease_LGDSmolt</t>
  </si>
  <si>
    <t>Capacity estimates were based on scaling up mean of HSI capacity estimates to the extent of each strata within each temperature scenario</t>
  </si>
  <si>
    <t>Capacity Estimates by Restoration Scenario</t>
  </si>
  <si>
    <t>Pre-Spawn Survival - LGR to Spawning Grounds</t>
  </si>
  <si>
    <t>Mean Capacity</t>
  </si>
  <si>
    <t>StDev Capacity</t>
  </si>
  <si>
    <t>CV</t>
  </si>
  <si>
    <t>Eggs</t>
  </si>
  <si>
    <t>Egg StDev</t>
  </si>
  <si>
    <t>Prespawn mortality estimates compiled by Tracy Bowerman based on multiple data sources (ODFW primarily)</t>
  </si>
  <si>
    <t>From email dated 22 March 2017</t>
  </si>
  <si>
    <t>Data filtered to include only years in which estimates were based on at least 20 fish…</t>
  </si>
  <si>
    <t>CatherineCk</t>
  </si>
  <si>
    <t>UpperGR</t>
  </si>
  <si>
    <t>WidPNV</t>
  </si>
  <si>
    <t>Capacity estimates will be used in each scenario</t>
  </si>
  <si>
    <t>Mean</t>
  </si>
  <si>
    <t>SD</t>
  </si>
  <si>
    <t>A calibration exercise to figure out spawner prod input</t>
  </si>
  <si>
    <t>Target Productivity</t>
  </si>
  <si>
    <t>that's consistent with HSI capacity (Table 1)</t>
  </si>
  <si>
    <t>&amp; obs'd (realized surv) prespawn mortality (Table 2)</t>
  </si>
  <si>
    <t>UGR and CC run size estimate</t>
  </si>
  <si>
    <t>esc</t>
  </si>
  <si>
    <t>real surv</t>
  </si>
  <si>
    <t>Calibrate to achieve spawniing ground size given target survival</t>
  </si>
  <si>
    <t>Upper Grande Ronde</t>
  </si>
  <si>
    <t>Catherine</t>
  </si>
  <si>
    <t>BY</t>
  </si>
  <si>
    <t>Fish</t>
  </si>
  <si>
    <t>This is a simple beverton holt using capacity in S1 to calibrate realized survival</t>
  </si>
  <si>
    <t>Mean on Spawning Grounds</t>
  </si>
  <si>
    <t>PreSpawn Size</t>
  </si>
  <si>
    <t>Adult Spawner Survival and Capacity</t>
  </si>
  <si>
    <t>Bev Holt UGR</t>
  </si>
  <si>
    <t>a (capacity)</t>
  </si>
  <si>
    <t>b</t>
  </si>
  <si>
    <t>a/b (productivity)</t>
  </si>
  <si>
    <t>SSq</t>
  </si>
  <si>
    <t>Migratory year</t>
  </si>
  <si>
    <t>Spawners</t>
  </si>
  <si>
    <t>Ln(R/S) Bev-Holt</t>
  </si>
  <si>
    <t>(O-E)²</t>
  </si>
  <si>
    <t>E(B-H)</t>
  </si>
  <si>
    <t>Capacity (K)</t>
  </si>
  <si>
    <t xml:space="preserve">         </t>
  </si>
  <si>
    <t>Mean Parr =&gt;</t>
  </si>
  <si>
    <t>Parr Capacity Using Beverton-Holt</t>
  </si>
  <si>
    <t>These workups will replace the QRF estimates used previously on ParrCapProd&amp;Mvmnt</t>
  </si>
  <si>
    <t>This data taken from Cooney and ODFW</t>
  </si>
  <si>
    <t>Original Stock Recruit curves were fit by Casey Justice at CRTFC</t>
  </si>
  <si>
    <t>Bev Holt CC</t>
  </si>
  <si>
    <t>To Do: Double check more recent fits from previous correspondence with Casey, and modelling work done by some dude</t>
  </si>
  <si>
    <t>This should also include a SD for the model</t>
  </si>
  <si>
    <t>Spawner Capacity</t>
  </si>
  <si>
    <t>Parr Capacity</t>
  </si>
  <si>
    <t>% Change</t>
  </si>
  <si>
    <t>Chanage in Parr capacity given riparian restoration and climate scenarios</t>
  </si>
  <si>
    <t>Capacity Diff.</t>
  </si>
  <si>
    <t>Stage_transition</t>
  </si>
  <si>
    <t>ToDo: Review new capacity estimates from model fits and add new parms with SD</t>
  </si>
  <si>
    <t>i.e. Shouldn't frickin be 0</t>
  </si>
  <si>
    <t>Life-History Survival Differentials</t>
  </si>
  <si>
    <t>Correction factor for valley vs. headwater survival</t>
  </si>
  <si>
    <t xml:space="preserve"> The intention is for these correction values be multiplied by the current survival values for each spatial strata.  </t>
  </si>
  <si>
    <t>Headwaters</t>
  </si>
  <si>
    <t>Valley</t>
  </si>
  <si>
    <t>Cathrine Creek</t>
  </si>
  <si>
    <t>This stuff is based on work done by Carl S. that I wasn't too fired up about</t>
  </si>
  <si>
    <t>Pre-Smolt to LGD Smolt</t>
  </si>
  <si>
    <t>ToDo: Really figure out where the fuck these values are coming from? And how to do this correct?</t>
  </si>
  <si>
    <t>PreSmoltHeadwaters_LGDSmolt</t>
  </si>
  <si>
    <t>PreSmoltValley_LGDSmolt</t>
  </si>
  <si>
    <t>Life-History</t>
  </si>
  <si>
    <t>This comes from the ODFW Data, I will get to the bottom of this?</t>
  </si>
  <si>
    <t>Same Productivity</t>
  </si>
  <si>
    <t>Adjusted Productivity</t>
  </si>
  <si>
    <t>Would love to have better SD's associated with each life-history</t>
  </si>
  <si>
    <t>Parr to Pre-smolt movement</t>
  </si>
  <si>
    <t>ToDo: Need to get to the bottom of this data, source etc…..</t>
  </si>
  <si>
    <t>Parr_PreSmoltHeadwaters</t>
  </si>
  <si>
    <t>Parr_PreSmoltValley</t>
  </si>
  <si>
    <t>Shit Yeah You Bitch</t>
  </si>
  <si>
    <t>Median</t>
  </si>
  <si>
    <t>NOTE: I'm currently using the Median for the updated model Sept.  2018</t>
  </si>
  <si>
    <t>To Do: Refine and find better more concrete data for this stage</t>
  </si>
  <si>
    <t>Also, this may not be in the correct spot, this should probably</t>
  </si>
  <si>
    <t>PassedAdult_Spawner</t>
  </si>
  <si>
    <t>Model Name</t>
  </si>
  <si>
    <t>model_name</t>
  </si>
  <si>
    <t>stop_sup</t>
  </si>
  <si>
    <t>My Test Model</t>
  </si>
  <si>
    <t>Population:</t>
  </si>
  <si>
    <t>Scenario:</t>
  </si>
  <si>
    <t>Years:</t>
  </si>
  <si>
    <t>Model Runs:</t>
  </si>
  <si>
    <t>Seed Fry:</t>
  </si>
  <si>
    <t>Seed Hatchery Smolt:</t>
  </si>
  <si>
    <t>Cease Supplementation:</t>
  </si>
  <si>
    <t>Stochasticity: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</si>
</sst>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_(* #,##0_);_(* \(#,##0\);_(* &quot;-&quot;??_);_(@_)"/>
    <numFmt numFmtId="166" formatCode="#,##0.000"/>
  </numFmts>
  <fonts count="59">
    <font>
      <sz val="12"/>
      <color theme="1"/>
      <name val="Calibri"/>
      <family val="2"/>
      <scheme val="minor"/>
    </font>
    <font>
      <sz val="20"/>
      <color theme="1"/>
      <name val="Calibri"/>
      <family val="2"/>
      <scheme val="minor"/>
    </font>
    <font>
      <sz val="12"/>
      <color rgb="FF006100"/>
      <name val="Calibri"/>
      <family val="2"/>
      <scheme val="minor"/>
    </font>
    <font>
      <sz val="12"/>
      <color rgb="FF9C5700"/>
      <name val="Calibri"/>
      <family val="2"/>
      <scheme val="minor"/>
    </font>
    <font>
      <sz val="10"/>
      <color rgb="FF000000"/>
      <name val="Tahoma"/>
      <family val="2"/>
    </font>
    <font>
      <b/>
      <sz val="10"/>
      <color rgb="FF000000"/>
      <name val="Tahoma"/>
      <family val="2"/>
    </font>
    <font>
      <sz val="12"/>
      <color rgb="FF9C0006"/>
      <name val="Calibri"/>
      <family val="2"/>
      <scheme val="minor"/>
    </font>
    <font>
      <b/>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rgb="FFFF0000"/>
      <name val="Calibri"/>
      <family val="2"/>
      <scheme val="minor"/>
    </font>
    <font>
      <sz val="12"/>
      <color theme="0"/>
      <name val="Calibri"/>
      <family val="2"/>
      <scheme val="minor"/>
    </font>
    <font>
      <b/>
      <sz val="16"/>
      <color theme="1"/>
      <name val="Calibri"/>
      <family val="2"/>
      <scheme val="minor"/>
    </font>
    <font>
      <b/>
      <sz val="9"/>
      <color rgb="FF000000"/>
      <name val="Tahoma"/>
      <family val="2"/>
    </font>
    <font>
      <sz val="9"/>
      <color rgb="FF000000"/>
      <name val="Tahoma"/>
      <family val="2"/>
    </font>
    <font>
      <b/>
      <sz val="10"/>
      <color rgb="FF000000"/>
      <name val="Calibri"/>
      <family val="2"/>
    </font>
    <font>
      <sz val="10"/>
      <color rgb="FF000000"/>
      <name val="Calibri"/>
      <family val="2"/>
    </font>
    <font>
      <b/>
      <sz val="9"/>
      <color indexed="81"/>
      <name val="Tahoma"/>
      <family val="2"/>
    </font>
    <font>
      <sz val="9"/>
      <color indexed="81"/>
      <name val="Tahoma"/>
      <family val="2"/>
    </font>
    <font>
      <sz val="12"/>
      <name val="Calibri"/>
      <family val="2"/>
      <scheme val="minor"/>
    </font>
    <font>
      <b/>
      <sz val="12"/>
      <name val="Calibri"/>
      <family val="2"/>
      <scheme val="minor"/>
    </font>
    <font>
      <vertAlign val="superscript"/>
      <sz val="12"/>
      <name val="Calibri"/>
      <family val="2"/>
      <scheme val="minor"/>
    </font>
    <font>
      <sz val="12"/>
      <color rgb="FF000000"/>
      <name val="Calibri"/>
      <family val="2"/>
      <scheme val="minor"/>
    </font>
    <font>
      <b/>
      <sz val="16"/>
      <color rgb="FFFF0000"/>
      <name val="Calibri"/>
      <family val="2"/>
      <scheme val="minor"/>
    </font>
    <font>
      <sz val="20"/>
      <color rgb="FFFF0000"/>
      <name val="Calibri"/>
      <family val="2"/>
      <scheme val="minor"/>
    </font>
    <font>
      <b/>
      <sz val="11"/>
      <color theme="1"/>
      <name val="Calibri"/>
      <family val="2"/>
      <scheme val="minor"/>
    </font>
    <font>
      <u/>
      <sz val="12"/>
      <color theme="10"/>
      <name val="Calibri"/>
      <family val="2"/>
      <scheme val="minor"/>
    </font>
    <font>
      <b/>
      <sz val="16"/>
      <name val="Calibri"/>
      <family val="2"/>
      <scheme val="minor"/>
    </font>
    <font>
      <sz val="11"/>
      <name val="Calibri"/>
      <family val="2"/>
      <scheme val="minor"/>
    </font>
    <font>
      <b/>
      <sz val="8"/>
      <color rgb="FF000000"/>
      <name val="Tahoma"/>
      <family val="2"/>
    </font>
    <font>
      <sz val="8"/>
      <color rgb="FF000000"/>
      <name val="Tahoma"/>
      <family val="2"/>
    </font>
    <font>
      <b/>
      <sz val="8"/>
      <color indexed="81"/>
      <name val="Tahoma"/>
      <family val="2"/>
    </font>
    <font>
      <sz val="8"/>
      <color indexed="81"/>
      <name val="Tahoma"/>
      <family val="2"/>
    </font>
    <font>
      <sz val="18"/>
      <color theme="3"/>
      <name val="Calibri Light"/>
      <family val="2"/>
      <scheme val="major"/>
    </font>
    <font>
      <b/>
      <sz val="15"/>
      <color theme="3"/>
      <name val="Calibri"/>
      <family val="2"/>
      <scheme val="minor"/>
    </font>
    <font>
      <b/>
      <sz val="13"/>
      <color theme="3"/>
      <name val="Calibri"/>
      <family val="2"/>
      <scheme val="minor"/>
    </font>
    <font>
      <i/>
      <sz val="12"/>
      <color rgb="FF7F7F7F"/>
      <name val="Calibri"/>
      <family val="2"/>
      <scheme val="minor"/>
    </font>
    <font>
      <b/>
      <sz val="14"/>
      <name val="Calibri"/>
      <family val="2"/>
      <scheme val="minor"/>
    </font>
    <font>
      <b/>
      <sz val="11"/>
      <name val="Calibri"/>
      <family val="2"/>
      <scheme val="minor"/>
    </font>
    <font>
      <sz val="18"/>
      <color theme="1"/>
      <name val="Calibri"/>
      <family val="2"/>
      <scheme val="minor"/>
    </font>
    <font>
      <b/>
      <sz val="18"/>
      <color theme="0"/>
      <name val="Calibri"/>
      <family val="2"/>
      <scheme val="minor"/>
    </font>
    <font>
      <b/>
      <sz val="18"/>
      <color theme="1"/>
      <name val="Calibri"/>
      <family val="2"/>
      <scheme val="minor"/>
    </font>
    <font>
      <sz val="11"/>
      <color rgb="FF006100"/>
      <name val="Calibri"/>
      <family val="2"/>
      <scheme val="minor"/>
    </font>
    <font>
      <b/>
      <sz val="18"/>
      <name val="Calibri"/>
      <family val="2"/>
      <scheme val="minor"/>
    </font>
    <font>
      <sz val="11"/>
      <color rgb="FF9C6500"/>
      <name val="Calibri"/>
      <family val="2"/>
      <scheme val="minor"/>
    </font>
    <font>
      <b/>
      <sz val="11"/>
      <color rgb="FF9C0006"/>
      <name val="Calibri"/>
      <family val="2"/>
      <scheme val="minor"/>
    </font>
    <font>
      <b/>
      <sz val="11"/>
      <color rgb="FF9C6500"/>
      <name val="Calibri"/>
      <family val="2"/>
      <scheme val="minor"/>
    </font>
    <font>
      <sz val="14"/>
      <color theme="1"/>
      <name val="Calibri"/>
      <family val="2"/>
      <scheme val="minor"/>
    </font>
    <font>
      <b/>
      <sz val="14"/>
      <color rgb="FFFA7D00"/>
      <name val="Calibri"/>
      <family val="2"/>
      <scheme val="minor"/>
    </font>
    <font>
      <sz val="11"/>
      <color rgb="FFFF0000"/>
      <name val="Calibri"/>
      <family val="2"/>
      <scheme val="minor"/>
    </font>
    <font>
      <b/>
      <sz val="10"/>
      <name val="Arial"/>
      <family val="2"/>
    </font>
    <font>
      <b/>
      <sz val="11"/>
      <color rgb="FFFF0000"/>
      <name val="Calibri"/>
      <family val="2"/>
      <scheme val="minor"/>
    </font>
    <font>
      <b/>
      <sz val="14"/>
      <color theme="1"/>
      <name val="Calibri"/>
      <family val="2"/>
      <scheme val="minor"/>
    </font>
    <font>
      <b/>
      <i/>
      <sz val="11"/>
      <color rgb="FFFF0000"/>
      <name val="Calibri"/>
      <family val="2"/>
      <scheme val="minor"/>
    </font>
    <font>
      <b/>
      <sz val="12"/>
      <color rgb="FFFF0000"/>
      <name val="Calibri"/>
      <family val="2"/>
      <scheme val="minor"/>
    </font>
    <font>
      <sz val="11"/>
      <color theme="1"/>
      <name val="Calibri"/>
      <family val="2"/>
      <scheme val="minor"/>
    </font>
    <font>
      <b/>
      <sz val="12"/>
      <color theme="9" tint="-0.249977111117893"/>
      <name val="Calibri"/>
      <family val="2"/>
      <scheme val="minor"/>
    </font>
    <font>
      <sz val="12"/>
      <name val="Calibri"/>
      <family val="2"/>
    </font>
  </fonts>
  <fills count="23">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6"/>
      </patternFill>
    </fill>
    <fill>
      <patternFill patternType="solid">
        <fgColor theme="8" tint="0.39997558519241921"/>
        <bgColor indexed="65"/>
      </patternFill>
    </fill>
    <fill>
      <patternFill patternType="solid">
        <fgColor theme="3"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59999389629810485"/>
        <bgColor indexed="65"/>
      </patternFill>
    </fill>
    <fill>
      <patternFill patternType="solid">
        <fgColor theme="8"/>
      </patternFill>
    </fill>
    <fill>
      <patternFill patternType="solid">
        <fgColor theme="5" tint="0.59999389629810485"/>
        <bgColor indexed="65"/>
      </patternFill>
    </fill>
    <fill>
      <patternFill patternType="solid">
        <fgColor theme="9" tint="0.59999389629810485"/>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s>
  <cellStyleXfs count="21">
    <xf numFmtId="0" fontId="0" fillId="0" borderId="0"/>
    <xf numFmtId="0" fontId="2" fillId="2" borderId="0" applyNumberFormat="0" applyBorder="0" applyAlignment="0" applyProtection="0"/>
    <xf numFmtId="0" fontId="3" fillId="3" borderId="0" applyNumberFormat="0" applyBorder="0" applyAlignment="0" applyProtection="0"/>
    <xf numFmtId="0" fontId="6" fillId="4" borderId="0" applyNumberFormat="0" applyBorder="0" applyAlignment="0" applyProtection="0"/>
    <xf numFmtId="9" fontId="8" fillId="0" borderId="0" applyFont="0" applyFill="0" applyBorder="0" applyAlignment="0" applyProtection="0"/>
    <xf numFmtId="0" fontId="9" fillId="5" borderId="1" applyNumberFormat="0" applyAlignment="0" applyProtection="0"/>
    <xf numFmtId="0" fontId="10" fillId="6" borderId="1" applyNumberFormat="0" applyAlignment="0" applyProtection="0"/>
    <xf numFmtId="0" fontId="8" fillId="7" borderId="2" applyNumberFormat="0" applyFont="0" applyAlignment="0" applyProtection="0"/>
    <xf numFmtId="0" fontId="12" fillId="8" borderId="0" applyNumberFormat="0" applyBorder="0" applyAlignment="0" applyProtection="0"/>
    <xf numFmtId="0" fontId="8" fillId="9" borderId="0" applyNumberFormat="0" applyBorder="0" applyAlignment="0" applyProtection="0"/>
    <xf numFmtId="0" fontId="12" fillId="10" borderId="0" applyNumberFormat="0" applyBorder="0" applyAlignment="0" applyProtection="0"/>
    <xf numFmtId="0" fontId="8" fillId="11" borderId="0" applyNumberFormat="0" applyBorder="0" applyAlignment="0" applyProtection="0"/>
    <xf numFmtId="0" fontId="27" fillId="0" borderId="0" applyNumberFormat="0" applyFill="0" applyBorder="0" applyAlignment="0" applyProtection="0"/>
    <xf numFmtId="0" fontId="34" fillId="0" borderId="0" applyNumberFormat="0" applyFill="0" applyBorder="0" applyAlignment="0" applyProtection="0"/>
    <xf numFmtId="0" fontId="35" fillId="0" borderId="3" applyNumberFormat="0" applyFill="0" applyAlignment="0" applyProtection="0"/>
    <xf numFmtId="0" fontId="36" fillId="0" borderId="4" applyNumberFormat="0" applyFill="0" applyAlignment="0" applyProtection="0"/>
    <xf numFmtId="0" fontId="37" fillId="0" borderId="0" applyNumberFormat="0" applyFill="0" applyBorder="0" applyAlignment="0" applyProtection="0"/>
    <xf numFmtId="0" fontId="8" fillId="19" borderId="0" applyNumberFormat="0" applyBorder="0" applyAlignment="0" applyProtection="0"/>
    <xf numFmtId="0" fontId="12" fillId="20" borderId="0" applyNumberFormat="0" applyBorder="0" applyAlignment="0" applyProtection="0"/>
    <xf numFmtId="43" fontId="8" fillId="0" borderId="0" applyFont="0" applyFill="0" applyBorder="0" applyAlignment="0" applyProtection="0"/>
    <xf numFmtId="0" fontId="8" fillId="21" borderId="0" applyNumberFormat="0" applyBorder="0" applyAlignment="0" applyProtection="0"/>
  </cellStyleXfs>
  <cellXfs count="232">
    <xf numFmtId="0" fontId="0" fillId="0" borderId="0" xfId="0"/>
    <xf numFmtId="0" fontId="0" fillId="0" borderId="0" xfId="0" applyAlignment="1">
      <alignment vertical="center"/>
    </xf>
    <xf numFmtId="0" fontId="7" fillId="0" borderId="0" xfId="0" applyFont="1" applyAlignment="1">
      <alignment horizontal="center" vertical="center"/>
    </xf>
    <xf numFmtId="0" fontId="0" fillId="0" borderId="0" xfId="0" applyAlignment="1">
      <alignment horizontal="left"/>
    </xf>
    <xf numFmtId="0" fontId="1" fillId="0" borderId="0" xfId="0" applyFont="1" applyFill="1" applyBorder="1" applyAlignment="1">
      <alignment vertical="center"/>
    </xf>
    <xf numFmtId="0" fontId="7" fillId="0" borderId="0" xfId="0" applyFont="1" applyFill="1" applyBorder="1"/>
    <xf numFmtId="0" fontId="0" fillId="0" borderId="0" xfId="0" applyFont="1" applyFill="1" applyBorder="1"/>
    <xf numFmtId="0" fontId="23" fillId="0" borderId="0" xfId="0" applyFont="1" applyFill="1" applyBorder="1" applyAlignment="1">
      <alignment horizontal="left" vertical="center" readingOrder="1"/>
    </xf>
    <xf numFmtId="0" fontId="20" fillId="0" borderId="0" xfId="0" applyFont="1" applyFill="1" applyBorder="1" applyAlignment="1">
      <alignment vertical="top"/>
    </xf>
    <xf numFmtId="0" fontId="20" fillId="0" borderId="0" xfId="0" applyFont="1" applyFill="1" applyBorder="1" applyAlignment="1">
      <alignment vertical="top" wrapText="1"/>
    </xf>
    <xf numFmtId="0" fontId="20" fillId="0" borderId="0" xfId="0" applyFont="1" applyFill="1" applyBorder="1" applyAlignment="1">
      <alignment horizontal="left" vertical="top"/>
    </xf>
    <xf numFmtId="10" fontId="0" fillId="0" borderId="0" xfId="4" applyNumberFormat="1" applyFont="1" applyFill="1" applyBorder="1"/>
    <xf numFmtId="10" fontId="7" fillId="0" borderId="0" xfId="0" applyNumberFormat="1" applyFont="1" applyFill="1" applyBorder="1"/>
    <xf numFmtId="0" fontId="22" fillId="0" borderId="0" xfId="0" applyFont="1" applyFill="1" applyBorder="1" applyAlignment="1">
      <alignment vertical="center"/>
    </xf>
    <xf numFmtId="2" fontId="0" fillId="0" borderId="0" xfId="0" applyNumberFormat="1" applyFont="1" applyFill="1" applyBorder="1" applyAlignment="1">
      <alignment horizontal="center"/>
    </xf>
    <xf numFmtId="10" fontId="0" fillId="0" borderId="0" xfId="0" applyNumberFormat="1" applyFont="1" applyFill="1" applyBorder="1"/>
    <xf numFmtId="0" fontId="7" fillId="0" borderId="0" xfId="0" applyFont="1" applyFill="1" applyBorder="1" applyAlignment="1">
      <alignment horizontal="center" vertical="center"/>
    </xf>
    <xf numFmtId="0" fontId="7" fillId="12" borderId="0" xfId="0" applyFont="1" applyFill="1" applyBorder="1" applyAlignment="1">
      <alignment horizontal="center" vertical="center"/>
    </xf>
    <xf numFmtId="0" fontId="21" fillId="12" borderId="0" xfId="0" applyFont="1" applyFill="1" applyBorder="1" applyAlignment="1">
      <alignment horizontal="center" vertical="center" wrapText="1"/>
    </xf>
    <xf numFmtId="0" fontId="0" fillId="12" borderId="0" xfId="0" applyFont="1" applyFill="1" applyBorder="1" applyAlignment="1">
      <alignment horizontal="center"/>
    </xf>
    <xf numFmtId="0" fontId="21" fillId="13" borderId="0" xfId="0" applyFont="1" applyFill="1" applyBorder="1" applyAlignment="1">
      <alignment horizontal="center" vertical="center" wrapText="1"/>
    </xf>
    <xf numFmtId="0" fontId="20" fillId="13" borderId="0" xfId="0" applyFont="1" applyFill="1" applyBorder="1" applyAlignment="1">
      <alignment horizontal="center" vertical="center" wrapText="1"/>
    </xf>
    <xf numFmtId="0" fontId="21" fillId="14" borderId="0" xfId="0" applyFont="1" applyFill="1" applyBorder="1" applyAlignment="1">
      <alignment horizontal="center" vertical="center" wrapText="1"/>
    </xf>
    <xf numFmtId="0" fontId="20" fillId="14" borderId="0" xfId="0" applyFont="1" applyFill="1" applyBorder="1" applyAlignment="1">
      <alignment vertical="center" wrapText="1"/>
    </xf>
    <xf numFmtId="0" fontId="20" fillId="14" borderId="0" xfId="0" applyFont="1" applyFill="1" applyBorder="1" applyAlignment="1">
      <alignment horizontal="center" vertical="center" wrapText="1"/>
    </xf>
    <xf numFmtId="1" fontId="3" fillId="14" borderId="0" xfId="2" applyNumberFormat="1" applyFont="1" applyFill="1" applyBorder="1" applyAlignment="1">
      <alignment horizontal="center" vertical="center" wrapText="1"/>
    </xf>
    <xf numFmtId="0" fontId="21" fillId="15" borderId="0" xfId="0" applyFont="1" applyFill="1" applyBorder="1" applyAlignment="1">
      <alignment horizontal="center" vertical="center" wrapText="1"/>
    </xf>
    <xf numFmtId="9" fontId="20" fillId="15" borderId="0" xfId="4" applyFont="1" applyFill="1" applyBorder="1" applyAlignment="1">
      <alignment horizontal="center" vertical="center" wrapText="1"/>
    </xf>
    <xf numFmtId="9" fontId="3" fillId="15" borderId="0" xfId="4" applyFont="1" applyFill="1" applyBorder="1" applyAlignment="1">
      <alignment horizontal="center" vertical="center" wrapText="1"/>
    </xf>
    <xf numFmtId="10" fontId="7" fillId="0" borderId="0" xfId="4" applyNumberFormat="1" applyFont="1" applyFill="1" applyBorder="1"/>
    <xf numFmtId="10" fontId="7" fillId="12" borderId="0" xfId="4" applyNumberFormat="1" applyFont="1" applyFill="1" applyBorder="1" applyAlignment="1">
      <alignment horizontal="center"/>
    </xf>
    <xf numFmtId="10" fontId="0" fillId="12" borderId="0" xfId="4" applyNumberFormat="1" applyFont="1" applyFill="1" applyBorder="1"/>
    <xf numFmtId="0" fontId="21" fillId="16" borderId="0" xfId="0" applyFont="1" applyFill="1" applyBorder="1" applyAlignment="1">
      <alignment horizontal="center" vertical="center" wrapText="1"/>
    </xf>
    <xf numFmtId="0" fontId="21" fillId="16" borderId="0" xfId="7" applyFont="1" applyFill="1" applyBorder="1" applyAlignment="1">
      <alignment horizontal="center" vertical="center" wrapText="1"/>
    </xf>
    <xf numFmtId="1" fontId="0" fillId="16" borderId="0" xfId="7" applyNumberFormat="1" applyFont="1" applyFill="1" applyBorder="1"/>
    <xf numFmtId="10" fontId="0" fillId="17" borderId="0" xfId="9" applyNumberFormat="1" applyFont="1" applyFill="1" applyBorder="1" applyAlignment="1">
      <alignment horizontal="center" vertical="center"/>
    </xf>
    <xf numFmtId="0" fontId="0" fillId="17" borderId="0" xfId="9" applyFont="1" applyFill="1" applyBorder="1" applyAlignment="1">
      <alignment horizontal="center" vertical="center" wrapText="1"/>
    </xf>
    <xf numFmtId="2" fontId="0" fillId="17" borderId="0" xfId="9" applyNumberFormat="1" applyFont="1" applyFill="1" applyBorder="1"/>
    <xf numFmtId="0" fontId="0" fillId="14" borderId="0" xfId="9" applyFont="1" applyFill="1" applyBorder="1" applyAlignment="1">
      <alignment horizontal="center" vertical="center"/>
    </xf>
    <xf numFmtId="0" fontId="0" fillId="14" borderId="0" xfId="0" applyFont="1" applyFill="1" applyBorder="1" applyAlignment="1">
      <alignment horizontal="center" vertical="center"/>
    </xf>
    <xf numFmtId="2" fontId="0" fillId="14" borderId="0" xfId="9" applyNumberFormat="1" applyFont="1" applyFill="1" applyBorder="1"/>
    <xf numFmtId="0" fontId="0" fillId="14" borderId="0" xfId="0" applyFont="1" applyFill="1" applyBorder="1"/>
    <xf numFmtId="0" fontId="9" fillId="12" borderId="0" xfId="5" applyFont="1" applyFill="1" applyBorder="1" applyAlignment="1">
      <alignment horizontal="center" vertical="center" wrapText="1"/>
    </xf>
    <xf numFmtId="1" fontId="9" fillId="12" borderId="0" xfId="5" applyNumberFormat="1" applyFont="1" applyFill="1" applyBorder="1"/>
    <xf numFmtId="0" fontId="6" fillId="17" borderId="0" xfId="3" applyFont="1" applyFill="1" applyBorder="1" applyAlignment="1">
      <alignment horizontal="center" vertical="center" wrapText="1"/>
    </xf>
    <xf numFmtId="1" fontId="6" fillId="17" borderId="0" xfId="3" applyNumberFormat="1" applyFont="1" applyFill="1" applyBorder="1"/>
    <xf numFmtId="1" fontId="24" fillId="0" borderId="0" xfId="0" applyNumberFormat="1" applyFont="1" applyFill="1" applyBorder="1"/>
    <xf numFmtId="0" fontId="7" fillId="0" borderId="0" xfId="0" applyFont="1" applyFill="1" applyBorder="1" applyAlignment="1">
      <alignment horizontal="right"/>
    </xf>
    <xf numFmtId="0" fontId="7" fillId="0" borderId="0" xfId="0" applyFont="1" applyAlignment="1">
      <alignment horizontal="left" vertical="center"/>
    </xf>
    <xf numFmtId="9" fontId="0" fillId="0" borderId="0" xfId="4" applyFont="1" applyFill="1" applyBorder="1"/>
    <xf numFmtId="9" fontId="7" fillId="0" borderId="0" xfId="4" applyFont="1" applyFill="1" applyBorder="1"/>
    <xf numFmtId="0" fontId="25"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Alignment="1">
      <alignment horizontal="left" vertical="center"/>
    </xf>
    <xf numFmtId="0" fontId="0" fillId="0" borderId="0" xfId="0" applyFont="1" applyFill="1" applyBorder="1" applyAlignment="1">
      <alignment horizontal="left"/>
    </xf>
    <xf numFmtId="0" fontId="7" fillId="0" borderId="0" xfId="0" applyFont="1" applyFill="1" applyBorder="1" applyAlignment="1">
      <alignment horizontal="left"/>
    </xf>
    <xf numFmtId="0" fontId="27" fillId="0" borderId="0" xfId="12" applyFill="1" applyBorder="1" applyAlignment="1">
      <alignment horizontal="left" vertical="center" readingOrder="1"/>
    </xf>
    <xf numFmtId="0" fontId="27" fillId="0" borderId="0" xfId="12"/>
    <xf numFmtId="1" fontId="0" fillId="0" borderId="0" xfId="4" applyNumberFormat="1" applyFont="1" applyFill="1" applyBorder="1"/>
    <xf numFmtId="0" fontId="7" fillId="18" borderId="0" xfId="0" applyFont="1" applyFill="1" applyAlignment="1">
      <alignment horizontal="center"/>
    </xf>
    <xf numFmtId="0" fontId="0" fillId="18" borderId="0" xfId="0" applyFill="1" applyAlignment="1">
      <alignment horizontal="left"/>
    </xf>
    <xf numFmtId="0" fontId="7" fillId="0" borderId="0" xfId="0" applyFont="1" applyAlignment="1">
      <alignment horizontal="right"/>
    </xf>
    <xf numFmtId="1" fontId="7" fillId="0" borderId="0" xfId="0" applyNumberFormat="1" applyFont="1" applyAlignment="1">
      <alignment horizontal="center"/>
    </xf>
    <xf numFmtId="1" fontId="0" fillId="0" borderId="0" xfId="0" applyNumberFormat="1" applyFont="1" applyFill="1" applyBorder="1"/>
    <xf numFmtId="0" fontId="11" fillId="0" borderId="0" xfId="0" applyFont="1" applyAlignment="1">
      <alignment horizontal="left"/>
    </xf>
    <xf numFmtId="0" fontId="7" fillId="16" borderId="0" xfId="0" applyFont="1" applyFill="1" applyAlignment="1">
      <alignment horizontal="center"/>
    </xf>
    <xf numFmtId="0" fontId="0" fillId="16" borderId="0" xfId="0" applyFill="1" applyAlignment="1">
      <alignment horizontal="center"/>
    </xf>
    <xf numFmtId="0" fontId="28" fillId="0" borderId="0" xfId="0" applyFont="1" applyAlignment="1">
      <alignment vertical="center"/>
    </xf>
    <xf numFmtId="0" fontId="29" fillId="0" borderId="0" xfId="0" applyFont="1" applyAlignment="1">
      <alignment vertical="center"/>
    </xf>
    <xf numFmtId="0" fontId="29" fillId="0" borderId="0" xfId="0" applyFont="1"/>
    <xf numFmtId="0" fontId="20" fillId="5" borderId="1" xfId="5" applyFont="1" applyAlignment="1">
      <alignment horizontal="center" vertical="center"/>
    </xf>
    <xf numFmtId="1" fontId="12" fillId="10" borderId="0" xfId="10" applyNumberFormat="1" applyAlignment="1">
      <alignment horizontal="center"/>
    </xf>
    <xf numFmtId="0" fontId="12" fillId="10" borderId="0" xfId="10" applyAlignment="1">
      <alignment horizontal="center"/>
    </xf>
    <xf numFmtId="9" fontId="20" fillId="5" borderId="1" xfId="5" applyNumberFormat="1" applyFont="1" applyAlignment="1">
      <alignment horizontal="center"/>
    </xf>
    <xf numFmtId="0" fontId="21" fillId="6" borderId="1" xfId="6" applyFont="1" applyAlignment="1">
      <alignment horizontal="center"/>
    </xf>
    <xf numFmtId="9" fontId="21" fillId="6" borderId="1" xfId="6" applyNumberFormat="1" applyFont="1" applyAlignment="1">
      <alignment horizontal="center"/>
    </xf>
    <xf numFmtId="9" fontId="29" fillId="0" borderId="0" xfId="0" applyNumberFormat="1" applyFont="1"/>
    <xf numFmtId="3" fontId="12" fillId="10" borderId="0" xfId="10" applyNumberFormat="1" applyAlignment="1">
      <alignment horizontal="center"/>
    </xf>
    <xf numFmtId="1" fontId="12" fillId="8" borderId="0" xfId="8" applyNumberFormat="1" applyAlignment="1">
      <alignment horizontal="center"/>
    </xf>
    <xf numFmtId="3" fontId="12" fillId="8" borderId="0" xfId="8" applyNumberFormat="1" applyAlignment="1">
      <alignment horizontal="center"/>
    </xf>
    <xf numFmtId="2" fontId="29" fillId="0" borderId="0" xfId="0" applyNumberFormat="1" applyFont="1" applyFill="1"/>
    <xf numFmtId="0" fontId="29" fillId="0" borderId="0" xfId="0" applyFont="1" applyFill="1"/>
    <xf numFmtId="9" fontId="12" fillId="10" borderId="0" xfId="10" applyNumberFormat="1" applyAlignment="1">
      <alignment horizontal="center"/>
    </xf>
    <xf numFmtId="0" fontId="12" fillId="8" borderId="0" xfId="8" applyAlignment="1">
      <alignment horizontal="center"/>
    </xf>
    <xf numFmtId="9" fontId="12" fillId="8" borderId="0" xfId="8" applyNumberFormat="1" applyAlignment="1">
      <alignment horizontal="center"/>
    </xf>
    <xf numFmtId="0" fontId="29" fillId="0" borderId="0" xfId="0" applyFont="1" applyAlignment="1">
      <alignment horizontal="center"/>
    </xf>
    <xf numFmtId="0" fontId="29" fillId="0" borderId="0" xfId="0" applyFont="1" applyFill="1" applyAlignment="1">
      <alignment horizontal="center"/>
    </xf>
    <xf numFmtId="0" fontId="24" fillId="0" borderId="0" xfId="0" applyFont="1" applyAlignment="1">
      <alignment vertical="center"/>
    </xf>
    <xf numFmtId="9" fontId="21" fillId="0" borderId="0" xfId="4" applyFont="1" applyFill="1" applyBorder="1" applyAlignment="1">
      <alignment horizontal="center" vertical="center" wrapText="1"/>
    </xf>
    <xf numFmtId="0" fontId="0" fillId="0" borderId="0" xfId="0" applyAlignment="1">
      <alignment horizontal="center"/>
    </xf>
    <xf numFmtId="0" fontId="21" fillId="0" borderId="0" xfId="0" applyFont="1" applyAlignment="1">
      <alignment vertical="center"/>
    </xf>
    <xf numFmtId="2" fontId="21" fillId="0" borderId="0" xfId="0" applyNumberFormat="1" applyFont="1" applyAlignment="1">
      <alignment vertical="center"/>
    </xf>
    <xf numFmtId="2" fontId="7" fillId="0" borderId="0" xfId="0" applyNumberFormat="1" applyFont="1" applyAlignment="1">
      <alignment horizontal="center" vertical="center"/>
    </xf>
    <xf numFmtId="0" fontId="40" fillId="11" borderId="0" xfId="11" applyFont="1" applyBorder="1" applyAlignment="1">
      <alignment horizontal="center" wrapText="1"/>
    </xf>
    <xf numFmtId="0" fontId="40" fillId="11" borderId="0" xfId="11" applyFont="1" applyBorder="1" applyAlignment="1">
      <alignment horizontal="center" vertical="center" wrapText="1"/>
    </xf>
    <xf numFmtId="0" fontId="12" fillId="10" borderId="0" xfId="10" applyBorder="1" applyAlignment="1">
      <alignment horizontal="center"/>
    </xf>
    <xf numFmtId="0" fontId="12" fillId="10" borderId="0" xfId="10" applyBorder="1" applyAlignment="1">
      <alignment horizontal="center" vertical="center"/>
    </xf>
    <xf numFmtId="0" fontId="12" fillId="20" borderId="0" xfId="18" applyBorder="1"/>
    <xf numFmtId="0" fontId="12" fillId="20" borderId="0" xfId="18" applyBorder="1" applyAlignment="1">
      <alignment horizontal="center"/>
    </xf>
    <xf numFmtId="9" fontId="12" fillId="20" borderId="0" xfId="18" applyNumberFormat="1" applyBorder="1" applyAlignment="1">
      <alignment horizontal="center"/>
    </xf>
    <xf numFmtId="0" fontId="12" fillId="8" borderId="0" xfId="8" applyBorder="1" applyAlignment="1">
      <alignment horizontal="center"/>
    </xf>
    <xf numFmtId="0" fontId="12" fillId="8" borderId="0" xfId="8" applyBorder="1" applyAlignment="1">
      <alignment horizontal="center" vertical="center"/>
    </xf>
    <xf numFmtId="0" fontId="11" fillId="0" borderId="0" xfId="0" applyFont="1" applyAlignment="1">
      <alignment vertical="center"/>
    </xf>
    <xf numFmtId="0" fontId="0" fillId="0" borderId="0" xfId="0" applyFont="1" applyAlignment="1">
      <alignment vertical="center"/>
    </xf>
    <xf numFmtId="0" fontId="0" fillId="0" borderId="0" xfId="0" applyFont="1"/>
    <xf numFmtId="0" fontId="7" fillId="0" borderId="0" xfId="0" applyFont="1"/>
    <xf numFmtId="0" fontId="20" fillId="0" borderId="0" xfId="0" applyFont="1" applyAlignment="1">
      <alignment vertical="center"/>
    </xf>
    <xf numFmtId="9" fontId="0" fillId="0" borderId="0" xfId="0" applyNumberFormat="1" applyFont="1" applyAlignment="1">
      <alignment vertical="center"/>
    </xf>
    <xf numFmtId="0" fontId="26" fillId="0" borderId="0" xfId="0" applyFont="1" applyAlignment="1">
      <alignment vertical="center"/>
    </xf>
    <xf numFmtId="0" fontId="42" fillId="0" borderId="0" xfId="0" applyFont="1" applyAlignment="1">
      <alignment vertical="center"/>
    </xf>
    <xf numFmtId="0" fontId="44" fillId="0" borderId="0" xfId="1" applyFont="1" applyFill="1" applyAlignment="1">
      <alignment vertical="center"/>
    </xf>
    <xf numFmtId="0" fontId="2" fillId="0" borderId="0" xfId="1" applyFill="1"/>
    <xf numFmtId="0" fontId="26" fillId="0" borderId="0" xfId="0" applyFont="1" applyAlignment="1">
      <alignment horizontal="center"/>
    </xf>
    <xf numFmtId="0" fontId="26" fillId="0" borderId="0" xfId="0" applyFont="1"/>
    <xf numFmtId="0" fontId="2" fillId="2" borderId="0" xfId="1" applyAlignment="1">
      <alignment horizontal="center"/>
    </xf>
    <xf numFmtId="1" fontId="39" fillId="2" borderId="0" xfId="1" applyNumberFormat="1" applyFont="1" applyAlignment="1">
      <alignment horizontal="center"/>
    </xf>
    <xf numFmtId="1" fontId="2" fillId="2" borderId="0" xfId="1" applyNumberFormat="1" applyAlignment="1">
      <alignment horizontal="center"/>
    </xf>
    <xf numFmtId="9" fontId="2" fillId="2" borderId="0" xfId="1" applyNumberFormat="1" applyAlignment="1">
      <alignment horizontal="center"/>
    </xf>
    <xf numFmtId="1" fontId="2" fillId="2" borderId="0" xfId="1" applyNumberFormat="1"/>
    <xf numFmtId="0" fontId="39" fillId="0" borderId="0" xfId="0" applyFont="1" applyBorder="1"/>
    <xf numFmtId="0" fontId="39" fillId="2" borderId="0" xfId="1" applyFont="1" applyBorder="1"/>
    <xf numFmtId="0" fontId="39" fillId="3" borderId="0" xfId="2" applyFont="1" applyBorder="1"/>
    <xf numFmtId="0" fontId="0" fillId="0" borderId="0" xfId="0" applyBorder="1" applyAlignment="1">
      <alignment horizontal="left"/>
    </xf>
    <xf numFmtId="9" fontId="43" fillId="2" borderId="0" xfId="4" applyFont="1" applyFill="1" applyBorder="1" applyAlignment="1">
      <alignment horizontal="center"/>
    </xf>
    <xf numFmtId="9" fontId="45" fillId="3" borderId="0" xfId="4" applyFont="1" applyFill="1" applyBorder="1" applyAlignment="1">
      <alignment horizontal="center"/>
    </xf>
    <xf numFmtId="0" fontId="3" fillId="3" borderId="0" xfId="2" applyAlignment="1">
      <alignment horizontal="center"/>
    </xf>
    <xf numFmtId="1" fontId="39" fillId="3" borderId="0" xfId="2" applyNumberFormat="1" applyFont="1" applyAlignment="1">
      <alignment horizontal="center"/>
    </xf>
    <xf numFmtId="1" fontId="3" fillId="3" borderId="0" xfId="2" applyNumberFormat="1" applyAlignment="1">
      <alignment horizontal="center"/>
    </xf>
    <xf numFmtId="9" fontId="3" fillId="3" borderId="0" xfId="2" applyNumberFormat="1" applyAlignment="1">
      <alignment horizontal="center"/>
    </xf>
    <xf numFmtId="1" fontId="3" fillId="3" borderId="0" xfId="2" applyNumberFormat="1"/>
    <xf numFmtId="9" fontId="0" fillId="0" borderId="0" xfId="0" applyNumberFormat="1"/>
    <xf numFmtId="0" fontId="26" fillId="0" borderId="0" xfId="0" applyFont="1" applyBorder="1" applyAlignment="1">
      <alignment horizontal="right"/>
    </xf>
    <xf numFmtId="9" fontId="9" fillId="5" borderId="1" xfId="5" applyNumberFormat="1" applyAlignment="1">
      <alignment horizontal="center"/>
    </xf>
    <xf numFmtId="9" fontId="39" fillId="2" borderId="0" xfId="1" applyNumberFormat="1" applyFont="1" applyBorder="1" applyAlignment="1">
      <alignment horizontal="center"/>
    </xf>
    <xf numFmtId="9" fontId="39" fillId="3" borderId="0" xfId="2" applyNumberFormat="1" applyFont="1" applyBorder="1" applyAlignment="1">
      <alignment horizontal="center"/>
    </xf>
    <xf numFmtId="9" fontId="46" fillId="4" borderId="0" xfId="3" applyNumberFormat="1" applyFont="1" applyBorder="1" applyAlignment="1">
      <alignment horizontal="center"/>
    </xf>
    <xf numFmtId="0" fontId="26" fillId="0" borderId="0" xfId="0" applyFont="1" applyFill="1" applyBorder="1"/>
    <xf numFmtId="0" fontId="0" fillId="0" borderId="0" xfId="0" applyFill="1" applyBorder="1"/>
    <xf numFmtId="0" fontId="13" fillId="0" borderId="0" xfId="0" applyFont="1" applyFill="1" applyBorder="1" applyAlignment="1">
      <alignment horizontal="left"/>
    </xf>
    <xf numFmtId="0" fontId="39" fillId="3" borderId="0" xfId="2" applyFont="1" applyBorder="1" applyAlignment="1">
      <alignment horizontal="center"/>
    </xf>
    <xf numFmtId="0" fontId="39" fillId="2" borderId="0" xfId="1" applyFont="1" applyBorder="1" applyAlignment="1">
      <alignment horizontal="center"/>
    </xf>
    <xf numFmtId="0" fontId="26" fillId="0" borderId="0" xfId="0" applyFont="1" applyFill="1" applyBorder="1" applyAlignment="1">
      <alignment horizontal="left"/>
    </xf>
    <xf numFmtId="0" fontId="0" fillId="0" borderId="0" xfId="0" applyFill="1"/>
    <xf numFmtId="0" fontId="3" fillId="3" borderId="0" xfId="2" applyBorder="1" applyAlignment="1">
      <alignment horizontal="center"/>
    </xf>
    <xf numFmtId="1" fontId="3" fillId="3" borderId="0" xfId="2" applyNumberFormat="1" applyBorder="1" applyAlignment="1">
      <alignment horizontal="center"/>
    </xf>
    <xf numFmtId="164" fontId="3" fillId="3" borderId="0" xfId="2" applyNumberFormat="1" applyBorder="1" applyAlignment="1">
      <alignment horizontal="center"/>
    </xf>
    <xf numFmtId="1" fontId="2" fillId="2" borderId="0" xfId="1" applyNumberFormat="1" applyBorder="1" applyAlignment="1">
      <alignment horizontal="center"/>
    </xf>
    <xf numFmtId="164" fontId="2" fillId="2" borderId="0" xfId="1" applyNumberFormat="1" applyBorder="1" applyAlignment="1">
      <alignment horizontal="center"/>
    </xf>
    <xf numFmtId="0" fontId="21" fillId="0" borderId="0" xfId="0" applyFont="1" applyFill="1" applyBorder="1"/>
    <xf numFmtId="0" fontId="21" fillId="0" borderId="0" xfId="3" applyFont="1" applyFill="1" applyBorder="1"/>
    <xf numFmtId="0" fontId="21" fillId="0" borderId="0" xfId="2" applyFont="1" applyFill="1" applyBorder="1"/>
    <xf numFmtId="0" fontId="7" fillId="19" borderId="0" xfId="17" applyFont="1" applyBorder="1" applyAlignment="1">
      <alignment horizontal="center"/>
    </xf>
    <xf numFmtId="1" fontId="8" fillId="19" borderId="0" xfId="17" applyNumberFormat="1" applyBorder="1" applyAlignment="1">
      <alignment horizontal="center"/>
    </xf>
    <xf numFmtId="0" fontId="21" fillId="0" borderId="0" xfId="0" applyFont="1" applyFill="1" applyBorder="1" applyAlignment="1">
      <alignment horizontal="center"/>
    </xf>
    <xf numFmtId="0" fontId="47" fillId="3" borderId="0" xfId="2" applyFont="1" applyBorder="1" applyAlignment="1">
      <alignment horizontal="center"/>
    </xf>
    <xf numFmtId="9" fontId="9" fillId="5" borderId="1" xfId="4" applyFont="1" applyFill="1" applyBorder="1" applyAlignment="1">
      <alignment horizontal="center"/>
    </xf>
    <xf numFmtId="0" fontId="0" fillId="0" borderId="0" xfId="0" applyBorder="1"/>
    <xf numFmtId="0" fontId="7" fillId="0" borderId="0" xfId="0" applyFont="1" applyBorder="1" applyAlignment="1">
      <alignment horizontal="right"/>
    </xf>
    <xf numFmtId="1" fontId="7" fillId="0" borderId="0" xfId="0" applyNumberFormat="1" applyFont="1" applyBorder="1" applyAlignment="1">
      <alignment horizontal="center"/>
    </xf>
    <xf numFmtId="0" fontId="7" fillId="0" borderId="0" xfId="0" applyFont="1" applyBorder="1" applyAlignment="1">
      <alignment horizontal="center"/>
    </xf>
    <xf numFmtId="0" fontId="2" fillId="0" borderId="0" xfId="1" applyFill="1" applyBorder="1"/>
    <xf numFmtId="0" fontId="3" fillId="0" borderId="0" xfId="2" applyFill="1"/>
    <xf numFmtId="0" fontId="7" fillId="0" borderId="0" xfId="2" applyFont="1" applyFill="1" applyAlignment="1">
      <alignment horizontal="left"/>
    </xf>
    <xf numFmtId="0" fontId="13" fillId="0" borderId="0" xfId="0" applyFont="1" applyAlignment="1">
      <alignment vertical="center"/>
    </xf>
    <xf numFmtId="0" fontId="34" fillId="0" borderId="0" xfId="13" applyAlignment="1">
      <alignment vertical="center"/>
    </xf>
    <xf numFmtId="0" fontId="35" fillId="0" borderId="3" xfId="14" applyAlignment="1">
      <alignment vertical="center"/>
    </xf>
    <xf numFmtId="0" fontId="37" fillId="0" borderId="0" xfId="16" applyAlignment="1">
      <alignment vertical="center"/>
    </xf>
    <xf numFmtId="0" fontId="12" fillId="20" borderId="0" xfId="18" applyAlignment="1">
      <alignment horizontal="center" vertical="center"/>
    </xf>
    <xf numFmtId="0" fontId="12" fillId="20" borderId="0" xfId="18" applyAlignment="1">
      <alignment vertical="center"/>
    </xf>
    <xf numFmtId="2" fontId="12" fillId="20" borderId="0" xfId="18" applyNumberFormat="1" applyAlignment="1">
      <alignment vertical="center"/>
    </xf>
    <xf numFmtId="0" fontId="36" fillId="11" borderId="4" xfId="15" applyFill="1" applyAlignment="1">
      <alignment horizontal="center" wrapText="1"/>
    </xf>
    <xf numFmtId="2" fontId="36" fillId="11" borderId="4" xfId="15" applyNumberFormat="1" applyFill="1" applyAlignment="1">
      <alignment horizontal="center" wrapText="1"/>
    </xf>
    <xf numFmtId="0" fontId="24" fillId="22" borderId="0" xfId="0" applyFont="1" applyFill="1" applyBorder="1"/>
    <xf numFmtId="0" fontId="0" fillId="22" borderId="0" xfId="0" applyFill="1" applyBorder="1"/>
    <xf numFmtId="0" fontId="48" fillId="22" borderId="0" xfId="0" applyFont="1" applyFill="1" applyBorder="1"/>
    <xf numFmtId="1" fontId="48" fillId="22" borderId="0" xfId="0" applyNumberFormat="1" applyFont="1" applyFill="1" applyBorder="1"/>
    <xf numFmtId="0" fontId="49" fillId="22" borderId="0" xfId="6" applyFont="1" applyFill="1" applyBorder="1"/>
    <xf numFmtId="3" fontId="48" fillId="22" borderId="0" xfId="0" applyNumberFormat="1" applyFont="1" applyFill="1" applyBorder="1"/>
    <xf numFmtId="3" fontId="0" fillId="0" borderId="0" xfId="0" applyNumberFormat="1"/>
    <xf numFmtId="0" fontId="50" fillId="0" borderId="0" xfId="0" applyFont="1"/>
    <xf numFmtId="0" fontId="26" fillId="22" borderId="0" xfId="0" applyFont="1" applyFill="1" applyBorder="1" applyAlignment="1">
      <alignment horizontal="center" wrapText="1"/>
    </xf>
    <xf numFmtId="0" fontId="26" fillId="22" borderId="0" xfId="0" applyFont="1" applyFill="1" applyBorder="1" applyAlignment="1">
      <alignment wrapText="1"/>
    </xf>
    <xf numFmtId="0" fontId="51" fillId="22" borderId="0" xfId="0" applyFont="1" applyFill="1" applyBorder="1" applyAlignment="1">
      <alignment wrapText="1"/>
    </xf>
    <xf numFmtId="1" fontId="0" fillId="0" borderId="0" xfId="0" applyNumberFormat="1"/>
    <xf numFmtId="165" fontId="0" fillId="0" borderId="0" xfId="19" applyNumberFormat="1" applyFont="1" applyFill="1"/>
    <xf numFmtId="166" fontId="0" fillId="0" borderId="0" xfId="0" applyNumberFormat="1" applyAlignment="1">
      <alignment horizontal="right"/>
    </xf>
    <xf numFmtId="3" fontId="0" fillId="0" borderId="0" xfId="0" applyNumberFormat="1" applyAlignment="1">
      <alignment horizontal="right"/>
    </xf>
    <xf numFmtId="0" fontId="0" fillId="0" borderId="0" xfId="0" applyAlignment="1">
      <alignment horizontal="right"/>
    </xf>
    <xf numFmtId="3" fontId="52" fillId="0" borderId="0" xfId="0" applyNumberFormat="1" applyFont="1"/>
    <xf numFmtId="0" fontId="53" fillId="0" borderId="0" xfId="0" applyFont="1" applyAlignment="1">
      <alignment vertical="center"/>
    </xf>
    <xf numFmtId="0" fontId="48" fillId="0" borderId="0" xfId="0" applyFont="1" applyAlignment="1">
      <alignment vertical="center"/>
    </xf>
    <xf numFmtId="0" fontId="27" fillId="0" borderId="0" xfId="12" applyAlignment="1">
      <alignment vertical="center"/>
    </xf>
    <xf numFmtId="3" fontId="54" fillId="0" borderId="0" xfId="0" applyNumberFormat="1" applyFont="1"/>
    <xf numFmtId="0" fontId="11" fillId="0" borderId="0" xfId="0" applyFont="1"/>
    <xf numFmtId="164" fontId="0" fillId="0" borderId="0" xfId="0" applyNumberFormat="1"/>
    <xf numFmtId="9" fontId="0" fillId="0" borderId="0" xfId="4" applyFont="1"/>
    <xf numFmtId="165" fontId="0" fillId="0" borderId="0" xfId="19" applyNumberFormat="1" applyFont="1"/>
    <xf numFmtId="165" fontId="0" fillId="0" borderId="0" xfId="0" applyNumberFormat="1"/>
    <xf numFmtId="0" fontId="13" fillId="0" borderId="0" xfId="0" applyFont="1"/>
    <xf numFmtId="0" fontId="23" fillId="0" borderId="0" xfId="0" applyFont="1"/>
    <xf numFmtId="0" fontId="8" fillId="0" borderId="0" xfId="0" applyFont="1"/>
    <xf numFmtId="0" fontId="2" fillId="2" borderId="0" xfId="1"/>
    <xf numFmtId="0" fontId="11" fillId="2" borderId="0" xfId="1" applyFont="1"/>
    <xf numFmtId="0" fontId="55" fillId="0" borderId="0" xfId="0" applyFont="1"/>
    <xf numFmtId="0" fontId="0" fillId="0" borderId="0" xfId="0" applyAlignment="1">
      <alignment horizontal="center" vertical="top" wrapText="1"/>
    </xf>
    <xf numFmtId="0" fontId="7" fillId="0" borderId="0" xfId="0" applyFont="1" applyAlignment="1">
      <alignment horizontal="center"/>
    </xf>
    <xf numFmtId="164" fontId="8" fillId="21" borderId="0" xfId="20" applyNumberFormat="1"/>
    <xf numFmtId="0" fontId="8" fillId="21" borderId="0" xfId="20"/>
    <xf numFmtId="0" fontId="0" fillId="0" borderId="0" xfId="0" applyFont="1" applyAlignment="1"/>
    <xf numFmtId="164" fontId="7" fillId="0" borderId="0" xfId="0" applyNumberFormat="1" applyFont="1" applyAlignment="1">
      <alignment horizontal="center"/>
    </xf>
    <xf numFmtId="0" fontId="26" fillId="0" borderId="0" xfId="0" applyFont="1" applyAlignment="1">
      <alignment horizontal="center" vertical="center"/>
    </xf>
    <xf numFmtId="0" fontId="56" fillId="0" borderId="0" xfId="0" applyFont="1" applyAlignment="1">
      <alignment vertical="center"/>
    </xf>
    <xf numFmtId="9" fontId="55" fillId="0" borderId="0" xfId="0" applyNumberFormat="1" applyFont="1"/>
    <xf numFmtId="9" fontId="56" fillId="0" borderId="0" xfId="0" applyNumberFormat="1" applyFont="1" applyAlignment="1">
      <alignment vertical="center"/>
    </xf>
    <xf numFmtId="164" fontId="0" fillId="0" borderId="0" xfId="0" applyNumberFormat="1" applyAlignment="1">
      <alignment horizontal="center"/>
    </xf>
    <xf numFmtId="0" fontId="38" fillId="5" borderId="1" xfId="5" applyFont="1" applyAlignment="1">
      <alignment horizontal="center" vertical="center"/>
    </xf>
    <xf numFmtId="0" fontId="38" fillId="5" borderId="1" xfId="5" applyFont="1" applyAlignment="1">
      <alignment horizontal="center"/>
    </xf>
    <xf numFmtId="0" fontId="21" fillId="6" borderId="1" xfId="6" applyFont="1" applyAlignment="1">
      <alignment horizontal="center"/>
    </xf>
    <xf numFmtId="0" fontId="20" fillId="0" borderId="0" xfId="0" applyFont="1" applyFill="1" applyBorder="1" applyAlignment="1">
      <alignment horizontal="center" vertical="center" wrapText="1"/>
    </xf>
    <xf numFmtId="0" fontId="7" fillId="0" borderId="0" xfId="0" applyFont="1" applyFill="1" applyBorder="1" applyAlignment="1">
      <alignment horizontal="center"/>
    </xf>
    <xf numFmtId="0" fontId="21" fillId="17" borderId="0" xfId="0" applyFont="1" applyFill="1" applyBorder="1" applyAlignment="1">
      <alignment horizontal="center" vertical="center" wrapText="1"/>
    </xf>
    <xf numFmtId="0" fontId="7" fillId="14" borderId="0" xfId="0" applyFont="1" applyFill="1" applyBorder="1" applyAlignment="1">
      <alignment horizontal="center" vertical="center"/>
    </xf>
    <xf numFmtId="0" fontId="7" fillId="12" borderId="0" xfId="0" applyFont="1" applyFill="1" applyBorder="1" applyAlignment="1">
      <alignment horizontal="center" vertical="center"/>
    </xf>
    <xf numFmtId="0" fontId="7" fillId="17" borderId="0" xfId="0" applyFont="1" applyFill="1" applyBorder="1" applyAlignment="1">
      <alignment horizontal="center" vertical="center"/>
    </xf>
    <xf numFmtId="0" fontId="7" fillId="18" borderId="0" xfId="0" applyFont="1" applyFill="1" applyAlignment="1">
      <alignment horizontal="center"/>
    </xf>
    <xf numFmtId="0" fontId="26" fillId="16" borderId="0" xfId="0" applyFont="1" applyFill="1" applyAlignment="1">
      <alignment horizontal="center"/>
    </xf>
    <xf numFmtId="0" fontId="41" fillId="20" borderId="0" xfId="18" applyFont="1" applyBorder="1" applyAlignment="1">
      <alignment horizontal="center"/>
    </xf>
    <xf numFmtId="0" fontId="42" fillId="0" borderId="0" xfId="0" applyFont="1" applyAlignment="1">
      <alignment horizontal="left" vertical="center"/>
    </xf>
    <xf numFmtId="0" fontId="36" fillId="0" borderId="4" xfId="15" applyAlignment="1">
      <alignment horizontal="center"/>
    </xf>
    <xf numFmtId="0" fontId="37" fillId="0" borderId="0" xfId="16" applyAlignment="1">
      <alignment horizontal="right"/>
    </xf>
    <xf numFmtId="0" fontId="57" fillId="0" borderId="0" xfId="0" applyFont="1" applyAlignment="1">
      <alignment horizontal="center"/>
    </xf>
    <xf numFmtId="0" fontId="37" fillId="0" borderId="0" xfId="16"/>
  </cellXfs>
  <cellStyles count="21">
    <cellStyle name="40% - Accent1" xfId="17" builtinId="31"/>
    <cellStyle name="40% - Accent2" xfId="20" builtinId="35"/>
    <cellStyle name="60% - Accent1" xfId="9" builtinId="32"/>
    <cellStyle name="60% - Accent5" xfId="11" builtinId="48"/>
    <cellStyle name="Accent1" xfId="8" builtinId="29"/>
    <cellStyle name="Accent3" xfId="10" builtinId="37"/>
    <cellStyle name="Accent5" xfId="18" builtinId="45"/>
    <cellStyle name="Bad" xfId="3" builtinId="27"/>
    <cellStyle name="Calculation" xfId="6" builtinId="22"/>
    <cellStyle name="Comma" xfId="19" builtinId="3"/>
    <cellStyle name="Explanatory Text" xfId="16" builtinId="53"/>
    <cellStyle name="Good" xfId="1" builtinId="26"/>
    <cellStyle name="Heading 1" xfId="14" builtinId="16"/>
    <cellStyle name="Heading 2" xfId="15" builtinId="17"/>
    <cellStyle name="Hyperlink" xfId="12" builtinId="8"/>
    <cellStyle name="Input" xfId="5" builtinId="20"/>
    <cellStyle name="Neutral" xfId="2" builtinId="28"/>
    <cellStyle name="Normal" xfId="0" builtinId="0"/>
    <cellStyle name="Note" xfId="7" builtinId="10"/>
    <cellStyle name="Percent" xfId="4" builtinId="5"/>
    <cellStyle name="Title" xfId="13"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UGR Bev-Holt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E(B-H)</c:v>
          </c:tx>
          <c:spPr>
            <a:ln w="28575" cap="rnd">
              <a:solidFill>
                <a:schemeClr val="accent2"/>
              </a:solidFill>
              <a:round/>
            </a:ln>
            <a:effectLst/>
          </c:spPr>
          <c:marker>
            <c:symbol val="none"/>
          </c:marker>
          <c:cat>
            <c:numLit>
              <c:formatCode>General</c:formatCode>
              <c:ptCount val="101"/>
              <c:pt idx="0">
                <c:v>10</c:v>
              </c:pt>
              <c:pt idx="1">
                <c:v>35</c:v>
              </c:pt>
              <c:pt idx="2">
                <c:v>60</c:v>
              </c:pt>
              <c:pt idx="3">
                <c:v>85</c:v>
              </c:pt>
              <c:pt idx="4">
                <c:v>110</c:v>
              </c:pt>
              <c:pt idx="5">
                <c:v>135</c:v>
              </c:pt>
              <c:pt idx="6">
                <c:v>160</c:v>
              </c:pt>
              <c:pt idx="7">
                <c:v>185</c:v>
              </c:pt>
              <c:pt idx="8">
                <c:v>210</c:v>
              </c:pt>
              <c:pt idx="9">
                <c:v>235</c:v>
              </c:pt>
              <c:pt idx="10">
                <c:v>260</c:v>
              </c:pt>
              <c:pt idx="11">
                <c:v>285</c:v>
              </c:pt>
              <c:pt idx="12">
                <c:v>310</c:v>
              </c:pt>
              <c:pt idx="13">
                <c:v>335</c:v>
              </c:pt>
              <c:pt idx="14">
                <c:v>360</c:v>
              </c:pt>
              <c:pt idx="15">
                <c:v>385</c:v>
              </c:pt>
              <c:pt idx="16">
                <c:v>410</c:v>
              </c:pt>
              <c:pt idx="17">
                <c:v>435</c:v>
              </c:pt>
              <c:pt idx="18">
                <c:v>460</c:v>
              </c:pt>
              <c:pt idx="19">
                <c:v>485</c:v>
              </c:pt>
              <c:pt idx="20">
                <c:v>510</c:v>
              </c:pt>
              <c:pt idx="21">
                <c:v>535</c:v>
              </c:pt>
              <c:pt idx="22">
                <c:v>560</c:v>
              </c:pt>
              <c:pt idx="23">
                <c:v>585</c:v>
              </c:pt>
              <c:pt idx="24">
                <c:v>610</c:v>
              </c:pt>
              <c:pt idx="25">
                <c:v>635</c:v>
              </c:pt>
              <c:pt idx="26">
                <c:v>660</c:v>
              </c:pt>
              <c:pt idx="27">
                <c:v>685</c:v>
              </c:pt>
              <c:pt idx="28">
                <c:v>710</c:v>
              </c:pt>
              <c:pt idx="29">
                <c:v>735</c:v>
              </c:pt>
              <c:pt idx="30">
                <c:v>760</c:v>
              </c:pt>
              <c:pt idx="31">
                <c:v>785</c:v>
              </c:pt>
              <c:pt idx="32">
                <c:v>810</c:v>
              </c:pt>
              <c:pt idx="33">
                <c:v>835</c:v>
              </c:pt>
              <c:pt idx="34">
                <c:v>860</c:v>
              </c:pt>
              <c:pt idx="35">
                <c:v>885</c:v>
              </c:pt>
              <c:pt idx="36">
                <c:v>910</c:v>
              </c:pt>
              <c:pt idx="37">
                <c:v>935</c:v>
              </c:pt>
              <c:pt idx="38">
                <c:v>960</c:v>
              </c:pt>
              <c:pt idx="39">
                <c:v>985</c:v>
              </c:pt>
              <c:pt idx="40">
                <c:v>1010</c:v>
              </c:pt>
              <c:pt idx="41">
                <c:v>1035</c:v>
              </c:pt>
              <c:pt idx="42">
                <c:v>1060</c:v>
              </c:pt>
              <c:pt idx="43">
                <c:v>1085</c:v>
              </c:pt>
              <c:pt idx="44">
                <c:v>1110</c:v>
              </c:pt>
              <c:pt idx="45">
                <c:v>1135</c:v>
              </c:pt>
              <c:pt idx="46">
                <c:v>1160</c:v>
              </c:pt>
              <c:pt idx="47">
                <c:v>1185</c:v>
              </c:pt>
              <c:pt idx="48">
                <c:v>1210</c:v>
              </c:pt>
              <c:pt idx="49">
                <c:v>1235</c:v>
              </c:pt>
              <c:pt idx="50">
                <c:v>1260</c:v>
              </c:pt>
              <c:pt idx="51">
                <c:v>1285</c:v>
              </c:pt>
              <c:pt idx="52">
                <c:v>1310</c:v>
              </c:pt>
              <c:pt idx="53">
                <c:v>1335</c:v>
              </c:pt>
              <c:pt idx="54">
                <c:v>1360</c:v>
              </c:pt>
              <c:pt idx="55">
                <c:v>1385</c:v>
              </c:pt>
              <c:pt idx="56">
                <c:v>1410</c:v>
              </c:pt>
              <c:pt idx="57">
                <c:v>1435</c:v>
              </c:pt>
              <c:pt idx="58">
                <c:v>1460</c:v>
              </c:pt>
              <c:pt idx="59">
                <c:v>1485</c:v>
              </c:pt>
              <c:pt idx="60">
                <c:v>1510</c:v>
              </c:pt>
              <c:pt idx="61">
                <c:v>1535</c:v>
              </c:pt>
              <c:pt idx="62">
                <c:v>1560</c:v>
              </c:pt>
              <c:pt idx="63">
                <c:v>1585</c:v>
              </c:pt>
              <c:pt idx="64">
                <c:v>1610</c:v>
              </c:pt>
              <c:pt idx="65">
                <c:v>1635</c:v>
              </c:pt>
              <c:pt idx="66">
                <c:v>1660</c:v>
              </c:pt>
              <c:pt idx="67">
                <c:v>1685</c:v>
              </c:pt>
              <c:pt idx="68">
                <c:v>1710</c:v>
              </c:pt>
              <c:pt idx="69">
                <c:v>1735</c:v>
              </c:pt>
              <c:pt idx="70">
                <c:v>1760</c:v>
              </c:pt>
              <c:pt idx="71">
                <c:v>1785</c:v>
              </c:pt>
              <c:pt idx="72">
                <c:v>1810</c:v>
              </c:pt>
              <c:pt idx="73">
                <c:v>1835</c:v>
              </c:pt>
              <c:pt idx="74">
                <c:v>1860</c:v>
              </c:pt>
              <c:pt idx="75">
                <c:v>1885</c:v>
              </c:pt>
              <c:pt idx="76">
                <c:v>1910</c:v>
              </c:pt>
              <c:pt idx="77">
                <c:v>1935</c:v>
              </c:pt>
              <c:pt idx="78">
                <c:v>1960</c:v>
              </c:pt>
              <c:pt idx="79">
                <c:v>1985</c:v>
              </c:pt>
              <c:pt idx="80">
                <c:v>2010</c:v>
              </c:pt>
              <c:pt idx="81">
                <c:v>2035</c:v>
              </c:pt>
              <c:pt idx="82">
                <c:v>2060</c:v>
              </c:pt>
              <c:pt idx="83">
                <c:v>2085</c:v>
              </c:pt>
              <c:pt idx="84">
                <c:v>2110</c:v>
              </c:pt>
              <c:pt idx="85">
                <c:v>2135</c:v>
              </c:pt>
              <c:pt idx="86">
                <c:v>2160</c:v>
              </c:pt>
              <c:pt idx="87">
                <c:v>2185</c:v>
              </c:pt>
              <c:pt idx="88">
                <c:v>2210</c:v>
              </c:pt>
              <c:pt idx="89">
                <c:v>2235</c:v>
              </c:pt>
              <c:pt idx="90">
                <c:v>2260</c:v>
              </c:pt>
              <c:pt idx="91">
                <c:v>2285</c:v>
              </c:pt>
              <c:pt idx="92">
                <c:v>2310</c:v>
              </c:pt>
              <c:pt idx="93">
                <c:v>2335</c:v>
              </c:pt>
              <c:pt idx="94">
                <c:v>2360</c:v>
              </c:pt>
              <c:pt idx="95">
                <c:v>2385</c:v>
              </c:pt>
              <c:pt idx="96">
                <c:v>2410</c:v>
              </c:pt>
              <c:pt idx="97">
                <c:v>2435</c:v>
              </c:pt>
              <c:pt idx="98">
                <c:v>2460</c:v>
              </c:pt>
              <c:pt idx="99">
                <c:v>2485</c:v>
              </c:pt>
              <c:pt idx="100">
                <c:v>2510</c:v>
              </c:pt>
            </c:numLit>
          </c:cat>
          <c:val>
            <c:numLit>
              <c:formatCode>General</c:formatCode>
              <c:ptCount val="101"/>
              <c:pt idx="0">
                <c:v>4127.5223802234996</c:v>
              </c:pt>
              <c:pt idx="1">
                <c:v>13513.840061915604</c:v>
              </c:pt>
              <c:pt idx="2">
                <c:v>21761.886658921867</c:v>
              </c:pt>
              <c:pt idx="3">
                <c:v>29066.880967374618</c:v>
              </c:pt>
              <c:pt idx="4">
                <c:v>35581.81459225274</c:v>
              </c:pt>
              <c:pt idx="5">
                <c:v>41428.283745013352</c:v>
              </c:pt>
              <c:pt idx="6">
                <c:v>46704.14955784889</c:v>
              </c:pt>
              <c:pt idx="7">
                <c:v>51489.059863566581</c:v>
              </c:pt>
              <c:pt idx="8">
                <c:v>55848.497992556244</c:v>
              </c:pt>
              <c:pt idx="9">
                <c:v>59836.797492720776</c:v>
              </c:pt>
              <c:pt idx="10">
                <c:v>63499.4183166086</c:v>
              </c:pt>
              <c:pt idx="11">
                <c:v>66874.687271987263</c:v>
              </c:pt>
              <c:pt idx="12">
                <c:v>69995.144292649013</c:v>
              </c:pt>
              <c:pt idx="13">
                <c:v>72888.594894452297</c:v>
              </c:pt>
              <c:pt idx="14">
                <c:v>75578.941001293802</c:v>
              </c:pt>
              <c:pt idx="15">
                <c:v>78086.842745041256</c:v>
              </c:pt>
              <c:pt idx="16">
                <c:v>80430.250042166474</c:v>
              </c:pt>
              <c:pt idx="17">
                <c:v>82624.832892723702</c:v>
              </c:pt>
              <c:pt idx="18">
                <c:v>84684.33222053459</c:v>
              </c:pt>
              <c:pt idx="19">
                <c:v>86620.847861758448</c:v>
              </c:pt>
              <c:pt idx="20">
                <c:v>88445.076457220057</c:v>
              </c:pt>
              <c:pt idx="21">
                <c:v>90166.509128787962</c:v>
              </c:pt>
              <c:pt idx="22">
                <c:v>91793.596654092253</c:v>
              </c:pt>
              <c:pt idx="23">
                <c:v>93333.888207814656</c:v>
              </c:pt>
              <c:pt idx="24">
                <c:v>94794.148476598202</c:v>
              </c:pt>
              <c:pt idx="25">
                <c:v>96180.456980852963</c:v>
              </c:pt>
              <c:pt idx="26">
                <c:v>97498.292679398917</c:v>
              </c:pt>
              <c:pt idx="27">
                <c:v>98752.606339823396</c:v>
              </c:pt>
              <c:pt idx="28">
                <c:v>99947.882689980048</c:v>
              </c:pt>
              <c:pt idx="29">
                <c:v>101088.193995337</c:v>
              </c:pt>
              <c:pt idx="30">
                <c:v>102177.2464111522</c:v>
              </c:pt>
              <c:pt idx="31">
                <c:v>103218.42022123095</c:v>
              </c:pt>
              <c:pt idx="32">
                <c:v>104214.80488371851</c:v>
              </c:pt>
              <c:pt idx="33">
                <c:v>105169.22964933212</c:v>
              </c:pt>
              <c:pt idx="34">
                <c:v>106084.29039116403</c:v>
              </c:pt>
              <c:pt idx="35">
                <c:v>106962.37318187703</c:v>
              </c:pt>
              <c:pt idx="36">
                <c:v>107805.67506921825</c:v>
              </c:pt>
              <c:pt idx="37">
                <c:v>108616.22243071983</c:v>
              </c:pt>
              <c:pt idx="38">
                <c:v>109395.88723040927</c:v>
              </c:pt>
              <c:pt idx="39">
                <c:v>110146.40145207261</c:v>
              </c:pt>
              <c:pt idx="40">
                <c:v>110869.36994330822</c:v>
              </c:pt>
              <c:pt idx="41">
                <c:v>111566.2818708399</c:v>
              </c:pt>
              <c:pt idx="42">
                <c:v>112238.52095916934</c:v>
              </c:pt>
              <c:pt idx="43">
                <c:v>112887.37466070321</c:v>
              </c:pt>
              <c:pt idx="44">
                <c:v>113514.04238522958</c:v>
              </c:pt>
              <c:pt idx="45">
                <c:v>114119.64289942279</c:v>
              </c:pt>
              <c:pt idx="46">
                <c:v>114705.22099241904</c:v>
              </c:pt>
              <c:pt idx="47">
                <c:v>115271.75349100975</c:v>
              </c:pt>
              <c:pt idx="48">
                <c:v>115820.15469730461</c:v>
              </c:pt>
              <c:pt idx="49">
                <c:v>116351.2813125369</c:v>
              </c:pt>
              <c:pt idx="50">
                <c:v>116865.93690278528</c:v>
              </c:pt>
              <c:pt idx="51">
                <c:v>117364.87595557327</c:v>
              </c:pt>
              <c:pt idx="52">
                <c:v>117848.80757041709</c:v>
              </c:pt>
              <c:pt idx="53">
                <c:v>118318.398821287</c:v>
              </c:pt>
              <c:pt idx="54">
                <c:v>118774.27782451316</c:v>
              </c:pt>
              <c:pt idx="55">
                <c:v>119217.03654180665</c:v>
              </c:pt>
              <c:pt idx="56">
                <c:v>119647.23334469929</c:v>
              </c:pt>
              <c:pt idx="57">
                <c:v>120065.39536376232</c:v>
              </c:pt>
              <c:pt idx="58">
                <c:v>120472.02064338613</c:v>
              </c:pt>
              <c:pt idx="59">
                <c:v>120867.58012064108</c:v>
              </c:pt>
              <c:pt idx="60">
                <c:v>121252.51944475037</c:v>
              </c:pt>
              <c:pt idx="61">
                <c:v>121627.26065195404</c:v>
              </c:pt>
              <c:pt idx="62">
                <c:v>121992.20370899797</c:v>
              </c:pt>
              <c:pt idx="63">
                <c:v>122347.72793711476</c:v>
              </c:pt>
              <c:pt idx="64">
                <c:v>122694.19332715472</c:v>
              </c:pt>
              <c:pt idx="65">
                <c:v>123031.94175545192</c:v>
              </c:pt>
              <c:pt idx="66">
                <c:v>123361.29810905793</c:v>
              </c:pt>
              <c:pt idx="67">
                <c:v>123682.57132812835</c:v>
              </c:pt>
              <c:pt idx="68">
                <c:v>123996.05537249242</c:v>
              </c:pt>
              <c:pt idx="69">
                <c:v>124302.03011876189</c:v>
              </c:pt>
              <c:pt idx="70">
                <c:v>124600.76219373406</c:v>
              </c:pt>
              <c:pt idx="71">
                <c:v>124892.50574930516</c:v>
              </c:pt>
              <c:pt idx="72">
                <c:v>125177.50318362754</c:v>
              </c:pt>
              <c:pt idx="73">
                <c:v>125455.98581281195</c:v>
              </c:pt>
              <c:pt idx="74">
                <c:v>125728.17449708626</c:v>
              </c:pt>
              <c:pt idx="75">
                <c:v>125994.28022497392</c:v>
              </c:pt>
              <c:pt idx="76">
                <c:v>126254.5046587386</c:v>
              </c:pt>
              <c:pt idx="77">
                <c:v>126509.04064405925</c:v>
              </c:pt>
              <c:pt idx="78">
                <c:v>126758.07268664216</c:v>
              </c:pt>
              <c:pt idx="79">
                <c:v>127001.77739824593</c:v>
              </c:pt>
              <c:pt idx="80">
                <c:v>127240.32391438489</c:v>
              </c:pt>
              <c:pt idx="81">
                <c:v>127473.87428578739</c:v>
              </c:pt>
              <c:pt idx="82">
                <c:v>127702.58384551261</c:v>
              </c:pt>
              <c:pt idx="83">
                <c:v>127926.60155347399</c:v>
              </c:pt>
              <c:pt idx="84">
                <c:v>128146.07031997452</c:v>
              </c:pt>
              <c:pt idx="85">
                <c:v>128361.12730973108</c:v>
              </c:pt>
              <c:pt idx="86">
                <c:v>128571.90422774653</c:v>
              </c:pt>
              <c:pt idx="87">
                <c:v>128778.5275882818</c:v>
              </c:pt>
              <c:pt idx="88">
                <c:v>128981.11896808185</c:v>
              </c:pt>
              <c:pt idx="89">
                <c:v>129179.79524492103</c:v>
              </c:pt>
              <c:pt idx="90">
                <c:v>129374.66882245085</c:v>
              </c:pt>
              <c:pt idx="91">
                <c:v>129565.84784225939</c:v>
              </c:pt>
              <c:pt idx="92">
                <c:v>129753.43638398267</c:v>
              </c:pt>
              <c:pt idx="93">
                <c:v>129937.53465424637</c:v>
              </c:pt>
              <c:pt idx="94">
                <c:v>130118.23916515829</c:v>
              </c:pt>
              <c:pt idx="95">
                <c:v>130295.64290301982</c:v>
              </c:pt>
              <c:pt idx="96">
                <c:v>130469.83548787585</c:v>
              </c:pt>
              <c:pt idx="97">
                <c:v>130640.90332447852</c:v>
              </c:pt>
              <c:pt idx="98">
                <c:v>130808.92974519897</c:v>
              </c:pt>
              <c:pt idx="99">
                <c:v>130973.99514538376</c:v>
              </c:pt>
              <c:pt idx="100">
                <c:v>131136.17711161796</c:v>
              </c:pt>
            </c:numLit>
          </c:val>
          <c:smooth val="0"/>
          <c:extLst>
            <c:ext xmlns:c16="http://schemas.microsoft.com/office/drawing/2014/chart" uri="{C3380CC4-5D6E-409C-BE32-E72D297353CC}">
              <c16:uniqueId val="{00000000-B632-0447-A24C-8B6A7133A4A4}"/>
            </c:ext>
          </c:extLst>
        </c:ser>
        <c:ser>
          <c:idx val="2"/>
          <c:order val="1"/>
          <c:tx>
            <c:v>Capacity (K)</c:v>
          </c:tx>
          <c:spPr>
            <a:ln w="28575" cap="rnd">
              <a:solidFill>
                <a:schemeClr val="accent3"/>
              </a:solidFill>
              <a:round/>
            </a:ln>
            <a:effectLst/>
          </c:spPr>
          <c:marker>
            <c:symbol val="none"/>
          </c:marker>
          <c:cat>
            <c:numLit>
              <c:formatCode>General</c:formatCode>
              <c:ptCount val="101"/>
              <c:pt idx="0">
                <c:v>10</c:v>
              </c:pt>
              <c:pt idx="1">
                <c:v>35</c:v>
              </c:pt>
              <c:pt idx="2">
                <c:v>60</c:v>
              </c:pt>
              <c:pt idx="3">
                <c:v>85</c:v>
              </c:pt>
              <c:pt idx="4">
                <c:v>110</c:v>
              </c:pt>
              <c:pt idx="5">
                <c:v>135</c:v>
              </c:pt>
              <c:pt idx="6">
                <c:v>160</c:v>
              </c:pt>
              <c:pt idx="7">
                <c:v>185</c:v>
              </c:pt>
              <c:pt idx="8">
                <c:v>210</c:v>
              </c:pt>
              <c:pt idx="9">
                <c:v>235</c:v>
              </c:pt>
              <c:pt idx="10">
                <c:v>260</c:v>
              </c:pt>
              <c:pt idx="11">
                <c:v>285</c:v>
              </c:pt>
              <c:pt idx="12">
                <c:v>310</c:v>
              </c:pt>
              <c:pt idx="13">
                <c:v>335</c:v>
              </c:pt>
              <c:pt idx="14">
                <c:v>360</c:v>
              </c:pt>
              <c:pt idx="15">
                <c:v>385</c:v>
              </c:pt>
              <c:pt idx="16">
                <c:v>410</c:v>
              </c:pt>
              <c:pt idx="17">
                <c:v>435</c:v>
              </c:pt>
              <c:pt idx="18">
                <c:v>460</c:v>
              </c:pt>
              <c:pt idx="19">
                <c:v>485</c:v>
              </c:pt>
              <c:pt idx="20">
                <c:v>510</c:v>
              </c:pt>
              <c:pt idx="21">
                <c:v>535</c:v>
              </c:pt>
              <c:pt idx="22">
                <c:v>560</c:v>
              </c:pt>
              <c:pt idx="23">
                <c:v>585</c:v>
              </c:pt>
              <c:pt idx="24">
                <c:v>610</c:v>
              </c:pt>
              <c:pt idx="25">
                <c:v>635</c:v>
              </c:pt>
              <c:pt idx="26">
                <c:v>660</c:v>
              </c:pt>
              <c:pt idx="27">
                <c:v>685</c:v>
              </c:pt>
              <c:pt idx="28">
                <c:v>710</c:v>
              </c:pt>
              <c:pt idx="29">
                <c:v>735</c:v>
              </c:pt>
              <c:pt idx="30">
                <c:v>760</c:v>
              </c:pt>
              <c:pt idx="31">
                <c:v>785</c:v>
              </c:pt>
              <c:pt idx="32">
                <c:v>810</c:v>
              </c:pt>
              <c:pt idx="33">
                <c:v>835</c:v>
              </c:pt>
              <c:pt idx="34">
                <c:v>860</c:v>
              </c:pt>
              <c:pt idx="35">
                <c:v>885</c:v>
              </c:pt>
              <c:pt idx="36">
                <c:v>910</c:v>
              </c:pt>
              <c:pt idx="37">
                <c:v>935</c:v>
              </c:pt>
              <c:pt idx="38">
                <c:v>960</c:v>
              </c:pt>
              <c:pt idx="39">
                <c:v>985</c:v>
              </c:pt>
              <c:pt idx="40">
                <c:v>1010</c:v>
              </c:pt>
              <c:pt idx="41">
                <c:v>1035</c:v>
              </c:pt>
              <c:pt idx="42">
                <c:v>1060</c:v>
              </c:pt>
              <c:pt idx="43">
                <c:v>1085</c:v>
              </c:pt>
              <c:pt idx="44">
                <c:v>1110</c:v>
              </c:pt>
              <c:pt idx="45">
                <c:v>1135</c:v>
              </c:pt>
              <c:pt idx="46">
                <c:v>1160</c:v>
              </c:pt>
              <c:pt idx="47">
                <c:v>1185</c:v>
              </c:pt>
              <c:pt idx="48">
                <c:v>1210</c:v>
              </c:pt>
              <c:pt idx="49">
                <c:v>1235</c:v>
              </c:pt>
              <c:pt idx="50">
                <c:v>1260</c:v>
              </c:pt>
              <c:pt idx="51">
                <c:v>1285</c:v>
              </c:pt>
              <c:pt idx="52">
                <c:v>1310</c:v>
              </c:pt>
              <c:pt idx="53">
                <c:v>1335</c:v>
              </c:pt>
              <c:pt idx="54">
                <c:v>1360</c:v>
              </c:pt>
              <c:pt idx="55">
                <c:v>1385</c:v>
              </c:pt>
              <c:pt idx="56">
                <c:v>1410</c:v>
              </c:pt>
              <c:pt idx="57">
                <c:v>1435</c:v>
              </c:pt>
              <c:pt idx="58">
                <c:v>1460</c:v>
              </c:pt>
              <c:pt idx="59">
                <c:v>1485</c:v>
              </c:pt>
              <c:pt idx="60">
                <c:v>1510</c:v>
              </c:pt>
              <c:pt idx="61">
                <c:v>1535</c:v>
              </c:pt>
              <c:pt idx="62">
                <c:v>1560</c:v>
              </c:pt>
              <c:pt idx="63">
                <c:v>1585</c:v>
              </c:pt>
              <c:pt idx="64">
                <c:v>1610</c:v>
              </c:pt>
              <c:pt idx="65">
                <c:v>1635</c:v>
              </c:pt>
              <c:pt idx="66">
                <c:v>1660</c:v>
              </c:pt>
              <c:pt idx="67">
                <c:v>1685</c:v>
              </c:pt>
              <c:pt idx="68">
                <c:v>1710</c:v>
              </c:pt>
              <c:pt idx="69">
                <c:v>1735</c:v>
              </c:pt>
              <c:pt idx="70">
                <c:v>1760</c:v>
              </c:pt>
              <c:pt idx="71">
                <c:v>1785</c:v>
              </c:pt>
              <c:pt idx="72">
                <c:v>1810</c:v>
              </c:pt>
              <c:pt idx="73">
                <c:v>1835</c:v>
              </c:pt>
              <c:pt idx="74">
                <c:v>1860</c:v>
              </c:pt>
              <c:pt idx="75">
                <c:v>1885</c:v>
              </c:pt>
              <c:pt idx="76">
                <c:v>1910</c:v>
              </c:pt>
              <c:pt idx="77">
                <c:v>1935</c:v>
              </c:pt>
              <c:pt idx="78">
                <c:v>1960</c:v>
              </c:pt>
              <c:pt idx="79">
                <c:v>1985</c:v>
              </c:pt>
              <c:pt idx="80">
                <c:v>2010</c:v>
              </c:pt>
              <c:pt idx="81">
                <c:v>2035</c:v>
              </c:pt>
              <c:pt idx="82">
                <c:v>2060</c:v>
              </c:pt>
              <c:pt idx="83">
                <c:v>2085</c:v>
              </c:pt>
              <c:pt idx="84">
                <c:v>2110</c:v>
              </c:pt>
              <c:pt idx="85">
                <c:v>2135</c:v>
              </c:pt>
              <c:pt idx="86">
                <c:v>2160</c:v>
              </c:pt>
              <c:pt idx="87">
                <c:v>2185</c:v>
              </c:pt>
              <c:pt idx="88">
                <c:v>2210</c:v>
              </c:pt>
              <c:pt idx="89">
                <c:v>2235</c:v>
              </c:pt>
              <c:pt idx="90">
                <c:v>2260</c:v>
              </c:pt>
              <c:pt idx="91">
                <c:v>2285</c:v>
              </c:pt>
              <c:pt idx="92">
                <c:v>2310</c:v>
              </c:pt>
              <c:pt idx="93">
                <c:v>2335</c:v>
              </c:pt>
              <c:pt idx="94">
                <c:v>2360</c:v>
              </c:pt>
              <c:pt idx="95">
                <c:v>2385</c:v>
              </c:pt>
              <c:pt idx="96">
                <c:v>2410</c:v>
              </c:pt>
              <c:pt idx="97">
                <c:v>2435</c:v>
              </c:pt>
              <c:pt idx="98">
                <c:v>2460</c:v>
              </c:pt>
              <c:pt idx="99">
                <c:v>2485</c:v>
              </c:pt>
              <c:pt idx="100">
                <c:v>2510</c:v>
              </c:pt>
            </c:numLit>
          </c:cat>
          <c:val>
            <c:numLit>
              <c:formatCode>General</c:formatCode>
              <c:ptCount val="101"/>
              <c:pt idx="0">
                <c:v>149542.57109880686</c:v>
              </c:pt>
              <c:pt idx="1">
                <c:v>149542.57109880686</c:v>
              </c:pt>
              <c:pt idx="2">
                <c:v>149542.57109880686</c:v>
              </c:pt>
              <c:pt idx="3">
                <c:v>149542.57109880686</c:v>
              </c:pt>
              <c:pt idx="4">
                <c:v>149542.57109880686</c:v>
              </c:pt>
              <c:pt idx="5">
                <c:v>149542.57109880686</c:v>
              </c:pt>
              <c:pt idx="6">
                <c:v>149542.57109880686</c:v>
              </c:pt>
              <c:pt idx="7">
                <c:v>149542.57109880686</c:v>
              </c:pt>
              <c:pt idx="8">
                <c:v>149542.57109880686</c:v>
              </c:pt>
              <c:pt idx="9">
                <c:v>149542.57109880686</c:v>
              </c:pt>
              <c:pt idx="10">
                <c:v>149542.57109880686</c:v>
              </c:pt>
              <c:pt idx="11">
                <c:v>149542.57109880686</c:v>
              </c:pt>
              <c:pt idx="12">
                <c:v>149542.57109880686</c:v>
              </c:pt>
              <c:pt idx="13">
                <c:v>149542.57109880686</c:v>
              </c:pt>
              <c:pt idx="14">
                <c:v>149542.57109880686</c:v>
              </c:pt>
              <c:pt idx="15">
                <c:v>149542.57109880686</c:v>
              </c:pt>
              <c:pt idx="16">
                <c:v>149542.57109880686</c:v>
              </c:pt>
              <c:pt idx="17">
                <c:v>149542.57109880686</c:v>
              </c:pt>
              <c:pt idx="18">
                <c:v>149542.57109880686</c:v>
              </c:pt>
              <c:pt idx="19">
                <c:v>149542.57109880686</c:v>
              </c:pt>
              <c:pt idx="20">
                <c:v>149542.57109880686</c:v>
              </c:pt>
              <c:pt idx="21">
                <c:v>149542.57109880686</c:v>
              </c:pt>
              <c:pt idx="22">
                <c:v>149542.57109880686</c:v>
              </c:pt>
              <c:pt idx="23">
                <c:v>149542.57109880686</c:v>
              </c:pt>
              <c:pt idx="24">
                <c:v>149542.57109880686</c:v>
              </c:pt>
              <c:pt idx="25">
                <c:v>149542.57109880686</c:v>
              </c:pt>
              <c:pt idx="26">
                <c:v>149542.57109880686</c:v>
              </c:pt>
              <c:pt idx="27">
                <c:v>149542.57109880686</c:v>
              </c:pt>
              <c:pt idx="28">
                <c:v>149542.57109880686</c:v>
              </c:pt>
              <c:pt idx="29">
                <c:v>149542.57109880686</c:v>
              </c:pt>
              <c:pt idx="30">
                <c:v>149542.57109880686</c:v>
              </c:pt>
              <c:pt idx="31">
                <c:v>149542.57109880686</c:v>
              </c:pt>
              <c:pt idx="32">
                <c:v>149542.57109880686</c:v>
              </c:pt>
              <c:pt idx="33">
                <c:v>149542.57109880686</c:v>
              </c:pt>
              <c:pt idx="34">
                <c:v>149542.57109880686</c:v>
              </c:pt>
              <c:pt idx="35">
                <c:v>149542.57109880686</c:v>
              </c:pt>
              <c:pt idx="36">
                <c:v>149542.57109880686</c:v>
              </c:pt>
              <c:pt idx="37">
                <c:v>149542.57109880686</c:v>
              </c:pt>
              <c:pt idx="38">
                <c:v>149542.57109880686</c:v>
              </c:pt>
              <c:pt idx="39">
                <c:v>149542.57109880686</c:v>
              </c:pt>
              <c:pt idx="40">
                <c:v>149542.57109880686</c:v>
              </c:pt>
              <c:pt idx="41">
                <c:v>149542.57109880686</c:v>
              </c:pt>
              <c:pt idx="42">
                <c:v>149542.57109880686</c:v>
              </c:pt>
              <c:pt idx="43">
                <c:v>149542.57109880686</c:v>
              </c:pt>
              <c:pt idx="44">
                <c:v>149542.57109880686</c:v>
              </c:pt>
              <c:pt idx="45">
                <c:v>149542.57109880686</c:v>
              </c:pt>
              <c:pt idx="46">
                <c:v>149542.57109880686</c:v>
              </c:pt>
              <c:pt idx="47">
                <c:v>149542.57109880686</c:v>
              </c:pt>
              <c:pt idx="48">
                <c:v>149542.57109880686</c:v>
              </c:pt>
              <c:pt idx="49">
                <c:v>149542.57109880686</c:v>
              </c:pt>
              <c:pt idx="50">
                <c:v>149542.57109880686</c:v>
              </c:pt>
              <c:pt idx="51">
                <c:v>149542.57109880686</c:v>
              </c:pt>
              <c:pt idx="52">
                <c:v>149542.57109880686</c:v>
              </c:pt>
              <c:pt idx="53">
                <c:v>149542.57109880686</c:v>
              </c:pt>
              <c:pt idx="54">
                <c:v>149542.57109880686</c:v>
              </c:pt>
              <c:pt idx="55">
                <c:v>149542.57109880686</c:v>
              </c:pt>
              <c:pt idx="56">
                <c:v>149542.57109880686</c:v>
              </c:pt>
              <c:pt idx="57">
                <c:v>149542.57109880686</c:v>
              </c:pt>
              <c:pt idx="58">
                <c:v>149542.57109880686</c:v>
              </c:pt>
              <c:pt idx="59">
                <c:v>149542.57109880686</c:v>
              </c:pt>
              <c:pt idx="60">
                <c:v>149542.57109880686</c:v>
              </c:pt>
              <c:pt idx="61">
                <c:v>149542.57109880686</c:v>
              </c:pt>
              <c:pt idx="62">
                <c:v>149542.57109880686</c:v>
              </c:pt>
              <c:pt idx="63">
                <c:v>149542.57109880686</c:v>
              </c:pt>
              <c:pt idx="64">
                <c:v>149542.57109880686</c:v>
              </c:pt>
              <c:pt idx="65">
                <c:v>149542.57109880686</c:v>
              </c:pt>
              <c:pt idx="66">
                <c:v>149542.57109880686</c:v>
              </c:pt>
              <c:pt idx="67">
                <c:v>149542.57109880686</c:v>
              </c:pt>
              <c:pt idx="68">
                <c:v>149542.57109880686</c:v>
              </c:pt>
              <c:pt idx="69">
                <c:v>149542.57109880686</c:v>
              </c:pt>
              <c:pt idx="70">
                <c:v>149542.57109880686</c:v>
              </c:pt>
              <c:pt idx="71">
                <c:v>149542.57109880686</c:v>
              </c:pt>
              <c:pt idx="72">
                <c:v>149542.57109880686</c:v>
              </c:pt>
              <c:pt idx="73">
                <c:v>149542.57109880686</c:v>
              </c:pt>
              <c:pt idx="74">
                <c:v>149542.57109880686</c:v>
              </c:pt>
              <c:pt idx="75">
                <c:v>149542.57109880686</c:v>
              </c:pt>
              <c:pt idx="76">
                <c:v>149542.57109880686</c:v>
              </c:pt>
              <c:pt idx="77">
                <c:v>149542.57109880686</c:v>
              </c:pt>
              <c:pt idx="78">
                <c:v>149542.57109880686</c:v>
              </c:pt>
              <c:pt idx="79">
                <c:v>149542.57109880686</c:v>
              </c:pt>
              <c:pt idx="80">
                <c:v>149542.57109880686</c:v>
              </c:pt>
              <c:pt idx="81">
                <c:v>149542.57109880686</c:v>
              </c:pt>
              <c:pt idx="82">
                <c:v>149542.57109880686</c:v>
              </c:pt>
              <c:pt idx="83">
                <c:v>149542.57109880686</c:v>
              </c:pt>
              <c:pt idx="84">
                <c:v>149542.57109880686</c:v>
              </c:pt>
              <c:pt idx="85">
                <c:v>149542.57109880686</c:v>
              </c:pt>
              <c:pt idx="86">
                <c:v>149542.57109880686</c:v>
              </c:pt>
              <c:pt idx="87">
                <c:v>149542.57109880686</c:v>
              </c:pt>
              <c:pt idx="88">
                <c:v>149542.57109880686</c:v>
              </c:pt>
              <c:pt idx="89">
                <c:v>149542.57109880686</c:v>
              </c:pt>
              <c:pt idx="90">
                <c:v>149542.57109880686</c:v>
              </c:pt>
              <c:pt idx="91">
                <c:v>149542.57109880686</c:v>
              </c:pt>
              <c:pt idx="92">
                <c:v>149542.57109880686</c:v>
              </c:pt>
              <c:pt idx="93">
                <c:v>149542.57109880686</c:v>
              </c:pt>
              <c:pt idx="94">
                <c:v>149542.57109880686</c:v>
              </c:pt>
              <c:pt idx="95">
                <c:v>149542.57109880686</c:v>
              </c:pt>
              <c:pt idx="96">
                <c:v>149542.57109880686</c:v>
              </c:pt>
              <c:pt idx="97">
                <c:v>149542.57109880686</c:v>
              </c:pt>
              <c:pt idx="98">
                <c:v>149542.57109880686</c:v>
              </c:pt>
              <c:pt idx="99">
                <c:v>149542.57109880686</c:v>
              </c:pt>
              <c:pt idx="100">
                <c:v>149542.57109880686</c:v>
              </c:pt>
            </c:numLit>
          </c:val>
          <c:smooth val="0"/>
          <c:extLst>
            <c:ext xmlns:c16="http://schemas.microsoft.com/office/drawing/2014/chart" uri="{C3380CC4-5D6E-409C-BE32-E72D297353CC}">
              <c16:uniqueId val="{00000001-B632-0447-A24C-8B6A7133A4A4}"/>
            </c:ext>
          </c:extLst>
        </c:ser>
        <c:dLbls>
          <c:showLegendKey val="0"/>
          <c:showVal val="0"/>
          <c:showCatName val="0"/>
          <c:showSerName val="0"/>
          <c:showPercent val="0"/>
          <c:showBubbleSize val="0"/>
        </c:dLbls>
        <c:smooth val="0"/>
        <c:axId val="1292518672"/>
        <c:axId val="1292538848"/>
      </c:lineChart>
      <c:catAx>
        <c:axId val="129251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538848"/>
        <c:crosses val="autoZero"/>
        <c:auto val="1"/>
        <c:lblAlgn val="ctr"/>
        <c:lblOffset val="100"/>
        <c:noMultiLvlLbl val="0"/>
      </c:catAx>
      <c:valAx>
        <c:axId val="129253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518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254000</xdr:colOff>
          <xdr:row>1</xdr:row>
          <xdr:rowOff>127000</xdr:rowOff>
        </xdr:from>
        <xdr:to>
          <xdr:col>3</xdr:col>
          <xdr:colOff>1778000</xdr:colOff>
          <xdr:row>2</xdr:row>
          <xdr:rowOff>101600</xdr:rowOff>
        </xdr:to>
        <xdr:sp macro="" textlink="">
          <xdr:nvSpPr>
            <xdr:cNvPr id="28675" name="Button 3" hidden="1">
              <a:extLst>
                <a:ext uri="{63B3BB69-23CF-44E3-9099-C40C66FF867C}">
                  <a14:compatExt spid="_x0000_s28675"/>
                </a:ext>
                <a:ext uri="{FF2B5EF4-FFF2-40B4-BE49-F238E27FC236}">
                  <a16:creationId xmlns:a16="http://schemas.microsoft.com/office/drawing/2014/main" id="{410781A8-A092-5243-A2EC-2536097B3CEE}"/>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200" b="0" i="0" u="none" strike="noStrike" baseline="0">
                  <a:solidFill>
                    <a:srgbClr val="000000"/>
                  </a:solidFill>
                  <a:latin typeface="Calibri" pitchFamily="2" charset="0"/>
                  <a:cs typeface="Calibri" pitchFamily="2" charset="0"/>
                </a:rPr>
                <a:t>Create Input Files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546100</xdr:colOff>
      <xdr:row>15</xdr:row>
      <xdr:rowOff>165100</xdr:rowOff>
    </xdr:from>
    <xdr:to>
      <xdr:col>22</xdr:col>
      <xdr:colOff>0</xdr:colOff>
      <xdr:row>46</xdr:row>
      <xdr:rowOff>174356</xdr:rowOff>
    </xdr:to>
    <xdr:pic>
      <xdr:nvPicPr>
        <xdr:cNvPr id="2" name="Picture 1" descr="http://ars.els-cdn.com/content/image/1-s2.0-S0301479716309793-gr8.jpg">
          <a:extLst>
            <a:ext uri="{FF2B5EF4-FFF2-40B4-BE49-F238E27FC236}">
              <a16:creationId xmlns:a16="http://schemas.microsoft.com/office/drawing/2014/main" id="{06B36A75-DAF0-C244-86F0-C4E1907030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52100" y="3213100"/>
          <a:ext cx="7708900" cy="63084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314960</xdr:colOff>
      <xdr:row>29</xdr:row>
      <xdr:rowOff>172720</xdr:rowOff>
    </xdr:from>
    <xdr:to>
      <xdr:col>6</xdr:col>
      <xdr:colOff>741680</xdr:colOff>
      <xdr:row>43</xdr:row>
      <xdr:rowOff>172720</xdr:rowOff>
    </xdr:to>
    <xdr:graphicFrame macro="">
      <xdr:nvGraphicFramePr>
        <xdr:cNvPr id="2" name="Chart 1">
          <a:extLst>
            <a:ext uri="{FF2B5EF4-FFF2-40B4-BE49-F238E27FC236}">
              <a16:creationId xmlns:a16="http://schemas.microsoft.com/office/drawing/2014/main" id="{E008F53C-5F06-4245-B6A9-B2D96FBFC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573547</xdr:colOff>
      <xdr:row>14</xdr:row>
      <xdr:rowOff>173212</xdr:rowOff>
    </xdr:from>
    <xdr:to>
      <xdr:col>17</xdr:col>
      <xdr:colOff>277761</xdr:colOff>
      <xdr:row>40</xdr:row>
      <xdr:rowOff>52273</xdr:rowOff>
    </xdr:to>
    <xdr:pic>
      <xdr:nvPicPr>
        <xdr:cNvPr id="2" name="Picture 1" descr="http://ars.els-cdn.com/content/image/1-s2.0-S0301479716309793-gr8.jpg">
          <a:extLst>
            <a:ext uri="{FF2B5EF4-FFF2-40B4-BE49-F238E27FC236}">
              <a16:creationId xmlns:a16="http://schemas.microsoft.com/office/drawing/2014/main" id="{8934E78D-0FE1-F643-AA18-02721C822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4321" y="3040954"/>
          <a:ext cx="6324601" cy="52048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262759</xdr:colOff>
      <xdr:row>9</xdr:row>
      <xdr:rowOff>128586</xdr:rowOff>
    </xdr:from>
    <xdr:to>
      <xdr:col>7</xdr:col>
      <xdr:colOff>392554</xdr:colOff>
      <xdr:row>21</xdr:row>
      <xdr:rowOff>79409</xdr:rowOff>
    </xdr:to>
    <xdr:pic>
      <xdr:nvPicPr>
        <xdr:cNvPr id="3" name="Picture 2">
          <a:extLst>
            <a:ext uri="{FF2B5EF4-FFF2-40B4-BE49-F238E27FC236}">
              <a16:creationId xmlns:a16="http://schemas.microsoft.com/office/drawing/2014/main" id="{08697EE7-E8FB-A941-80AA-15135B56ACA2}"/>
            </a:ext>
          </a:extLst>
        </xdr:cNvPr>
        <xdr:cNvPicPr>
          <a:picLocks noChangeAspect="1"/>
        </xdr:cNvPicPr>
      </xdr:nvPicPr>
      <xdr:blipFill>
        <a:blip xmlns:r="http://schemas.openxmlformats.org/officeDocument/2006/relationships" r:embed="rId1"/>
        <a:stretch>
          <a:fillRect/>
        </a:stretch>
      </xdr:blipFill>
      <xdr:spPr>
        <a:xfrm>
          <a:off x="5050805" y="2121172"/>
          <a:ext cx="2881462" cy="240323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29764</xdr:colOff>
      <xdr:row>13</xdr:row>
      <xdr:rowOff>158750</xdr:rowOff>
    </xdr:from>
    <xdr:to>
      <xdr:col>13</xdr:col>
      <xdr:colOff>74613</xdr:colOff>
      <xdr:row>47</xdr:row>
      <xdr:rowOff>137317</xdr:rowOff>
    </xdr:to>
    <xdr:pic>
      <xdr:nvPicPr>
        <xdr:cNvPr id="2" name="Picture 1">
          <a:extLst>
            <a:ext uri="{FF2B5EF4-FFF2-40B4-BE49-F238E27FC236}">
              <a16:creationId xmlns:a16="http://schemas.microsoft.com/office/drawing/2014/main" id="{8A4D0AB4-3A9F-5645-B8C4-D9BC0B2243D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10164" y="2673350"/>
          <a:ext cx="4172349" cy="6887368"/>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hyperlink" Target="http://www.fpc.org/documents/CSS/CSS_2016_Final.pdf"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cbfish.org/Document.mvc/Viewer/P105971" TargetMode="External"/></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ecologicalresearchinc.box.com/s/t3mdt2jcdeqzew55fx8r04t98gjzy25x" TargetMode="External"/><Relationship Id="rId1" Type="http://schemas.openxmlformats.org/officeDocument/2006/relationships/hyperlink" Target="https://ecologicalresearchinc.box.com/s/eazkwr9ipxzd6bowtbiai8gfk7j9uh58" TargetMode="External"/><Relationship Id="rId5" Type="http://schemas.openxmlformats.org/officeDocument/2006/relationships/comments" Target="../comments3.xml"/><Relationship Id="rId4"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292E9-97EB-034C-8BF7-23DE2DF1D4E6}">
  <sheetPr codeName="Sheet1">
    <tabColor theme="4" tint="-0.249977111117893"/>
  </sheetPr>
  <dimension ref="A1:H16"/>
  <sheetViews>
    <sheetView tabSelected="1" zoomScale="163" zoomScaleNormal="163" workbookViewId="0">
      <selection activeCell="D4" sqref="D4"/>
    </sheetView>
  </sheetViews>
  <sheetFormatPr baseColWidth="10" defaultRowHeight="16"/>
  <cols>
    <col min="1" max="1" width="26.1640625" style="208" customWidth="1"/>
    <col min="2" max="2" width="30.1640625" style="208" customWidth="1"/>
    <col min="3" max="3" width="40.33203125" style="208" bestFit="1" customWidth="1"/>
    <col min="4" max="4" width="40.33203125" customWidth="1"/>
    <col min="5" max="5" width="20" style="208" customWidth="1"/>
    <col min="6" max="6" width="18.83203125" style="208" customWidth="1"/>
    <col min="7" max="7" width="18.6640625" style="208" customWidth="1"/>
    <col min="8" max="8" width="21.5" style="208" customWidth="1"/>
    <col min="9" max="16384" width="10.83203125" style="208"/>
  </cols>
  <sheetData>
    <row r="1" spans="1:8" s="2" customFormat="1" ht="35" customHeight="1">
      <c r="A1" s="227" t="s">
        <v>161</v>
      </c>
      <c r="D1"/>
      <c r="F1" s="2" t="s">
        <v>43</v>
      </c>
      <c r="G1" s="2" t="s">
        <v>45</v>
      </c>
      <c r="H1" s="2" t="s">
        <v>53</v>
      </c>
    </row>
    <row r="2" spans="1:8" ht="32" customHeight="1" thickBot="1">
      <c r="A2" s="228" t="s">
        <v>163</v>
      </c>
      <c r="B2" s="228" t="s">
        <v>164</v>
      </c>
      <c r="C2" s="228" t="s">
        <v>165</v>
      </c>
      <c r="F2" s="208" t="s">
        <v>25</v>
      </c>
      <c r="G2" s="104" t="s">
        <v>46</v>
      </c>
      <c r="H2" s="208" t="s">
        <v>54</v>
      </c>
    </row>
    <row r="3" spans="1:8" ht="32" customHeight="1" thickTop="1">
      <c r="A3" s="229" t="s">
        <v>267</v>
      </c>
      <c r="B3" s="230" t="s">
        <v>270</v>
      </c>
      <c r="C3" s="231"/>
      <c r="F3" s="208" t="s">
        <v>44</v>
      </c>
      <c r="G3" s="104" t="s">
        <v>47</v>
      </c>
      <c r="H3" s="208" t="s">
        <v>55</v>
      </c>
    </row>
    <row r="4" spans="1:8" ht="32" customHeight="1">
      <c r="A4" s="229" t="s">
        <v>271</v>
      </c>
      <c r="B4" s="230" t="s">
        <v>25</v>
      </c>
      <c r="C4" s="231" t="s">
        <v>24</v>
      </c>
      <c r="G4" s="104" t="s">
        <v>48</v>
      </c>
    </row>
    <row r="5" spans="1:8" ht="32" customHeight="1">
      <c r="A5" s="229" t="s">
        <v>272</v>
      </c>
      <c r="B5" s="230" t="s">
        <v>193</v>
      </c>
      <c r="C5" s="231" t="s">
        <v>28</v>
      </c>
      <c r="G5" s="104" t="s">
        <v>193</v>
      </c>
    </row>
    <row r="6" spans="1:8" ht="32" customHeight="1">
      <c r="A6" s="229" t="s">
        <v>273</v>
      </c>
      <c r="B6" s="230">
        <v>30</v>
      </c>
      <c r="C6" s="231" t="s">
        <v>29</v>
      </c>
      <c r="G6" s="104" t="s">
        <v>49</v>
      </c>
    </row>
    <row r="7" spans="1:8" ht="32" customHeight="1">
      <c r="A7" s="229" t="s">
        <v>274</v>
      </c>
      <c r="B7" s="230">
        <v>20</v>
      </c>
      <c r="C7" s="231" t="s">
        <v>30</v>
      </c>
      <c r="G7" s="104" t="s">
        <v>50</v>
      </c>
    </row>
    <row r="8" spans="1:8" ht="23" customHeight="1">
      <c r="A8" s="229" t="s">
        <v>275</v>
      </c>
      <c r="B8" s="230">
        <v>10000</v>
      </c>
      <c r="C8" s="231" t="s">
        <v>31</v>
      </c>
      <c r="G8" s="104" t="s">
        <v>51</v>
      </c>
    </row>
    <row r="9" spans="1:8" ht="23" customHeight="1">
      <c r="A9" s="229" t="s">
        <v>276</v>
      </c>
      <c r="B9" s="230">
        <v>10000</v>
      </c>
      <c r="C9" s="231" t="s">
        <v>32</v>
      </c>
    </row>
    <row r="10" spans="1:8" ht="23" customHeight="1">
      <c r="A10" s="229" t="s">
        <v>277</v>
      </c>
      <c r="B10" s="230">
        <v>75</v>
      </c>
      <c r="C10" s="231"/>
    </row>
    <row r="11" spans="1:8" ht="23" customHeight="1">
      <c r="A11" s="229" t="s">
        <v>278</v>
      </c>
      <c r="B11" s="230" t="s">
        <v>54</v>
      </c>
      <c r="C11" s="231"/>
    </row>
    <row r="12" spans="1:8" ht="23" customHeight="1"/>
    <row r="13" spans="1:8" ht="23" customHeight="1"/>
    <row r="14" spans="1:8" ht="23" customHeight="1"/>
    <row r="15" spans="1:8" ht="23" customHeight="1"/>
    <row r="16" spans="1:8" ht="23" customHeight="1"/>
  </sheetData>
  <dataValidations count="3">
    <dataValidation type="list" allowBlank="1" showInputMessage="1" showErrorMessage="1" sqref="B4" xr:uid="{A4FCAA62-837D-B74A-B740-C2F8AF6DF2A4}">
      <formula1>$F$2:$F$3</formula1>
    </dataValidation>
    <dataValidation type="list" allowBlank="1" showInputMessage="1" showErrorMessage="1" sqref="B11" xr:uid="{555C0E9B-41E1-3C4B-8C1D-21EC046EDECA}">
      <formula1>$H$2:$H$3</formula1>
    </dataValidation>
    <dataValidation type="list" allowBlank="1" showInputMessage="1" showErrorMessage="1" sqref="B5" xr:uid="{CF9AADA0-E7F5-EA4B-B8DC-B6F775B9CC2D}">
      <formula1>$G$2:$G$189</formula1>
    </dataValidation>
  </dataValidations>
  <pageMargins left="0.7" right="0.7" top="0.75" bottom="0.75" header="0.3" footer="0.3"/>
  <pageSetup orientation="portrait" horizontalDpi="0" verticalDpi="0"/>
  <drawing r:id="rId1"/>
  <legacyDrawing r:id="rId2"/>
  <mc:AlternateContent xmlns:mc="http://schemas.openxmlformats.org/markup-compatibility/2006">
    <mc:Choice Requires="x14">
      <controls>
        <mc:AlternateContent xmlns:mc="http://schemas.openxmlformats.org/markup-compatibility/2006">
          <mc:Choice Requires="x14">
            <control shapeId="28675" r:id="rId3" name="Button 3">
              <controlPr defaultSize="0" print="0" autoFill="0" autoPict="0" macro="[0]!CreateInputFiles">
                <anchor moveWithCells="1" sizeWithCells="1">
                  <from>
                    <xdr:col>3</xdr:col>
                    <xdr:colOff>254000</xdr:colOff>
                    <xdr:row>1</xdr:row>
                    <xdr:rowOff>127000</xdr:rowOff>
                  </from>
                  <to>
                    <xdr:col>3</xdr:col>
                    <xdr:colOff>1778000</xdr:colOff>
                    <xdr:row>2</xdr:row>
                    <xdr:rowOff>101600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4B3C0-6BD2-DB49-A30B-8E0A2BA6470C}">
  <sheetPr codeName="Sheet10"/>
  <dimension ref="A1:Y34"/>
  <sheetViews>
    <sheetView zoomScale="154" zoomScaleNormal="154" workbookViewId="0">
      <selection activeCell="X32" sqref="X32"/>
    </sheetView>
  </sheetViews>
  <sheetFormatPr baseColWidth="10" defaultRowHeight="16"/>
  <cols>
    <col min="1" max="1" width="25.6640625" style="6" customWidth="1"/>
    <col min="2" max="2" width="16.83203125" style="6" customWidth="1"/>
    <col min="3" max="3" width="15" style="6" customWidth="1"/>
    <col min="4" max="4" width="12.33203125" style="6" customWidth="1"/>
    <col min="5" max="5" width="15.6640625" style="6" customWidth="1"/>
    <col min="6" max="16384" width="10.83203125" style="6"/>
  </cols>
  <sheetData>
    <row r="1" spans="1:24" s="4" customFormat="1" ht="28" customHeight="1">
      <c r="A1" s="4" t="s">
        <v>90</v>
      </c>
      <c r="G1" s="51" t="s">
        <v>113</v>
      </c>
    </row>
    <row r="2" spans="1:24">
      <c r="A2" s="2" t="s">
        <v>14</v>
      </c>
      <c r="B2" s="2" t="s">
        <v>15</v>
      </c>
      <c r="C2" s="48" t="s">
        <v>16</v>
      </c>
      <c r="D2" s="2" t="s">
        <v>18</v>
      </c>
      <c r="E2" s="2" t="s">
        <v>19</v>
      </c>
    </row>
    <row r="3" spans="1:24">
      <c r="A3" s="1" t="s">
        <v>107</v>
      </c>
      <c r="B3" s="15">
        <f>M31</f>
        <v>3.5319878628902117E-2</v>
      </c>
      <c r="C3" s="15">
        <f>M33</f>
        <v>2.2819259225901729E-2</v>
      </c>
      <c r="D3" s="15">
        <f>P31</f>
        <v>6.8559041520399683E-2</v>
      </c>
    </row>
    <row r="4" spans="1:24">
      <c r="A4" s="1" t="s">
        <v>108</v>
      </c>
      <c r="B4" s="15">
        <f>M31</f>
        <v>3.5319878628902117E-2</v>
      </c>
      <c r="C4" s="15">
        <f>M33</f>
        <v>2.2819259225901729E-2</v>
      </c>
      <c r="D4" s="15">
        <f>1-D3</f>
        <v>0.93144095847960029</v>
      </c>
      <c r="F4" s="5"/>
    </row>
    <row r="5" spans="1:24">
      <c r="A5" s="1" t="s">
        <v>109</v>
      </c>
      <c r="B5" s="15">
        <f>N31</f>
        <v>0.24251724922409285</v>
      </c>
      <c r="C5" s="15">
        <f>N33</f>
        <v>4.4529556333191653E-2</v>
      </c>
      <c r="D5" s="15">
        <f>Q31</f>
        <v>0.93171620729658622</v>
      </c>
    </row>
    <row r="6" spans="1:24">
      <c r="A6" s="1" t="s">
        <v>110</v>
      </c>
      <c r="B6" s="15">
        <f>N31</f>
        <v>0.24251724922409285</v>
      </c>
      <c r="C6" s="15">
        <f>N33</f>
        <v>4.4529556333191653E-2</v>
      </c>
      <c r="D6" s="15">
        <f>1-D5</f>
        <v>6.8283792703413781E-2</v>
      </c>
    </row>
    <row r="7" spans="1:24">
      <c r="A7" s="1" t="s">
        <v>111</v>
      </c>
      <c r="B7" s="15">
        <f>O31</f>
        <v>0.5461196911931081</v>
      </c>
      <c r="C7" s="15">
        <f>O33</f>
        <v>2.2638490418774231E-2</v>
      </c>
      <c r="D7" s="49">
        <v>1</v>
      </c>
    </row>
    <row r="9" spans="1:24">
      <c r="A9" s="5" t="s">
        <v>91</v>
      </c>
      <c r="B9" s="6" t="s">
        <v>93</v>
      </c>
    </row>
    <row r="10" spans="1:24">
      <c r="A10" s="5" t="s">
        <v>94</v>
      </c>
      <c r="B10" s="7" t="s">
        <v>120</v>
      </c>
    </row>
    <row r="11" spans="1:24">
      <c r="A11" s="5" t="s">
        <v>118</v>
      </c>
      <c r="B11" s="56" t="s">
        <v>119</v>
      </c>
    </row>
    <row r="13" spans="1:24">
      <c r="B13" s="8" t="s">
        <v>78</v>
      </c>
      <c r="C13" s="9"/>
      <c r="D13" s="9"/>
      <c r="E13" s="9"/>
      <c r="F13" s="9"/>
      <c r="G13" s="9"/>
      <c r="H13" s="9"/>
    </row>
    <row r="14" spans="1:24">
      <c r="A14" s="16" t="s">
        <v>97</v>
      </c>
      <c r="B14" s="10" t="s">
        <v>56</v>
      </c>
      <c r="C14" s="9"/>
      <c r="D14" s="9"/>
      <c r="E14" s="9"/>
      <c r="F14" s="9"/>
      <c r="G14" s="9"/>
      <c r="H14" s="9"/>
      <c r="J14" s="219" t="s">
        <v>98</v>
      </c>
      <c r="K14" s="219"/>
      <c r="L14" s="219"/>
      <c r="M14" s="219" t="s">
        <v>99</v>
      </c>
      <c r="N14" s="219"/>
      <c r="O14" s="219"/>
      <c r="P14" s="219"/>
      <c r="Q14" s="219"/>
      <c r="R14" s="219"/>
      <c r="S14" s="219" t="s">
        <v>102</v>
      </c>
      <c r="T14" s="219"/>
      <c r="U14" s="219"/>
      <c r="V14" s="219" t="s">
        <v>103</v>
      </c>
      <c r="W14" s="219"/>
      <c r="X14" s="219"/>
    </row>
    <row r="15" spans="1:24" ht="51">
      <c r="A15" s="20" t="s">
        <v>57</v>
      </c>
      <c r="B15" s="17" t="s">
        <v>95</v>
      </c>
      <c r="C15" s="22" t="s">
        <v>58</v>
      </c>
      <c r="D15" s="22" t="s">
        <v>59</v>
      </c>
      <c r="E15" s="22" t="s">
        <v>59</v>
      </c>
      <c r="F15" s="26" t="s">
        <v>60</v>
      </c>
      <c r="G15" s="26" t="s">
        <v>60</v>
      </c>
      <c r="H15" s="26" t="s">
        <v>60</v>
      </c>
      <c r="I15" s="18" t="s">
        <v>61</v>
      </c>
      <c r="J15" s="32" t="s">
        <v>58</v>
      </c>
      <c r="K15" s="32" t="s">
        <v>62</v>
      </c>
      <c r="L15" s="32" t="s">
        <v>63</v>
      </c>
      <c r="M15" s="220" t="s">
        <v>64</v>
      </c>
      <c r="N15" s="220"/>
      <c r="O15" s="220"/>
      <c r="P15" s="221" t="s">
        <v>65</v>
      </c>
      <c r="Q15" s="221"/>
      <c r="R15" s="221"/>
      <c r="S15" s="222" t="s">
        <v>66</v>
      </c>
      <c r="T15" s="222"/>
      <c r="U15" s="222"/>
      <c r="V15" s="223" t="s">
        <v>100</v>
      </c>
      <c r="W15" s="223"/>
      <c r="X15" s="223"/>
    </row>
    <row r="16" spans="1:24" ht="17">
      <c r="A16" s="20" t="s">
        <v>92</v>
      </c>
      <c r="B16" s="18" t="s">
        <v>96</v>
      </c>
      <c r="C16" s="22" t="s">
        <v>67</v>
      </c>
      <c r="D16" s="22" t="s">
        <v>68</v>
      </c>
      <c r="E16" s="22" t="s">
        <v>69</v>
      </c>
      <c r="F16" s="26" t="s">
        <v>67</v>
      </c>
      <c r="G16" s="26" t="s">
        <v>68</v>
      </c>
      <c r="H16" s="26" t="s">
        <v>69</v>
      </c>
      <c r="I16" s="30" t="s">
        <v>70</v>
      </c>
      <c r="J16" s="33" t="s">
        <v>67</v>
      </c>
      <c r="K16" s="33" t="s">
        <v>68</v>
      </c>
      <c r="L16" s="33" t="s">
        <v>69</v>
      </c>
      <c r="M16" s="35" t="s">
        <v>71</v>
      </c>
      <c r="N16" s="36" t="s">
        <v>72</v>
      </c>
      <c r="O16" s="36" t="s">
        <v>73</v>
      </c>
      <c r="P16" s="38" t="s">
        <v>74</v>
      </c>
      <c r="Q16" s="38" t="s">
        <v>75</v>
      </c>
      <c r="R16" s="39" t="s">
        <v>76</v>
      </c>
      <c r="S16" s="42" t="s">
        <v>67</v>
      </c>
      <c r="T16" s="42" t="s">
        <v>68</v>
      </c>
      <c r="U16" s="42" t="s">
        <v>69</v>
      </c>
      <c r="V16" s="44" t="s">
        <v>67</v>
      </c>
      <c r="W16" s="44" t="s">
        <v>68</v>
      </c>
      <c r="X16" s="44" t="s">
        <v>69</v>
      </c>
    </row>
    <row r="17" spans="1:25">
      <c r="A17" s="21">
        <v>2001</v>
      </c>
      <c r="B17" s="19">
        <v>10885</v>
      </c>
      <c r="C17" s="23">
        <v>2</v>
      </c>
      <c r="D17" s="23">
        <v>13</v>
      </c>
      <c r="E17" s="24">
        <v>0</v>
      </c>
      <c r="F17" s="27">
        <f>C17/SUM($C17:$E17)</f>
        <v>0.13333333333333333</v>
      </c>
      <c r="G17" s="27">
        <f>D17/SUM($C17:$E17)</f>
        <v>0.8666666666666667</v>
      </c>
      <c r="H17" s="27">
        <f>E17/SUM($C17:$E17)</f>
        <v>0</v>
      </c>
      <c r="I17" s="31">
        <v>2.5999999999999999E-3</v>
      </c>
      <c r="J17" s="34">
        <f t="shared" ref="J17:J30" si="0">($I17*$B17)*F17</f>
        <v>3.7734666666666663</v>
      </c>
      <c r="K17" s="34">
        <f t="shared" ref="K17:K30" si="1">($I17*$B17)*G17</f>
        <v>24.527533333333334</v>
      </c>
      <c r="L17" s="34">
        <f t="shared" ref="L17:L30" si="2">($I17*$B17)*H17</f>
        <v>0</v>
      </c>
      <c r="M17" s="37">
        <v>8.5531953948727747E-3</v>
      </c>
      <c r="N17" s="37">
        <v>0.27326959576567916</v>
      </c>
      <c r="O17" s="37">
        <v>0.51921183135029614</v>
      </c>
      <c r="P17" s="40">
        <v>4.5382676938784436E-2</v>
      </c>
      <c r="Q17" s="40">
        <v>0.99974784608197576</v>
      </c>
      <c r="R17" s="41">
        <v>1</v>
      </c>
      <c r="S17" s="43">
        <f t="shared" ref="S17:S30" si="3">(B17*M17)*P17</f>
        <v>4.2251967435069311</v>
      </c>
      <c r="T17" s="43">
        <f t="shared" ref="T17:T30" si="4">B17*M17*(1-P17)*N17*Q17</f>
        <v>24.281076061341849</v>
      </c>
      <c r="U17" s="43">
        <f t="shared" ref="U17:U30" si="5">B17*M17*(1-P17)*N17*(1-Q17)*O17</f>
        <v>3.1797117608709812E-3</v>
      </c>
      <c r="V17" s="45">
        <f>(J17-S17)^2</f>
        <v>0.20406006232211152</v>
      </c>
      <c r="W17" s="45">
        <f t="shared" ref="W17:X30" si="6">(K17-T17)^2</f>
        <v>6.074118691748473E-2</v>
      </c>
      <c r="X17" s="45">
        <f t="shared" si="6"/>
        <v>1.0110566882221237E-5</v>
      </c>
    </row>
    <row r="18" spans="1:25">
      <c r="A18" s="21">
        <v>2002</v>
      </c>
      <c r="B18" s="19">
        <v>8435</v>
      </c>
      <c r="C18" s="23">
        <v>11</v>
      </c>
      <c r="D18" s="23">
        <v>45</v>
      </c>
      <c r="E18" s="24">
        <v>1</v>
      </c>
      <c r="F18" s="27">
        <f t="shared" ref="F18:F30" si="7">C18/SUM($C18:$E18)</f>
        <v>0.19298245614035087</v>
      </c>
      <c r="G18" s="27">
        <f t="shared" ref="G18:G30" si="8">D18/SUM($C18:$E18)</f>
        <v>0.78947368421052633</v>
      </c>
      <c r="H18" s="27">
        <f t="shared" ref="H18:H30" si="9">E18/SUM($C18:$E18)</f>
        <v>1.7543859649122806E-2</v>
      </c>
      <c r="I18" s="31">
        <v>0.01</v>
      </c>
      <c r="J18" s="34">
        <f t="shared" si="0"/>
        <v>16.278070175438597</v>
      </c>
      <c r="K18" s="34">
        <f t="shared" si="1"/>
        <v>66.592105263157904</v>
      </c>
      <c r="L18" s="34">
        <f t="shared" si="2"/>
        <v>1.4798245614035088</v>
      </c>
      <c r="M18" s="37">
        <v>3.4049741370579416E-2</v>
      </c>
      <c r="N18" s="37">
        <v>0.25599687999306631</v>
      </c>
      <c r="O18" s="37">
        <v>0.56353238929800453</v>
      </c>
      <c r="P18" s="40">
        <v>5.6875923350467289E-2</v>
      </c>
      <c r="Q18" s="40">
        <v>0.96329299547032654</v>
      </c>
      <c r="R18" s="41">
        <v>1</v>
      </c>
      <c r="S18" s="43">
        <f t="shared" si="3"/>
        <v>16.335309401299373</v>
      </c>
      <c r="T18" s="43">
        <f t="shared" si="4"/>
        <v>66.797592652356911</v>
      </c>
      <c r="U18" s="43">
        <f t="shared" si="5"/>
        <v>1.4343998676085625</v>
      </c>
      <c r="V18" s="45">
        <f t="shared" ref="V18:V30" si="10">(J18-S18)^2</f>
        <v>3.2763289771409673E-3</v>
      </c>
      <c r="W18" s="45">
        <f t="shared" si="6"/>
        <v>4.2225067119824176E-2</v>
      </c>
      <c r="X18" s="45">
        <f t="shared" si="6"/>
        <v>2.063402806364632E-3</v>
      </c>
    </row>
    <row r="19" spans="1:25">
      <c r="A19" s="21">
        <v>2003</v>
      </c>
      <c r="B19" s="19">
        <v>7202</v>
      </c>
      <c r="C19" s="23">
        <v>5</v>
      </c>
      <c r="D19" s="23">
        <v>22</v>
      </c>
      <c r="E19" s="24">
        <v>0</v>
      </c>
      <c r="F19" s="27">
        <f t="shared" si="7"/>
        <v>0.18518518518518517</v>
      </c>
      <c r="G19" s="27">
        <f t="shared" si="8"/>
        <v>0.81481481481481477</v>
      </c>
      <c r="H19" s="27">
        <f t="shared" si="9"/>
        <v>0</v>
      </c>
      <c r="I19" s="31">
        <v>4.0000000000000001E-3</v>
      </c>
      <c r="J19" s="34">
        <f t="shared" si="0"/>
        <v>5.3348148148148145</v>
      </c>
      <c r="K19" s="34">
        <f t="shared" si="1"/>
        <v>23.473185185185184</v>
      </c>
      <c r="L19" s="34">
        <f t="shared" si="2"/>
        <v>0</v>
      </c>
      <c r="M19" s="37">
        <v>1.417256151977811E-2</v>
      </c>
      <c r="N19" s="37">
        <v>0.25154769720584708</v>
      </c>
      <c r="O19" s="37">
        <v>0.54639268868066171</v>
      </c>
      <c r="P19" s="40">
        <v>5.2360081624617263E-2</v>
      </c>
      <c r="Q19" s="40">
        <v>0.98042708984411375</v>
      </c>
      <c r="R19" s="41">
        <v>1</v>
      </c>
      <c r="S19" s="43">
        <f t="shared" si="3"/>
        <v>5.3444347945955499</v>
      </c>
      <c r="T19" s="43">
        <f t="shared" si="4"/>
        <v>23.855057243374187</v>
      </c>
      <c r="U19" s="43">
        <f t="shared" si="5"/>
        <v>0.26021087461269127</v>
      </c>
      <c r="V19" s="45">
        <f t="shared" si="10"/>
        <v>9.2544010981759393E-5</v>
      </c>
      <c r="W19" s="45">
        <f t="shared" si="6"/>
        <v>0.14582626882550559</v>
      </c>
      <c r="X19" s="45">
        <f t="shared" si="6"/>
        <v>6.7709699266701742E-2</v>
      </c>
    </row>
    <row r="20" spans="1:25">
      <c r="A20" s="21">
        <v>2004</v>
      </c>
      <c r="B20" s="19">
        <v>5348</v>
      </c>
      <c r="C20" s="23">
        <v>2</v>
      </c>
      <c r="D20" s="23">
        <v>17</v>
      </c>
      <c r="E20" s="24">
        <v>1</v>
      </c>
      <c r="F20" s="27">
        <f t="shared" si="7"/>
        <v>0.1</v>
      </c>
      <c r="G20" s="27">
        <f t="shared" si="8"/>
        <v>0.85</v>
      </c>
      <c r="H20" s="27">
        <f t="shared" si="9"/>
        <v>0.05</v>
      </c>
      <c r="I20" s="31">
        <v>4.0000000000000001E-3</v>
      </c>
      <c r="J20" s="34">
        <f t="shared" si="0"/>
        <v>2.1392000000000002</v>
      </c>
      <c r="K20" s="34">
        <f t="shared" si="1"/>
        <v>18.183199999999999</v>
      </c>
      <c r="L20" s="34">
        <f t="shared" si="2"/>
        <v>1.0696000000000001</v>
      </c>
      <c r="M20" s="37">
        <v>1.506750134911434E-2</v>
      </c>
      <c r="N20" s="37">
        <v>0.25961548553213731</v>
      </c>
      <c r="O20" s="37">
        <v>0.56645130041773861</v>
      </c>
      <c r="P20" s="40">
        <v>5.0006284025690399E-2</v>
      </c>
      <c r="Q20" s="40">
        <v>0.89408405803756075</v>
      </c>
      <c r="R20" s="41">
        <v>1</v>
      </c>
      <c r="S20" s="43">
        <f t="shared" si="3"/>
        <v>4.0295562338098323</v>
      </c>
      <c r="T20" s="43">
        <f t="shared" si="4"/>
        <v>17.768972493922963</v>
      </c>
      <c r="U20" s="43">
        <f t="shared" si="5"/>
        <v>1.1923613084267703</v>
      </c>
      <c r="V20" s="45">
        <f t="shared" si="10"/>
        <v>3.5734466907036926</v>
      </c>
      <c r="W20" s="45">
        <f t="shared" si="6"/>
        <v>0.17158442679080141</v>
      </c>
      <c r="X20" s="45">
        <f t="shared" si="6"/>
        <v>1.5070338846652612E-2</v>
      </c>
    </row>
    <row r="21" spans="1:25">
      <c r="A21" s="21">
        <v>2005</v>
      </c>
      <c r="B21" s="19">
        <v>4848</v>
      </c>
      <c r="C21" s="23">
        <v>3</v>
      </c>
      <c r="D21" s="23">
        <v>15</v>
      </c>
      <c r="E21" s="24">
        <v>0</v>
      </c>
      <c r="F21" s="27">
        <f t="shared" si="7"/>
        <v>0.16666666666666666</v>
      </c>
      <c r="G21" s="27">
        <f t="shared" si="8"/>
        <v>0.83333333333333337</v>
      </c>
      <c r="H21" s="27">
        <f t="shared" si="9"/>
        <v>0</v>
      </c>
      <c r="I21" s="31">
        <v>4.7999999999999996E-3</v>
      </c>
      <c r="J21" s="34">
        <f t="shared" si="0"/>
        <v>3.8783999999999996</v>
      </c>
      <c r="K21" s="34">
        <f t="shared" si="1"/>
        <v>19.391999999999999</v>
      </c>
      <c r="L21" s="34">
        <f t="shared" si="2"/>
        <v>0</v>
      </c>
      <c r="M21" s="37">
        <v>1.7624571359099821E-2</v>
      </c>
      <c r="N21" s="37">
        <v>0.25207675056432965</v>
      </c>
      <c r="O21" s="37">
        <v>0.55407512778953194</v>
      </c>
      <c r="P21" s="40">
        <v>5.6460984689955286E-2</v>
      </c>
      <c r="Q21" s="40">
        <v>0.94188491971971455</v>
      </c>
      <c r="R21" s="41">
        <v>1</v>
      </c>
      <c r="S21" s="43">
        <f t="shared" si="3"/>
        <v>4.8242479690074767</v>
      </c>
      <c r="T21" s="43">
        <f t="shared" si="4"/>
        <v>19.141310711192865</v>
      </c>
      <c r="U21" s="43">
        <f t="shared" si="5"/>
        <v>0.65438197294799305</v>
      </c>
      <c r="V21" s="45">
        <f t="shared" si="10"/>
        <v>0.89462838047556925</v>
      </c>
      <c r="W21" s="45">
        <f t="shared" si="6"/>
        <v>6.2845119522626711E-2</v>
      </c>
      <c r="X21" s="45">
        <f t="shared" si="6"/>
        <v>0.42821576651930793</v>
      </c>
    </row>
    <row r="22" spans="1:25" ht="20">
      <c r="A22" s="21" t="s">
        <v>79</v>
      </c>
      <c r="B22" s="19">
        <v>4289</v>
      </c>
      <c r="C22" s="23">
        <v>10</v>
      </c>
      <c r="D22" s="23">
        <v>36</v>
      </c>
      <c r="E22" s="24">
        <v>0</v>
      </c>
      <c r="F22" s="27">
        <f t="shared" si="7"/>
        <v>0.21739130434782608</v>
      </c>
      <c r="G22" s="27">
        <f t="shared" si="8"/>
        <v>0.78260869565217395</v>
      </c>
      <c r="H22" s="27">
        <f t="shared" si="9"/>
        <v>0</v>
      </c>
      <c r="I22" s="31">
        <v>6.1000000000000004E-3</v>
      </c>
      <c r="J22" s="34">
        <f t="shared" si="0"/>
        <v>5.6875869565217387</v>
      </c>
      <c r="K22" s="34">
        <f t="shared" si="1"/>
        <v>20.475313043478263</v>
      </c>
      <c r="L22" s="34">
        <f t="shared" si="2"/>
        <v>0</v>
      </c>
      <c r="M22" s="37">
        <v>2.20417280793767E-2</v>
      </c>
      <c r="N22" s="37">
        <v>0.24364208537352902</v>
      </c>
      <c r="O22" s="37">
        <v>0.55150716269940792</v>
      </c>
      <c r="P22" s="40">
        <v>6.3080019077206895E-2</v>
      </c>
      <c r="Q22" s="40">
        <v>0.94449850939123958</v>
      </c>
      <c r="R22" s="41">
        <v>1</v>
      </c>
      <c r="S22" s="43">
        <f t="shared" si="3"/>
        <v>5.9633939803841045</v>
      </c>
      <c r="T22" s="43">
        <f t="shared" si="4"/>
        <v>20.38251508361132</v>
      </c>
      <c r="U22" s="43">
        <f t="shared" si="5"/>
        <v>0.66056004307964944</v>
      </c>
      <c r="V22" s="45">
        <f t="shared" si="10"/>
        <v>7.60695144118156E-2</v>
      </c>
      <c r="W22" s="45">
        <f t="shared" si="6"/>
        <v>8.6114613554666517E-3</v>
      </c>
      <c r="X22" s="45">
        <f t="shared" si="6"/>
        <v>0.43633957051338834</v>
      </c>
    </row>
    <row r="23" spans="1:25" ht="20">
      <c r="A23" s="21" t="s">
        <v>80</v>
      </c>
      <c r="B23" s="19">
        <v>4695</v>
      </c>
      <c r="C23" s="23">
        <v>26</v>
      </c>
      <c r="D23" s="23">
        <v>32</v>
      </c>
      <c r="E23" s="24">
        <v>0</v>
      </c>
      <c r="F23" s="27">
        <f t="shared" si="7"/>
        <v>0.44827586206896552</v>
      </c>
      <c r="G23" s="27">
        <f t="shared" si="8"/>
        <v>0.55172413793103448</v>
      </c>
      <c r="H23" s="27">
        <f t="shared" si="9"/>
        <v>0</v>
      </c>
      <c r="I23" s="31">
        <v>8.3000000000000001E-3</v>
      </c>
      <c r="J23" s="34">
        <f t="shared" si="0"/>
        <v>17.468637931034483</v>
      </c>
      <c r="K23" s="34">
        <f t="shared" si="1"/>
        <v>21.499862068965516</v>
      </c>
      <c r="L23" s="34">
        <f t="shared" si="2"/>
        <v>0</v>
      </c>
      <c r="M23" s="37">
        <v>3.8346091893686853E-2</v>
      </c>
      <c r="N23" s="37">
        <v>0.14635872901337435</v>
      </c>
      <c r="O23" s="37">
        <v>0.50712388105413353</v>
      </c>
      <c r="P23" s="40">
        <v>9.7996385762631449E-2</v>
      </c>
      <c r="Q23" s="40">
        <v>0.8987823180070702</v>
      </c>
      <c r="R23" s="41">
        <v>1</v>
      </c>
      <c r="S23" s="43">
        <f t="shared" si="3"/>
        <v>17.642769652335829</v>
      </c>
      <c r="T23" s="43">
        <f t="shared" si="4"/>
        <v>21.361814145221036</v>
      </c>
      <c r="U23" s="43">
        <f t="shared" si="5"/>
        <v>1.2199837952598687</v>
      </c>
      <c r="V23" s="45">
        <f t="shared" si="10"/>
        <v>3.0321856363369877E-2</v>
      </c>
      <c r="W23" s="45">
        <f t="shared" si="6"/>
        <v>1.9057229250161841E-2</v>
      </c>
      <c r="X23" s="45">
        <f t="shared" si="6"/>
        <v>1.4883604606966732</v>
      </c>
    </row>
    <row r="24" spans="1:25" ht="20">
      <c r="A24" s="21" t="s">
        <v>81</v>
      </c>
      <c r="B24" s="19">
        <v>6605</v>
      </c>
      <c r="C24" s="23">
        <v>71</v>
      </c>
      <c r="D24" s="23">
        <v>185</v>
      </c>
      <c r="E24" s="24">
        <v>6</v>
      </c>
      <c r="F24" s="27">
        <f t="shared" si="7"/>
        <v>0.27099236641221375</v>
      </c>
      <c r="G24" s="27">
        <f t="shared" si="8"/>
        <v>0.70610687022900764</v>
      </c>
      <c r="H24" s="27">
        <f t="shared" si="9"/>
        <v>2.2900763358778626E-2</v>
      </c>
      <c r="I24" s="31">
        <v>2.9499999999999998E-2</v>
      </c>
      <c r="J24" s="34">
        <f t="shared" si="0"/>
        <v>52.802185114503814</v>
      </c>
      <c r="K24" s="34">
        <f t="shared" si="1"/>
        <v>137.58315839694657</v>
      </c>
      <c r="L24" s="34">
        <f t="shared" si="2"/>
        <v>4.4621564885496179</v>
      </c>
      <c r="M24" s="37">
        <v>8.65215629832045E-2</v>
      </c>
      <c r="N24" s="37">
        <v>0.28011320046830884</v>
      </c>
      <c r="O24" s="37">
        <v>0.5822814797860818</v>
      </c>
      <c r="P24" s="40">
        <v>9.2371035012899755E-2</v>
      </c>
      <c r="Q24" s="40">
        <v>0.94703034523282514</v>
      </c>
      <c r="R24" s="41">
        <v>1</v>
      </c>
      <c r="S24" s="43">
        <f t="shared" si="3"/>
        <v>52.787730167988265</v>
      </c>
      <c r="T24" s="43">
        <f t="shared" si="4"/>
        <v>137.59510878278681</v>
      </c>
      <c r="U24" s="43">
        <f t="shared" si="5"/>
        <v>4.4812504873230781</v>
      </c>
      <c r="V24" s="45">
        <f t="shared" si="10"/>
        <v>2.0894547876738908E-4</v>
      </c>
      <c r="W24" s="45">
        <f t="shared" si="6"/>
        <v>1.4281172173053166E-4</v>
      </c>
      <c r="X24" s="45">
        <f t="shared" si="6"/>
        <v>3.645807891608991E-4</v>
      </c>
    </row>
    <row r="25" spans="1:25" ht="20">
      <c r="A25" s="21" t="s">
        <v>82</v>
      </c>
      <c r="B25" s="19">
        <v>5381</v>
      </c>
      <c r="C25" s="23">
        <v>17</v>
      </c>
      <c r="D25" s="23">
        <v>113</v>
      </c>
      <c r="E25" s="24">
        <v>3</v>
      </c>
      <c r="F25" s="27">
        <f t="shared" si="7"/>
        <v>0.12781954887218044</v>
      </c>
      <c r="G25" s="27">
        <f t="shared" si="8"/>
        <v>0.84962406015037595</v>
      </c>
      <c r="H25" s="27">
        <f t="shared" si="9"/>
        <v>2.2556390977443608E-2</v>
      </c>
      <c r="I25" s="31">
        <v>1.7999999999999999E-2</v>
      </c>
      <c r="J25" s="34">
        <f t="shared" si="0"/>
        <v>12.380345864661653</v>
      </c>
      <c r="K25" s="34">
        <f t="shared" si="1"/>
        <v>82.292887218045109</v>
      </c>
      <c r="L25" s="34">
        <f t="shared" si="2"/>
        <v>2.1847669172932327</v>
      </c>
      <c r="M25" s="37">
        <v>5.3091502761650228E-2</v>
      </c>
      <c r="N25" s="37">
        <v>0.31398694319065362</v>
      </c>
      <c r="O25" s="37">
        <v>0.57592636329898284</v>
      </c>
      <c r="P25" s="40">
        <v>4.5014722649036526E-2</v>
      </c>
      <c r="Q25" s="40">
        <v>0.95947126438222252</v>
      </c>
      <c r="R25" s="41">
        <v>1</v>
      </c>
      <c r="S25" s="43">
        <f t="shared" si="3"/>
        <v>12.860047981750817</v>
      </c>
      <c r="T25" s="43">
        <f t="shared" si="4"/>
        <v>82.191753855660068</v>
      </c>
      <c r="U25" s="43">
        <f t="shared" si="5"/>
        <v>1.9995224728985206</v>
      </c>
      <c r="V25" s="45">
        <f t="shared" si="10"/>
        <v>0.23011412113982663</v>
      </c>
      <c r="W25" s="45">
        <f t="shared" si="6"/>
        <v>1.0227956987304207E-2</v>
      </c>
      <c r="X25" s="45">
        <f t="shared" si="6"/>
        <v>3.4315504179105588E-2</v>
      </c>
    </row>
    <row r="26" spans="1:25" ht="20">
      <c r="A26" s="21" t="s">
        <v>83</v>
      </c>
      <c r="B26" s="19">
        <v>6329</v>
      </c>
      <c r="C26" s="23">
        <v>59</v>
      </c>
      <c r="D26" s="23">
        <v>71</v>
      </c>
      <c r="E26" s="24">
        <v>3</v>
      </c>
      <c r="F26" s="27">
        <f t="shared" si="7"/>
        <v>0.44360902255639095</v>
      </c>
      <c r="G26" s="27">
        <f t="shared" si="8"/>
        <v>0.53383458646616544</v>
      </c>
      <c r="H26" s="27">
        <f t="shared" si="9"/>
        <v>2.2556390977443608E-2</v>
      </c>
      <c r="I26" s="31">
        <v>1.55E-2</v>
      </c>
      <c r="J26" s="34">
        <f t="shared" si="0"/>
        <v>43.517823308270678</v>
      </c>
      <c r="K26" s="34">
        <f t="shared" si="1"/>
        <v>52.368906015037602</v>
      </c>
      <c r="L26" s="34">
        <f t="shared" si="2"/>
        <v>2.2127706766917292</v>
      </c>
      <c r="M26" s="37">
        <v>6.2579840532939399E-2</v>
      </c>
      <c r="N26" s="37">
        <v>0.16167187378180575</v>
      </c>
      <c r="O26" s="37">
        <v>0.5214957578265651</v>
      </c>
      <c r="P26" s="40">
        <v>0.10984714453937078</v>
      </c>
      <c r="Q26" s="40">
        <v>0.92216813704882528</v>
      </c>
      <c r="R26" s="41">
        <v>1</v>
      </c>
      <c r="S26" s="43">
        <f t="shared" si="3"/>
        <v>43.506918052977085</v>
      </c>
      <c r="T26" s="43">
        <f t="shared" si="4"/>
        <v>52.562827764638264</v>
      </c>
      <c r="U26" s="43">
        <f t="shared" si="5"/>
        <v>2.3135389448933759</v>
      </c>
      <c r="V26" s="45">
        <f t="shared" si="10"/>
        <v>1.1892459301844995E-4</v>
      </c>
      <c r="W26" s="45">
        <f t="shared" si="6"/>
        <v>3.7605644968181855E-2</v>
      </c>
      <c r="X26" s="45">
        <f t="shared" si="6"/>
        <v>1.0154243876358989E-2</v>
      </c>
    </row>
    <row r="27" spans="1:25" ht="20">
      <c r="A27" s="21" t="s">
        <v>84</v>
      </c>
      <c r="B27" s="19">
        <v>4366</v>
      </c>
      <c r="C27" s="23">
        <v>4</v>
      </c>
      <c r="D27" s="23">
        <v>26</v>
      </c>
      <c r="E27" s="24">
        <v>1</v>
      </c>
      <c r="F27" s="27">
        <f t="shared" si="7"/>
        <v>0.12903225806451613</v>
      </c>
      <c r="G27" s="27">
        <f t="shared" si="8"/>
        <v>0.83870967741935487</v>
      </c>
      <c r="H27" s="27">
        <f t="shared" si="9"/>
        <v>3.2258064516129031E-2</v>
      </c>
      <c r="I27" s="31">
        <v>5.0000000000000001E-3</v>
      </c>
      <c r="J27" s="34">
        <f t="shared" si="0"/>
        <v>2.8167741935483872</v>
      </c>
      <c r="K27" s="34">
        <f t="shared" si="1"/>
        <v>18.309032258064519</v>
      </c>
      <c r="L27" s="34">
        <f t="shared" si="2"/>
        <v>0.7041935483870968</v>
      </c>
      <c r="M27" s="37">
        <v>1.8684472204849253E-2</v>
      </c>
      <c r="N27" s="37">
        <v>0.25371609429201208</v>
      </c>
      <c r="O27" s="37">
        <v>0.554606379608091</v>
      </c>
      <c r="P27" s="40">
        <v>5.6918314218953658E-2</v>
      </c>
      <c r="Q27" s="40">
        <v>0.90887667520106497</v>
      </c>
      <c r="R27" s="41">
        <v>1</v>
      </c>
      <c r="S27" s="43">
        <f t="shared" si="3"/>
        <v>4.6431914894330175</v>
      </c>
      <c r="T27" s="43">
        <f t="shared" si="4"/>
        <v>17.740540706310025</v>
      </c>
      <c r="U27" s="43">
        <f t="shared" si="5"/>
        <v>0.98645280611079345</v>
      </c>
      <c r="V27" s="45">
        <f t="shared" si="10"/>
        <v>3.3358001387065253</v>
      </c>
      <c r="W27" s="45">
        <f t="shared" si="6"/>
        <v>0.32318264441623296</v>
      </c>
      <c r="X27" s="45">
        <f t="shared" si="6"/>
        <v>7.9670288570732203E-2</v>
      </c>
    </row>
    <row r="28" spans="1:25" ht="20">
      <c r="A28" s="21" t="s">
        <v>85</v>
      </c>
      <c r="B28" s="19">
        <v>3615</v>
      </c>
      <c r="C28" s="23">
        <v>18</v>
      </c>
      <c r="D28" s="23">
        <v>37</v>
      </c>
      <c r="E28" s="24">
        <v>1</v>
      </c>
      <c r="F28" s="27">
        <f t="shared" si="7"/>
        <v>0.32142857142857145</v>
      </c>
      <c r="G28" s="27">
        <f t="shared" si="8"/>
        <v>0.6607142857142857</v>
      </c>
      <c r="H28" s="27">
        <f t="shared" si="9"/>
        <v>1.7857142857142856E-2</v>
      </c>
      <c r="I28" s="31">
        <v>9.4000000000000004E-3</v>
      </c>
      <c r="J28" s="34">
        <f t="shared" si="0"/>
        <v>10.922464285714288</v>
      </c>
      <c r="K28" s="34">
        <f t="shared" si="1"/>
        <v>22.451732142857143</v>
      </c>
      <c r="L28" s="34">
        <f t="shared" si="2"/>
        <v>0.60680357142857144</v>
      </c>
      <c r="M28" s="37">
        <v>3.5688559571832194E-2</v>
      </c>
      <c r="N28" s="37">
        <v>0.2086651401913128</v>
      </c>
      <c r="O28" s="37">
        <v>0.53703467425512608</v>
      </c>
      <c r="P28" s="40">
        <v>8.3507508679154893E-2</v>
      </c>
      <c r="Q28" s="40">
        <v>0.90931277443694469</v>
      </c>
      <c r="R28" s="41">
        <v>1</v>
      </c>
      <c r="S28" s="43">
        <f t="shared" si="3"/>
        <v>10.773649653961598</v>
      </c>
      <c r="T28" s="43">
        <f t="shared" si="4"/>
        <v>22.435173182533191</v>
      </c>
      <c r="U28" s="43">
        <f t="shared" si="5"/>
        <v>1.2016128855423223</v>
      </c>
      <c r="V28" s="45">
        <f t="shared" si="10"/>
        <v>2.2145794623688448E-2</v>
      </c>
      <c r="W28" s="45">
        <f t="shared" si="6"/>
        <v>2.7419916701020876E-4</v>
      </c>
      <c r="X28" s="45">
        <f t="shared" si="6"/>
        <v>0.35379812015647066</v>
      </c>
    </row>
    <row r="29" spans="1:25" ht="20">
      <c r="A29" s="21" t="s">
        <v>86</v>
      </c>
      <c r="B29" s="19">
        <v>3209</v>
      </c>
      <c r="C29" s="23">
        <v>20</v>
      </c>
      <c r="D29" s="23">
        <v>59</v>
      </c>
      <c r="E29" s="24">
        <v>1</v>
      </c>
      <c r="F29" s="27">
        <f t="shared" si="7"/>
        <v>0.25</v>
      </c>
      <c r="G29" s="27">
        <f t="shared" si="8"/>
        <v>0.73750000000000004</v>
      </c>
      <c r="H29" s="27">
        <f t="shared" si="9"/>
        <v>1.2500000000000001E-2</v>
      </c>
      <c r="I29" s="31">
        <v>1.8700000000000001E-2</v>
      </c>
      <c r="J29" s="34">
        <f t="shared" si="0"/>
        <v>15.002075000000001</v>
      </c>
      <c r="K29" s="34">
        <f t="shared" si="1"/>
        <v>44.256121250000007</v>
      </c>
      <c r="L29" s="34">
        <f t="shared" si="2"/>
        <v>0.75010375000000007</v>
      </c>
      <c r="M29" s="37">
        <v>6.1148841832005335E-2</v>
      </c>
      <c r="N29" s="37">
        <v>0.26406469737520921</v>
      </c>
      <c r="O29" s="37">
        <v>0.54543889521550859</v>
      </c>
      <c r="P29" s="40">
        <v>7.6461636989470866E-2</v>
      </c>
      <c r="Q29" s="40">
        <v>0.92541940025244307</v>
      </c>
      <c r="R29" s="41">
        <v>1</v>
      </c>
      <c r="S29" s="43">
        <f t="shared" si="3"/>
        <v>15.003809613671528</v>
      </c>
      <c r="T29" s="43">
        <f t="shared" si="4"/>
        <v>44.285529081479766</v>
      </c>
      <c r="U29" s="43">
        <f t="shared" si="5"/>
        <v>1.9466828981918443</v>
      </c>
      <c r="V29" s="45">
        <f t="shared" si="10"/>
        <v>3.0088845894477895E-6</v>
      </c>
      <c r="W29" s="45">
        <f t="shared" si="6"/>
        <v>8.6482055234189171E-4</v>
      </c>
      <c r="X29" s="45">
        <f t="shared" si="6"/>
        <v>1.4318016578875195</v>
      </c>
    </row>
    <row r="30" spans="1:25" ht="20">
      <c r="A30" s="21" t="s">
        <v>87</v>
      </c>
      <c r="B30" s="19">
        <v>3834</v>
      </c>
      <c r="C30" s="23">
        <v>7</v>
      </c>
      <c r="D30" s="23">
        <v>19</v>
      </c>
      <c r="E30" s="25">
        <f>SUM(E17:E29)/SUM(D17:D29)*D30</f>
        <v>0.48137108792846495</v>
      </c>
      <c r="F30" s="28">
        <f t="shared" si="7"/>
        <v>0.26433676627834995</v>
      </c>
      <c r="G30" s="28">
        <f t="shared" si="8"/>
        <v>0.71748550846980697</v>
      </c>
      <c r="H30" s="28">
        <f t="shared" si="9"/>
        <v>1.8177725251843097E-2</v>
      </c>
      <c r="I30" s="31">
        <f>SUM(C30:E30)/B30</f>
        <v>6.9069825477121715E-3</v>
      </c>
      <c r="J30" s="34">
        <f t="shared" si="0"/>
        <v>7.0000000000000009</v>
      </c>
      <c r="K30" s="34">
        <f t="shared" si="1"/>
        <v>19</v>
      </c>
      <c r="L30" s="34">
        <f t="shared" si="2"/>
        <v>0.481371087928465</v>
      </c>
      <c r="M30" s="37">
        <v>2.690812995164063E-2</v>
      </c>
      <c r="N30" s="37">
        <v>0.23051631639003492</v>
      </c>
      <c r="O30" s="37">
        <v>0.52059774542338377</v>
      </c>
      <c r="P30" s="40">
        <v>7.3543863727355954E-2</v>
      </c>
      <c r="Q30" s="40">
        <v>0.84903056904588081</v>
      </c>
      <c r="R30" s="41">
        <v>1</v>
      </c>
      <c r="S30" s="43">
        <f t="shared" si="3"/>
        <v>7.5872093474604148</v>
      </c>
      <c r="T30" s="43">
        <f t="shared" si="4"/>
        <v>18.706196206536013</v>
      </c>
      <c r="U30" s="43">
        <f t="shared" si="5"/>
        <v>1.7316234527370504</v>
      </c>
      <c r="V30" s="45">
        <f t="shared" si="10"/>
        <v>0.34481481774488504</v>
      </c>
      <c r="W30" s="45">
        <f t="shared" si="6"/>
        <v>8.6320669053828861E-2</v>
      </c>
      <c r="X30" s="45">
        <f t="shared" si="6"/>
        <v>1.5631309757094602</v>
      </c>
    </row>
    <row r="31" spans="1:25">
      <c r="B31" s="218" t="s">
        <v>77</v>
      </c>
      <c r="C31" s="218"/>
      <c r="D31" s="218"/>
      <c r="E31" s="218"/>
      <c r="F31" s="88">
        <f>AVERAGE(F17:F30)</f>
        <v>0.2322180958110393</v>
      </c>
      <c r="G31" s="88">
        <f>AVERAGE(G17:G30)</f>
        <v>0.75232830864696765</v>
      </c>
      <c r="H31" s="88">
        <f>AVERAGE(H17:H30)</f>
        <v>1.5453595541993118E-2</v>
      </c>
      <c r="L31" s="47" t="s">
        <v>104</v>
      </c>
      <c r="M31" s="12">
        <f>AVERAGE(M17:M30)</f>
        <v>3.5319878628902117E-2</v>
      </c>
      <c r="N31" s="12">
        <f t="shared" ref="N31:R31" si="11">AVERAGE(N17:N30)</f>
        <v>0.24251724922409285</v>
      </c>
      <c r="O31" s="12">
        <f t="shared" si="11"/>
        <v>0.5461196911931081</v>
      </c>
      <c r="P31" s="12">
        <f t="shared" si="11"/>
        <v>6.8559041520399683E-2</v>
      </c>
      <c r="Q31" s="12">
        <f t="shared" si="11"/>
        <v>0.93171620729658622</v>
      </c>
      <c r="R31" s="12">
        <f t="shared" si="11"/>
        <v>1</v>
      </c>
    </row>
    <row r="32" spans="1:25" ht="21">
      <c r="B32" s="13" t="s">
        <v>88</v>
      </c>
      <c r="F32" s="14"/>
      <c r="G32" s="14"/>
      <c r="H32" s="14"/>
      <c r="I32" s="11"/>
      <c r="L32" s="47" t="s">
        <v>105</v>
      </c>
      <c r="M32" s="12">
        <f>MEDIAN(M17:M30)</f>
        <v>3.0478935661110023E-2</v>
      </c>
      <c r="N32" s="12">
        <f t="shared" ref="N32:R32" si="12">MEDIAN(N17:N30)</f>
        <v>0.2528964224281709</v>
      </c>
      <c r="O32" s="12">
        <f t="shared" si="12"/>
        <v>0.54894992569003476</v>
      </c>
      <c r="P32" s="12">
        <f t="shared" si="12"/>
        <v>5.9999166648080277E-2</v>
      </c>
      <c r="Q32" s="12">
        <f t="shared" si="12"/>
        <v>0.93365215998607876</v>
      </c>
      <c r="R32" s="12">
        <f t="shared" si="12"/>
        <v>1</v>
      </c>
      <c r="W32" s="47" t="s">
        <v>106</v>
      </c>
      <c r="X32" s="46">
        <f>SUM(V17:X30)</f>
        <v>15.595615355469258</v>
      </c>
      <c r="Y32" s="6" t="s">
        <v>101</v>
      </c>
    </row>
    <row r="33" spans="2:18" ht="19">
      <c r="B33" s="13" t="s">
        <v>89</v>
      </c>
      <c r="I33" s="11"/>
      <c r="L33" s="47" t="s">
        <v>112</v>
      </c>
      <c r="M33" s="29">
        <f>STDEV(M17:M30)</f>
        <v>2.2819259225901729E-2</v>
      </c>
      <c r="N33" s="29">
        <f t="shared" ref="N33:R33" si="13">STDEV(N17:N30)</f>
        <v>4.4529556333191653E-2</v>
      </c>
      <c r="O33" s="29">
        <f t="shared" si="13"/>
        <v>2.2638490418774231E-2</v>
      </c>
      <c r="P33" s="29">
        <f t="shared" si="13"/>
        <v>2.0746651715009442E-2</v>
      </c>
      <c r="Q33" s="29">
        <f t="shared" si="13"/>
        <v>3.8989062991734463E-2</v>
      </c>
      <c r="R33" s="50">
        <f t="shared" si="13"/>
        <v>0</v>
      </c>
    </row>
    <row r="34" spans="2:18">
      <c r="I34" s="11"/>
    </row>
  </sheetData>
  <mergeCells count="9">
    <mergeCell ref="B31:E31"/>
    <mergeCell ref="S14:U14"/>
    <mergeCell ref="V14:X14"/>
    <mergeCell ref="J14:L14"/>
    <mergeCell ref="M14:R14"/>
    <mergeCell ref="M15:O15"/>
    <mergeCell ref="P15:R15"/>
    <mergeCell ref="S15:U15"/>
    <mergeCell ref="V15:X15"/>
  </mergeCells>
  <hyperlinks>
    <hyperlink ref="B11" r:id="rId1" xr:uid="{B88A543B-0348-DA4D-9121-C42FFD2870FB}"/>
  </hyperlink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40F20-C8FD-3444-AC81-4E185027AE87}">
  <sheetPr codeName="Sheet11"/>
  <dimension ref="A1:G34"/>
  <sheetViews>
    <sheetView zoomScale="174" zoomScaleNormal="174" workbookViewId="0">
      <selection activeCell="A8" sqref="A8"/>
    </sheetView>
  </sheetViews>
  <sheetFormatPr baseColWidth="10" defaultRowHeight="16"/>
  <cols>
    <col min="1" max="1" width="22.83203125" style="3" customWidth="1"/>
    <col min="2" max="2" width="13.1640625" customWidth="1"/>
    <col min="3" max="3" width="14.33203125" customWidth="1"/>
    <col min="4" max="4" width="12.5" customWidth="1"/>
    <col min="5" max="5" width="14.5" customWidth="1"/>
  </cols>
  <sheetData>
    <row r="1" spans="1:7" s="4" customFormat="1" ht="28" customHeight="1">
      <c r="A1" s="52" t="s">
        <v>121</v>
      </c>
      <c r="G1" s="51" t="s">
        <v>114</v>
      </c>
    </row>
    <row r="2" spans="1:7" s="6" customFormat="1">
      <c r="A2" s="2" t="s">
        <v>14</v>
      </c>
      <c r="B2" s="2" t="s">
        <v>15</v>
      </c>
      <c r="C2" s="2" t="s">
        <v>16</v>
      </c>
      <c r="D2" s="2"/>
      <c r="E2" s="2"/>
    </row>
    <row r="3" spans="1:7" s="6" customFormat="1">
      <c r="A3" s="1" t="s">
        <v>125</v>
      </c>
      <c r="B3" s="58">
        <f>D22</f>
        <v>3831</v>
      </c>
      <c r="C3" s="63">
        <f>D23</f>
        <v>102.34011921040546</v>
      </c>
      <c r="D3" s="15"/>
    </row>
    <row r="4" spans="1:7" s="6" customFormat="1">
      <c r="A4" s="53"/>
      <c r="B4" s="15"/>
      <c r="C4" s="15"/>
      <c r="D4" s="15"/>
      <c r="F4" s="5"/>
    </row>
    <row r="5" spans="1:7" s="6" customFormat="1">
      <c r="A5" s="54"/>
    </row>
    <row r="6" spans="1:7" s="6" customFormat="1">
      <c r="A6" s="55" t="s">
        <v>91</v>
      </c>
      <c r="B6" s="6" t="s">
        <v>122</v>
      </c>
    </row>
    <row r="7" spans="1:7" s="6" customFormat="1">
      <c r="A7" s="55" t="s">
        <v>94</v>
      </c>
      <c r="B7" s="7" t="s">
        <v>124</v>
      </c>
    </row>
    <row r="8" spans="1:7">
      <c r="A8" s="3" t="s">
        <v>118</v>
      </c>
      <c r="B8" s="57" t="s">
        <v>123</v>
      </c>
    </row>
    <row r="10" spans="1:7">
      <c r="C10" s="3"/>
    </row>
    <row r="11" spans="1:7">
      <c r="C11" s="224" t="s">
        <v>128</v>
      </c>
      <c r="D11" s="224"/>
    </row>
    <row r="12" spans="1:7">
      <c r="C12" s="59" t="s">
        <v>126</v>
      </c>
      <c r="D12" s="59" t="s">
        <v>127</v>
      </c>
    </row>
    <row r="13" spans="1:7">
      <c r="C13" s="60">
        <v>1997</v>
      </c>
      <c r="D13" s="60">
        <v>3782</v>
      </c>
    </row>
    <row r="14" spans="1:7">
      <c r="C14" s="60">
        <v>1998</v>
      </c>
      <c r="D14" s="60">
        <v>4066</v>
      </c>
    </row>
    <row r="15" spans="1:7">
      <c r="C15" s="60">
        <v>1999</v>
      </c>
      <c r="D15" s="60">
        <v>3742</v>
      </c>
    </row>
    <row r="16" spans="1:7">
      <c r="C16" s="60">
        <v>2000</v>
      </c>
      <c r="D16" s="60">
        <v>3872</v>
      </c>
    </row>
    <row r="17" spans="2:4">
      <c r="C17" s="60">
        <v>2001</v>
      </c>
      <c r="D17" s="60">
        <v>3801</v>
      </c>
    </row>
    <row r="18" spans="2:4">
      <c r="C18" s="60">
        <v>2002</v>
      </c>
      <c r="D18" s="60">
        <v>3754</v>
      </c>
    </row>
    <row r="19" spans="2:4">
      <c r="C19" s="60">
        <v>2003</v>
      </c>
      <c r="D19" s="60">
        <v>3868</v>
      </c>
    </row>
    <row r="20" spans="2:4">
      <c r="C20" s="60">
        <v>2004</v>
      </c>
      <c r="D20" s="60">
        <v>3742</v>
      </c>
    </row>
    <row r="21" spans="2:4">
      <c r="C21" s="60">
        <v>2005</v>
      </c>
      <c r="D21" s="60">
        <v>3852</v>
      </c>
    </row>
    <row r="22" spans="2:4">
      <c r="C22" s="61" t="s">
        <v>104</v>
      </c>
      <c r="D22" s="62">
        <f>AVERAGE(D13:D21)</f>
        <v>3831</v>
      </c>
    </row>
    <row r="23" spans="2:4">
      <c r="C23" s="61" t="s">
        <v>112</v>
      </c>
      <c r="D23" s="62">
        <f>STDEV(D13:D21)</f>
        <v>102.34011921040546</v>
      </c>
    </row>
    <row r="27" spans="2:4">
      <c r="B27" s="64" t="s">
        <v>129</v>
      </c>
    </row>
    <row r="28" spans="2:4">
      <c r="B28" s="225" t="s">
        <v>131</v>
      </c>
      <c r="C28" s="225"/>
    </row>
    <row r="29" spans="2:4">
      <c r="B29" s="65" t="s">
        <v>130</v>
      </c>
      <c r="C29" s="65" t="s">
        <v>127</v>
      </c>
    </row>
    <row r="30" spans="2:4">
      <c r="B30" s="66" t="s">
        <v>115</v>
      </c>
      <c r="C30" s="66">
        <v>3257</v>
      </c>
    </row>
    <row r="31" spans="2:4">
      <c r="B31" s="66" t="s">
        <v>116</v>
      </c>
      <c r="C31" s="66">
        <v>4095</v>
      </c>
    </row>
    <row r="32" spans="2:4">
      <c r="B32" s="66" t="s">
        <v>117</v>
      </c>
      <c r="C32" s="66">
        <v>5149</v>
      </c>
    </row>
    <row r="33" spans="2:3">
      <c r="B33" s="61" t="s">
        <v>104</v>
      </c>
      <c r="C33" s="62">
        <f>AVERAGE(C30:C32)</f>
        <v>4167</v>
      </c>
    </row>
    <row r="34" spans="2:3">
      <c r="B34" s="61" t="s">
        <v>112</v>
      </c>
      <c r="C34" s="62">
        <f>STDEV(C30:C32)</f>
        <v>948.05274114892995</v>
      </c>
    </row>
  </sheetData>
  <mergeCells count="2">
    <mergeCell ref="C11:D11"/>
    <mergeCell ref="B28:C28"/>
  </mergeCells>
  <hyperlinks>
    <hyperlink ref="B8" r:id="rId1" xr:uid="{71A91B91-5D6B-4745-A44E-39E163051E86}"/>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DF83D-F6C8-C84B-9B2D-804DF05BB296}">
  <sheetPr codeName="Sheet12"/>
  <dimension ref="A1:J39"/>
  <sheetViews>
    <sheetView topLeftCell="A7" zoomScale="152" zoomScaleNormal="152" workbookViewId="0">
      <selection activeCell="G18" sqref="G18"/>
    </sheetView>
  </sheetViews>
  <sheetFormatPr baseColWidth="10" defaultRowHeight="16"/>
  <cols>
    <col min="1" max="1" width="17.1640625" customWidth="1"/>
    <col min="2" max="2" width="17.6640625" customWidth="1"/>
    <col min="3" max="3" width="12" customWidth="1"/>
    <col min="4" max="4" width="15.83203125" bestFit="1" customWidth="1"/>
    <col min="6" max="6" width="14.6640625" customWidth="1"/>
    <col min="7" max="7" width="15.33203125" customWidth="1"/>
  </cols>
  <sheetData>
    <row r="1" spans="1:4">
      <c r="A1" t="s">
        <v>233</v>
      </c>
    </row>
    <row r="2" spans="1:4">
      <c r="A2" t="s">
        <v>158</v>
      </c>
      <c r="B2" s="2" t="s">
        <v>14</v>
      </c>
      <c r="C2" s="2" t="s">
        <v>15</v>
      </c>
      <c r="D2" s="2" t="s">
        <v>16</v>
      </c>
    </row>
    <row r="3" spans="1:4">
      <c r="A3" t="str">
        <f>D25</f>
        <v>CC-Curr</v>
      </c>
      <c r="B3" s="1" t="s">
        <v>125</v>
      </c>
      <c r="C3" s="58">
        <f>I25</f>
        <v>49138898.203365818</v>
      </c>
      <c r="D3" s="63">
        <f>J25</f>
        <v>3527486.1162473494</v>
      </c>
    </row>
    <row r="4" spans="1:4">
      <c r="A4" t="str">
        <f t="shared" ref="A4:A16" si="0">D26</f>
        <v>CC-PNV</v>
      </c>
      <c r="B4" s="1" t="s">
        <v>125</v>
      </c>
      <c r="C4" s="58">
        <f t="shared" ref="C4:C16" si="1">I26</f>
        <v>51190101.424611047</v>
      </c>
      <c r="D4" s="63">
        <f t="shared" ref="D4:D16" si="2">J26</f>
        <v>3642068.1075150454</v>
      </c>
    </row>
    <row r="5" spans="1:4">
      <c r="A5" t="str">
        <f t="shared" si="0"/>
        <v>CC-HiPr</v>
      </c>
      <c r="B5" s="1" t="s">
        <v>125</v>
      </c>
      <c r="C5" s="58">
        <f t="shared" si="1"/>
        <v>49219743.62760222</v>
      </c>
      <c r="D5" s="63">
        <f t="shared" si="2"/>
        <v>3531813.2657327498</v>
      </c>
    </row>
    <row r="6" spans="1:4">
      <c r="A6" t="str">
        <f t="shared" si="0"/>
        <v>CC-WidPNV</v>
      </c>
      <c r="B6" s="1" t="s">
        <v>125</v>
      </c>
      <c r="C6" s="58">
        <f t="shared" si="1"/>
        <v>51190101.424611047</v>
      </c>
      <c r="D6" s="63">
        <f t="shared" si="2"/>
        <v>3642068.1075150454</v>
      </c>
    </row>
    <row r="7" spans="1:4">
      <c r="A7" t="str">
        <f t="shared" si="0"/>
        <v>CC-Clim</v>
      </c>
      <c r="B7" s="1" t="s">
        <v>125</v>
      </c>
      <c r="C7" s="58">
        <f t="shared" si="1"/>
        <v>31413049.454920705</v>
      </c>
      <c r="D7" s="63">
        <f t="shared" si="2"/>
        <v>2235883.7016239432</v>
      </c>
    </row>
    <row r="8" spans="1:4">
      <c r="A8" t="str">
        <f t="shared" si="0"/>
        <v>CC-ClimVeg</v>
      </c>
      <c r="B8" s="1" t="s">
        <v>125</v>
      </c>
      <c r="C8" s="58">
        <f t="shared" si="1"/>
        <v>48890065.044123471</v>
      </c>
      <c r="D8" s="63">
        <f t="shared" si="2"/>
        <v>3514270.9819312533</v>
      </c>
    </row>
    <row r="9" spans="1:4">
      <c r="A9" t="str">
        <f t="shared" si="0"/>
        <v>CC-ClimVegWid</v>
      </c>
      <c r="B9" s="1" t="s">
        <v>125</v>
      </c>
      <c r="C9" s="58">
        <f t="shared" si="1"/>
        <v>49716254.451472543</v>
      </c>
      <c r="D9" s="63">
        <f t="shared" si="2"/>
        <v>3558745.0183289396</v>
      </c>
    </row>
    <row r="10" spans="1:4">
      <c r="A10" t="str">
        <f t="shared" si="0"/>
        <v>UGR-Curr</v>
      </c>
      <c r="B10" s="1" t="s">
        <v>125</v>
      </c>
      <c r="C10" s="58">
        <f t="shared" si="1"/>
        <v>54394273.097957537</v>
      </c>
      <c r="D10" s="63">
        <f t="shared" si="2"/>
        <v>18597659.549912196</v>
      </c>
    </row>
    <row r="11" spans="1:4">
      <c r="A11" t="str">
        <f t="shared" si="0"/>
        <v>UGR-PNV</v>
      </c>
      <c r="B11" s="1" t="s">
        <v>125</v>
      </c>
      <c r="C11" s="58">
        <f t="shared" si="1"/>
        <v>99336948.102898568</v>
      </c>
      <c r="D11" s="63">
        <f t="shared" si="2"/>
        <v>35733049.590448946</v>
      </c>
    </row>
    <row r="12" spans="1:4">
      <c r="A12" t="str">
        <f t="shared" si="0"/>
        <v>UGR-HiPr</v>
      </c>
      <c r="B12" s="1" t="s">
        <v>125</v>
      </c>
      <c r="C12" s="58">
        <f t="shared" si="1"/>
        <v>70410836.338184536</v>
      </c>
      <c r="D12" s="63">
        <f t="shared" si="2"/>
        <v>24096298.112041097</v>
      </c>
    </row>
    <row r="13" spans="1:4">
      <c r="A13" t="str">
        <f t="shared" si="0"/>
        <v>UGR-WidPNV</v>
      </c>
      <c r="B13" s="1" t="s">
        <v>125</v>
      </c>
      <c r="C13" s="58">
        <f t="shared" si="1"/>
        <v>99336948.102898568</v>
      </c>
      <c r="D13" s="63">
        <f t="shared" si="2"/>
        <v>35733049.590448946</v>
      </c>
    </row>
    <row r="14" spans="1:4">
      <c r="A14" t="str">
        <f t="shared" si="0"/>
        <v>UGR-Clim</v>
      </c>
      <c r="B14" s="1" t="s">
        <v>125</v>
      </c>
      <c r="C14" s="58">
        <f t="shared" si="1"/>
        <v>22010640.4777859</v>
      </c>
      <c r="D14" s="63">
        <f t="shared" si="2"/>
        <v>8533906.2247610614</v>
      </c>
    </row>
    <row r="15" spans="1:4">
      <c r="A15" t="str">
        <f t="shared" si="0"/>
        <v>UGR-ClimVeg</v>
      </c>
      <c r="B15" s="1" t="s">
        <v>125</v>
      </c>
      <c r="C15" s="58">
        <f t="shared" si="1"/>
        <v>54560697.252019271</v>
      </c>
      <c r="D15" s="63">
        <f t="shared" si="2"/>
        <v>18682741.867810909</v>
      </c>
    </row>
    <row r="16" spans="1:4">
      <c r="A16" t="str">
        <f t="shared" si="0"/>
        <v>UGR-ClimVegWid</v>
      </c>
      <c r="B16" s="1" t="s">
        <v>125</v>
      </c>
      <c r="C16" s="58">
        <f t="shared" si="1"/>
        <v>59886501.146239229</v>
      </c>
      <c r="D16" s="63">
        <f t="shared" si="2"/>
        <v>20199528.758985635</v>
      </c>
    </row>
    <row r="22" spans="2:10">
      <c r="C22" s="108" t="s">
        <v>180</v>
      </c>
    </row>
    <row r="23" spans="2:10" ht="24">
      <c r="B23" s="109"/>
      <c r="C23" s="109" t="s">
        <v>181</v>
      </c>
    </row>
    <row r="24" spans="2:10">
      <c r="B24" s="112" t="s">
        <v>43</v>
      </c>
      <c r="C24" s="112" t="s">
        <v>45</v>
      </c>
      <c r="D24" t="s">
        <v>158</v>
      </c>
      <c r="E24" s="112" t="s">
        <v>162</v>
      </c>
      <c r="F24" s="112" t="s">
        <v>183</v>
      </c>
      <c r="G24" s="112" t="s">
        <v>184</v>
      </c>
      <c r="H24" s="112" t="s">
        <v>185</v>
      </c>
      <c r="I24" s="112" t="s">
        <v>186</v>
      </c>
      <c r="J24" s="112" t="s">
        <v>187</v>
      </c>
    </row>
    <row r="25" spans="2:10">
      <c r="B25" s="114" t="s">
        <v>25</v>
      </c>
      <c r="C25" s="114" t="s">
        <v>46</v>
      </c>
      <c r="D25" s="114" t="str">
        <f>B25&amp;"-"&amp;C25</f>
        <v>CC-Curr</v>
      </c>
      <c r="E25" s="114">
        <v>5</v>
      </c>
      <c r="F25" s="115">
        <v>12826.650535986901</v>
      </c>
      <c r="G25" s="116">
        <v>920.77424073279803</v>
      </c>
      <c r="H25" s="117">
        <f>G25/F25</f>
        <v>7.1786023806405391E-2</v>
      </c>
      <c r="I25" s="118">
        <f>F25*3831</f>
        <v>49138898.203365818</v>
      </c>
      <c r="J25" s="118">
        <f>G25*3831</f>
        <v>3527486.1162473494</v>
      </c>
    </row>
    <row r="26" spans="2:10">
      <c r="B26" s="114" t="s">
        <v>25</v>
      </c>
      <c r="C26" s="114" t="s">
        <v>47</v>
      </c>
      <c r="D26" s="114" t="str">
        <f t="shared" ref="D26:D38" si="3">B26&amp;"-"&amp;C26</f>
        <v>CC-PNV</v>
      </c>
      <c r="E26" s="114">
        <v>5</v>
      </c>
      <c r="F26" s="116">
        <v>13362.072937773701</v>
      </c>
      <c r="G26" s="116">
        <v>950.68340055208705</v>
      </c>
      <c r="H26" s="117">
        <f t="shared" ref="H26:H38" si="4">G26/F26</f>
        <v>7.1147897858315656E-2</v>
      </c>
      <c r="I26" s="118">
        <f>F26*3831</f>
        <v>51190101.424611047</v>
      </c>
      <c r="J26" s="118">
        <f t="shared" ref="J26:J38" si="5">G26*3831</f>
        <v>3642068.1075150454</v>
      </c>
    </row>
    <row r="27" spans="2:10">
      <c r="B27" s="114" t="s">
        <v>25</v>
      </c>
      <c r="C27" s="114" t="s">
        <v>48</v>
      </c>
      <c r="D27" s="114" t="str">
        <f t="shared" si="3"/>
        <v>CC-HiPr</v>
      </c>
      <c r="E27" s="114">
        <v>5</v>
      </c>
      <c r="F27" s="116">
        <v>12847.7534919348</v>
      </c>
      <c r="G27" s="116">
        <v>921.90374986498296</v>
      </c>
      <c r="H27" s="117">
        <f t="shared" si="4"/>
        <v>7.1756027265288805E-2</v>
      </c>
      <c r="I27" s="118">
        <f t="shared" ref="I27:I38" si="6">F27*3831</f>
        <v>49219743.62760222</v>
      </c>
      <c r="J27" s="118">
        <f t="shared" si="5"/>
        <v>3531813.2657327498</v>
      </c>
    </row>
    <row r="28" spans="2:10">
      <c r="B28" s="114" t="s">
        <v>25</v>
      </c>
      <c r="C28" s="114" t="s">
        <v>193</v>
      </c>
      <c r="D28" s="114" t="str">
        <f t="shared" si="3"/>
        <v>CC-WidPNV</v>
      </c>
      <c r="E28" s="114">
        <v>5</v>
      </c>
      <c r="F28" s="116">
        <v>13362.072937773701</v>
      </c>
      <c r="G28" s="116">
        <v>950.68340055208705</v>
      </c>
      <c r="H28" s="117">
        <f t="shared" si="4"/>
        <v>7.1147897858315656E-2</v>
      </c>
      <c r="I28" s="118">
        <f t="shared" si="6"/>
        <v>51190101.424611047</v>
      </c>
      <c r="J28" s="118">
        <f>G28*3831</f>
        <v>3642068.1075150454</v>
      </c>
    </row>
    <row r="29" spans="2:10">
      <c r="B29" s="114" t="s">
        <v>25</v>
      </c>
      <c r="C29" s="114" t="s">
        <v>49</v>
      </c>
      <c r="D29" s="114" t="str">
        <f t="shared" si="3"/>
        <v>CC-Clim</v>
      </c>
      <c r="E29" s="114">
        <v>5</v>
      </c>
      <c r="F29" s="116">
        <v>8199.6996749988793</v>
      </c>
      <c r="G29" s="116">
        <v>583.62926171337597</v>
      </c>
      <c r="H29" s="117">
        <f t="shared" si="4"/>
        <v>7.1176907063179209E-2</v>
      </c>
      <c r="I29" s="118">
        <f t="shared" si="6"/>
        <v>31413049.454920705</v>
      </c>
      <c r="J29" s="118">
        <f t="shared" si="5"/>
        <v>2235883.7016239432</v>
      </c>
    </row>
    <row r="30" spans="2:10">
      <c r="B30" s="114" t="s">
        <v>25</v>
      </c>
      <c r="C30" s="114" t="s">
        <v>50</v>
      </c>
      <c r="D30" s="114" t="str">
        <f t="shared" si="3"/>
        <v>CC-ClimVeg</v>
      </c>
      <c r="E30" s="114">
        <v>5</v>
      </c>
      <c r="F30" s="116">
        <v>12761.698001598401</v>
      </c>
      <c r="G30" s="116">
        <v>917.32471467795699</v>
      </c>
      <c r="H30" s="117">
        <f t="shared" si="4"/>
        <v>7.1881086244405895E-2</v>
      </c>
      <c r="I30" s="118">
        <f t="shared" si="6"/>
        <v>48890065.044123471</v>
      </c>
      <c r="J30" s="118">
        <f t="shared" si="5"/>
        <v>3514270.9819312533</v>
      </c>
    </row>
    <row r="31" spans="2:10">
      <c r="B31" s="114" t="s">
        <v>25</v>
      </c>
      <c r="C31" s="114" t="s">
        <v>51</v>
      </c>
      <c r="D31" s="114" t="str">
        <f t="shared" si="3"/>
        <v>CC-ClimVegWid</v>
      </c>
      <c r="E31" s="114">
        <v>5</v>
      </c>
      <c r="F31" s="116">
        <v>12977.356943741201</v>
      </c>
      <c r="G31" s="116">
        <v>928.93370355754098</v>
      </c>
      <c r="H31" s="117">
        <f t="shared" si="4"/>
        <v>7.1581116831771568E-2</v>
      </c>
      <c r="I31" s="118">
        <f t="shared" si="6"/>
        <v>49716254.451472543</v>
      </c>
      <c r="J31" s="118">
        <f t="shared" si="5"/>
        <v>3558745.0183289396</v>
      </c>
    </row>
    <row r="32" spans="2:10">
      <c r="B32" s="125" t="s">
        <v>44</v>
      </c>
      <c r="C32" s="125" t="s">
        <v>46</v>
      </c>
      <c r="D32" s="125" t="str">
        <f t="shared" si="3"/>
        <v>UGR-Curr</v>
      </c>
      <c r="E32" s="125">
        <v>5</v>
      </c>
      <c r="F32" s="126">
        <v>14198.4529099341</v>
      </c>
      <c r="G32" s="127">
        <v>4854.51828502015</v>
      </c>
      <c r="H32" s="128">
        <f t="shared" si="4"/>
        <v>0.34190473538308064</v>
      </c>
      <c r="I32" s="129">
        <f t="shared" si="6"/>
        <v>54394273.097957537</v>
      </c>
      <c r="J32" s="129">
        <f t="shared" si="5"/>
        <v>18597659.549912196</v>
      </c>
    </row>
    <row r="33" spans="2:10">
      <c r="B33" s="125" t="s">
        <v>44</v>
      </c>
      <c r="C33" s="125" t="s">
        <v>47</v>
      </c>
      <c r="D33" s="125" t="str">
        <f t="shared" si="3"/>
        <v>UGR-PNV</v>
      </c>
      <c r="E33" s="125">
        <v>5</v>
      </c>
      <c r="F33" s="127">
        <v>25929.769799764701</v>
      </c>
      <c r="G33" s="127">
        <v>9327.3426234531307</v>
      </c>
      <c r="H33" s="128">
        <f t="shared" si="4"/>
        <v>0.35971559699453143</v>
      </c>
      <c r="I33" s="129">
        <f t="shared" si="6"/>
        <v>99336948.102898568</v>
      </c>
      <c r="J33" s="129">
        <f t="shared" si="5"/>
        <v>35733049.590448946</v>
      </c>
    </row>
    <row r="34" spans="2:10">
      <c r="B34" s="125" t="s">
        <v>44</v>
      </c>
      <c r="C34" s="125" t="s">
        <v>48</v>
      </c>
      <c r="D34" s="125" t="str">
        <f t="shared" si="3"/>
        <v>UGR-HiPr</v>
      </c>
      <c r="E34" s="125">
        <v>5</v>
      </c>
      <c r="F34" s="127">
        <v>18379.231620512801</v>
      </c>
      <c r="G34" s="127">
        <v>6289.8193975570603</v>
      </c>
      <c r="H34" s="128">
        <f t="shared" si="4"/>
        <v>0.34222428485732131</v>
      </c>
      <c r="I34" s="129">
        <f t="shared" si="6"/>
        <v>70410836.338184536</v>
      </c>
      <c r="J34" s="129">
        <f t="shared" si="5"/>
        <v>24096298.112041097</v>
      </c>
    </row>
    <row r="35" spans="2:10">
      <c r="B35" s="125" t="s">
        <v>44</v>
      </c>
      <c r="C35" s="125" t="s">
        <v>193</v>
      </c>
      <c r="D35" s="125" t="str">
        <f t="shared" si="3"/>
        <v>UGR-WidPNV</v>
      </c>
      <c r="E35" s="125">
        <v>5</v>
      </c>
      <c r="F35" s="127">
        <v>25929.769799764701</v>
      </c>
      <c r="G35" s="127">
        <v>9327.3426234531307</v>
      </c>
      <c r="H35" s="128">
        <f t="shared" si="4"/>
        <v>0.35971559699453143</v>
      </c>
      <c r="I35" s="129">
        <f t="shared" si="6"/>
        <v>99336948.102898568</v>
      </c>
      <c r="J35" s="129">
        <f t="shared" si="5"/>
        <v>35733049.590448946</v>
      </c>
    </row>
    <row r="36" spans="2:10">
      <c r="B36" s="125" t="s">
        <v>44</v>
      </c>
      <c r="C36" s="125" t="s">
        <v>49</v>
      </c>
      <c r="D36" s="125" t="str">
        <f t="shared" si="3"/>
        <v>UGR-Clim</v>
      </c>
      <c r="E36" s="125">
        <v>5</v>
      </c>
      <c r="F36" s="127">
        <v>5745.4034136742102</v>
      </c>
      <c r="G36" s="127">
        <v>2227.59233222685</v>
      </c>
      <c r="H36" s="128">
        <f t="shared" si="4"/>
        <v>0.38771730579007246</v>
      </c>
      <c r="I36" s="129">
        <f t="shared" si="6"/>
        <v>22010640.4777859</v>
      </c>
      <c r="J36" s="129">
        <f t="shared" si="5"/>
        <v>8533906.2247610614</v>
      </c>
    </row>
    <row r="37" spans="2:10">
      <c r="B37" s="125" t="s">
        <v>44</v>
      </c>
      <c r="C37" s="125" t="s">
        <v>50</v>
      </c>
      <c r="D37" s="125" t="str">
        <f t="shared" si="3"/>
        <v>UGR-ClimVeg</v>
      </c>
      <c r="E37" s="125">
        <v>5</v>
      </c>
      <c r="F37" s="127">
        <v>14241.8943492611</v>
      </c>
      <c r="G37" s="127">
        <v>4876.7271907624399</v>
      </c>
      <c r="H37" s="128">
        <f t="shared" si="4"/>
        <v>0.34242124475635188</v>
      </c>
      <c r="I37" s="129">
        <f t="shared" si="6"/>
        <v>54560697.252019271</v>
      </c>
      <c r="J37" s="129">
        <f t="shared" si="5"/>
        <v>18682741.867810909</v>
      </c>
    </row>
    <row r="38" spans="2:10">
      <c r="B38" s="125" t="s">
        <v>44</v>
      </c>
      <c r="C38" s="125" t="s">
        <v>51</v>
      </c>
      <c r="D38" s="125" t="str">
        <f t="shared" si="3"/>
        <v>UGR-ClimVegWid</v>
      </c>
      <c r="E38" s="125">
        <v>5</v>
      </c>
      <c r="F38" s="127">
        <v>15632.0806959643</v>
      </c>
      <c r="G38" s="127">
        <v>5272.6517251332898</v>
      </c>
      <c r="H38" s="128">
        <f t="shared" si="4"/>
        <v>0.33729685943180415</v>
      </c>
      <c r="I38" s="129">
        <f t="shared" si="6"/>
        <v>59886501.146239229</v>
      </c>
      <c r="J38" s="129">
        <f t="shared" si="5"/>
        <v>20199528.758985635</v>
      </c>
    </row>
    <row r="39" spans="2:10">
      <c r="B39" s="162" t="s">
        <v>194</v>
      </c>
      <c r="C39" s="161"/>
      <c r="D39" s="161"/>
      <c r="E39" s="161"/>
      <c r="F39" s="161"/>
      <c r="G39" s="161"/>
      <c r="H39" s="161"/>
      <c r="I39" s="161"/>
      <c r="J39" s="161"/>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EEA76-2D0E-164D-BC16-A3E8F4EE9197}">
  <sheetPr codeName="Sheet13"/>
  <dimension ref="A1:O35"/>
  <sheetViews>
    <sheetView zoomScale="134" zoomScaleNormal="134" workbookViewId="0">
      <selection activeCell="P15" sqref="P15"/>
    </sheetView>
  </sheetViews>
  <sheetFormatPr baseColWidth="10" defaultRowHeight="16"/>
  <cols>
    <col min="1" max="1" width="22.5" customWidth="1"/>
    <col min="2" max="2" width="22.1640625" bestFit="1" customWidth="1"/>
    <col min="3" max="3" width="18" customWidth="1"/>
    <col min="4" max="4" width="18.6640625" customWidth="1"/>
  </cols>
  <sheetData>
    <row r="1" spans="1:15" ht="21">
      <c r="A1" s="67" t="s">
        <v>170</v>
      </c>
      <c r="B1" s="1"/>
      <c r="C1" s="1"/>
      <c r="D1" s="1"/>
      <c r="E1" s="1"/>
      <c r="F1" s="1"/>
      <c r="G1" s="102" t="s">
        <v>178</v>
      </c>
      <c r="H1" s="1"/>
      <c r="I1" s="1"/>
      <c r="J1" s="1"/>
      <c r="K1" s="1"/>
      <c r="L1" s="1"/>
      <c r="M1" s="1"/>
      <c r="N1" s="1"/>
    </row>
    <row r="2" spans="1:15" s="104" customFormat="1">
      <c r="A2" s="105" t="s">
        <v>43</v>
      </c>
      <c r="B2" s="2" t="s">
        <v>14</v>
      </c>
      <c r="C2" s="92" t="s">
        <v>15</v>
      </c>
      <c r="D2" s="92" t="s">
        <v>16</v>
      </c>
      <c r="E2" s="103"/>
      <c r="F2" s="103"/>
      <c r="G2" s="103"/>
      <c r="H2" s="102"/>
      <c r="I2" s="103"/>
      <c r="J2" s="103"/>
      <c r="K2" s="103"/>
      <c r="L2" s="103"/>
      <c r="M2" s="103"/>
      <c r="N2" s="103"/>
      <c r="O2" s="103"/>
    </row>
    <row r="3" spans="1:15" s="104" customFormat="1">
      <c r="A3" s="104" t="s">
        <v>25</v>
      </c>
      <c r="B3" s="106" t="s">
        <v>179</v>
      </c>
      <c r="C3" s="107">
        <f>L12</f>
        <v>0.67600000000000005</v>
      </c>
      <c r="D3" s="107">
        <f>O12</f>
        <v>0.14189382993759533</v>
      </c>
      <c r="E3" s="103"/>
      <c r="F3" s="103"/>
      <c r="G3" s="103"/>
      <c r="H3" s="102"/>
      <c r="I3" s="103"/>
      <c r="J3" s="103"/>
      <c r="K3" s="103"/>
      <c r="L3" s="103"/>
      <c r="M3" s="103"/>
      <c r="N3" s="103"/>
      <c r="O3" s="103"/>
    </row>
    <row r="4" spans="1:15" s="104" customFormat="1">
      <c r="A4" s="106" t="s">
        <v>44</v>
      </c>
      <c r="B4" s="106" t="s">
        <v>179</v>
      </c>
      <c r="C4" s="107">
        <f>L13</f>
        <v>0.44700000000000001</v>
      </c>
      <c r="D4" s="107">
        <f>O13</f>
        <v>0.13194452991450242</v>
      </c>
      <c r="E4" s="103"/>
      <c r="F4" s="103"/>
      <c r="G4" s="102"/>
      <c r="H4" s="103"/>
      <c r="I4" s="103"/>
      <c r="J4" s="103"/>
      <c r="K4" s="103"/>
      <c r="L4" s="103"/>
      <c r="M4" s="103"/>
      <c r="N4" s="103"/>
    </row>
    <row r="5" spans="1:15" s="104" customFormat="1">
      <c r="A5" s="90"/>
      <c r="B5" s="103"/>
      <c r="C5" s="103"/>
      <c r="D5" s="103"/>
      <c r="E5" s="103"/>
      <c r="F5" s="103"/>
      <c r="G5" s="102"/>
      <c r="H5" s="103"/>
      <c r="I5" s="103"/>
      <c r="J5" s="103"/>
      <c r="K5" s="103"/>
      <c r="L5" s="103"/>
      <c r="M5" s="103"/>
      <c r="N5" s="103"/>
    </row>
    <row r="6" spans="1:15">
      <c r="A6" t="s">
        <v>171</v>
      </c>
    </row>
    <row r="9" spans="1:15" ht="50" customHeight="1">
      <c r="B9" s="93" t="s">
        <v>43</v>
      </c>
      <c r="C9" s="94" t="s">
        <v>172</v>
      </c>
      <c r="D9" s="94" t="s">
        <v>173</v>
      </c>
      <c r="E9" s="94" t="s">
        <v>174</v>
      </c>
      <c r="F9" s="94" t="s">
        <v>175</v>
      </c>
      <c r="G9" s="94" t="s">
        <v>176</v>
      </c>
    </row>
    <row r="10" spans="1:15" ht="24">
      <c r="B10" s="95" t="s">
        <v>25</v>
      </c>
      <c r="C10" s="96">
        <v>2000</v>
      </c>
      <c r="D10" s="96">
        <v>0.47599999999999998</v>
      </c>
      <c r="E10" s="96">
        <v>1.4E-2</v>
      </c>
      <c r="F10" s="96">
        <v>0.44800000000000001</v>
      </c>
      <c r="G10" s="96">
        <v>0.504</v>
      </c>
      <c r="I10" s="226" t="s">
        <v>177</v>
      </c>
      <c r="J10" s="226"/>
      <c r="K10" s="226"/>
      <c r="L10" s="226"/>
      <c r="M10" s="226"/>
      <c r="N10" s="226"/>
      <c r="O10" s="226"/>
    </row>
    <row r="11" spans="1:15">
      <c r="B11" s="95" t="s">
        <v>25</v>
      </c>
      <c r="C11" s="96">
        <v>2001</v>
      </c>
      <c r="D11" s="96">
        <v>0.62</v>
      </c>
      <c r="E11" s="96">
        <v>6.0000000000000001E-3</v>
      </c>
      <c r="F11" s="96">
        <v>0.60899999999999999</v>
      </c>
      <c r="G11" s="96">
        <v>0.63100000000000001</v>
      </c>
      <c r="I11" s="97" t="s">
        <v>43</v>
      </c>
      <c r="J11" s="98" t="s">
        <v>152</v>
      </c>
      <c r="K11" s="98" t="s">
        <v>153</v>
      </c>
      <c r="L11" s="98" t="s">
        <v>154</v>
      </c>
      <c r="M11" s="98" t="s">
        <v>155</v>
      </c>
      <c r="N11" s="98" t="s">
        <v>156</v>
      </c>
      <c r="O11" s="98" t="s">
        <v>166</v>
      </c>
    </row>
    <row r="12" spans="1:15">
      <c r="B12" s="95" t="s">
        <v>25</v>
      </c>
      <c r="C12" s="96">
        <v>2002</v>
      </c>
      <c r="D12" s="96">
        <v>0.76300000000000001</v>
      </c>
      <c r="E12" s="96">
        <v>1.7000000000000001E-2</v>
      </c>
      <c r="F12" s="96">
        <v>0.72799999999999998</v>
      </c>
      <c r="G12" s="96">
        <v>0.79500000000000004</v>
      </c>
      <c r="I12" s="97" t="s">
        <v>25</v>
      </c>
      <c r="J12" s="99">
        <f>MIN($D$10:$D$22)</f>
        <v>0.39900000000000002</v>
      </c>
      <c r="K12" s="99">
        <f>PERCENTILE($D$10:$D$22, 0.25)</f>
        <v>0.496</v>
      </c>
      <c r="L12" s="99">
        <f>PERCENTILE($D$10:$D$22, 0.5)</f>
        <v>0.67600000000000005</v>
      </c>
      <c r="M12" s="99">
        <f>PERCENTILE($D$10:$D$22, 0.75)</f>
        <v>0.751</v>
      </c>
      <c r="N12" s="99">
        <f>MAX($D$10:$D$22)</f>
        <v>0.77300000000000002</v>
      </c>
      <c r="O12" s="99">
        <f>STDEV($D$10:$D$22)</f>
        <v>0.14189382993759533</v>
      </c>
    </row>
    <row r="13" spans="1:15">
      <c r="B13" s="95" t="s">
        <v>25</v>
      </c>
      <c r="C13" s="96">
        <v>2003</v>
      </c>
      <c r="D13" s="96">
        <v>0.496</v>
      </c>
      <c r="E13" s="96">
        <v>1.4E-2</v>
      </c>
      <c r="F13" s="96">
        <v>0.46899999999999997</v>
      </c>
      <c r="G13" s="96">
        <v>0.52300000000000002</v>
      </c>
      <c r="I13" s="97" t="s">
        <v>44</v>
      </c>
      <c r="J13" s="99">
        <f>MIN($D$23:$D$35)</f>
        <v>0.17799999999999999</v>
      </c>
      <c r="K13" s="99">
        <f>PERCENTILE($D$23:$D$35, 0.25)</f>
        <v>0.40500000000000003</v>
      </c>
      <c r="L13" s="99">
        <f>PERCENTILE($D$23:$D$35, 0.5)</f>
        <v>0.44700000000000001</v>
      </c>
      <c r="M13" s="99">
        <f>PERCENTILE($D$23:$D$35, 0.75)</f>
        <v>0.52300000000000002</v>
      </c>
      <c r="N13" s="99">
        <f>MAX($D$23:$D$35)</f>
        <v>0.7</v>
      </c>
      <c r="O13" s="99">
        <f>STDEV($D$23:$D$35)</f>
        <v>0.13194452991450242</v>
      </c>
    </row>
    <row r="14" spans="1:15">
      <c r="B14" s="95" t="s">
        <v>25</v>
      </c>
      <c r="C14" s="96">
        <v>2004</v>
      </c>
      <c r="D14" s="96">
        <v>0.40400000000000003</v>
      </c>
      <c r="E14" s="96">
        <v>2.1000000000000001E-2</v>
      </c>
      <c r="F14" s="96">
        <v>0.36499999999999999</v>
      </c>
      <c r="G14" s="96">
        <v>0.44500000000000001</v>
      </c>
    </row>
    <row r="15" spans="1:15">
      <c r="B15" s="95" t="s">
        <v>25</v>
      </c>
      <c r="C15" s="96">
        <v>2005</v>
      </c>
      <c r="D15" s="96">
        <v>0.39900000000000002</v>
      </c>
      <c r="E15" s="96">
        <v>1.9E-2</v>
      </c>
      <c r="F15" s="96">
        <v>0.36199999999999999</v>
      </c>
      <c r="G15" s="96">
        <v>0.437</v>
      </c>
    </row>
    <row r="16" spans="1:15">
      <c r="B16" s="95" t="s">
        <v>25</v>
      </c>
      <c r="C16" s="96">
        <v>2006</v>
      </c>
      <c r="D16" s="96">
        <v>0.67600000000000005</v>
      </c>
      <c r="E16" s="96">
        <v>4.2999999999999997E-2</v>
      </c>
      <c r="F16" s="96">
        <v>0.58699999999999997</v>
      </c>
      <c r="G16" s="96">
        <v>0.754</v>
      </c>
    </row>
    <row r="17" spans="2:7">
      <c r="B17" s="95" t="s">
        <v>25</v>
      </c>
      <c r="C17" s="96">
        <v>2007</v>
      </c>
      <c r="D17" s="96">
        <v>0.73099999999999998</v>
      </c>
      <c r="E17" s="96">
        <v>4.2999999999999997E-2</v>
      </c>
      <c r="F17" s="96">
        <v>0.63900000000000001</v>
      </c>
      <c r="G17" s="96">
        <v>0.80600000000000005</v>
      </c>
    </row>
    <row r="18" spans="2:7">
      <c r="B18" s="95" t="s">
        <v>25</v>
      </c>
      <c r="C18" s="96">
        <v>2008</v>
      </c>
      <c r="D18" s="96">
        <v>0.77300000000000002</v>
      </c>
      <c r="E18" s="96">
        <v>3.5000000000000003E-2</v>
      </c>
      <c r="F18" s="96">
        <v>0.69799999999999995</v>
      </c>
      <c r="G18" s="96">
        <v>0.83399999999999996</v>
      </c>
    </row>
    <row r="19" spans="2:7">
      <c r="B19" s="95" t="s">
        <v>25</v>
      </c>
      <c r="C19" s="96">
        <v>2009</v>
      </c>
      <c r="D19" s="96">
        <v>0.749</v>
      </c>
      <c r="E19" s="96">
        <v>4.2000000000000003E-2</v>
      </c>
      <c r="F19" s="96">
        <v>0.65800000000000003</v>
      </c>
      <c r="G19" s="96">
        <v>0.82199999999999995</v>
      </c>
    </row>
    <row r="20" spans="2:7">
      <c r="B20" s="95" t="s">
        <v>25</v>
      </c>
      <c r="C20" s="96">
        <v>2010</v>
      </c>
      <c r="D20" s="96">
        <v>0.751</v>
      </c>
      <c r="E20" s="96">
        <v>4.9000000000000002E-2</v>
      </c>
      <c r="F20" s="96">
        <v>0.64300000000000002</v>
      </c>
      <c r="G20" s="96">
        <v>0.83499999999999996</v>
      </c>
    </row>
    <row r="21" spans="2:7">
      <c r="B21" s="95" t="s">
        <v>25</v>
      </c>
      <c r="C21" s="96">
        <v>2011</v>
      </c>
      <c r="D21" s="96">
        <v>0.75700000000000001</v>
      </c>
      <c r="E21" s="96">
        <v>4.4999999999999998E-2</v>
      </c>
      <c r="F21" s="96">
        <v>0.65800000000000003</v>
      </c>
      <c r="G21" s="96">
        <v>0.83499999999999996</v>
      </c>
    </row>
    <row r="22" spans="2:7">
      <c r="B22" s="95" t="s">
        <v>25</v>
      </c>
      <c r="C22" s="96">
        <v>2012</v>
      </c>
      <c r="D22" s="96">
        <v>0.64400000000000002</v>
      </c>
      <c r="E22" s="96">
        <v>0.05</v>
      </c>
      <c r="F22" s="96">
        <v>0.54200000000000004</v>
      </c>
      <c r="G22" s="96">
        <v>0.73399999999999999</v>
      </c>
    </row>
    <row r="23" spans="2:7">
      <c r="B23" s="100" t="s">
        <v>44</v>
      </c>
      <c r="C23" s="101">
        <v>2000</v>
      </c>
      <c r="D23" s="101">
        <v>0.38600000000000001</v>
      </c>
      <c r="E23" s="101">
        <v>2.4E-2</v>
      </c>
      <c r="F23" s="101">
        <v>0.34200000000000003</v>
      </c>
      <c r="G23" s="101">
        <v>0.434</v>
      </c>
    </row>
    <row r="24" spans="2:7">
      <c r="B24" s="100" t="s">
        <v>44</v>
      </c>
      <c r="C24" s="101">
        <v>2001</v>
      </c>
      <c r="D24" s="101">
        <v>0.44700000000000001</v>
      </c>
      <c r="E24" s="101">
        <v>2.4E-2</v>
      </c>
      <c r="F24" s="101">
        <v>0.4</v>
      </c>
      <c r="G24" s="101">
        <v>0.495</v>
      </c>
    </row>
    <row r="25" spans="2:7">
      <c r="B25" s="100" t="s">
        <v>44</v>
      </c>
      <c r="C25" s="101">
        <v>2002</v>
      </c>
      <c r="D25" s="101">
        <v>0.434</v>
      </c>
      <c r="E25" s="101">
        <v>0.02</v>
      </c>
      <c r="F25" s="101">
        <v>0.39500000000000002</v>
      </c>
      <c r="G25" s="101">
        <v>0.47499999999999998</v>
      </c>
    </row>
    <row r="26" spans="2:7">
      <c r="B26" s="100" t="s">
        <v>44</v>
      </c>
      <c r="C26" s="101">
        <v>2003</v>
      </c>
      <c r="D26" s="101">
        <v>0.40500000000000003</v>
      </c>
      <c r="E26" s="101">
        <v>1.7000000000000001E-2</v>
      </c>
      <c r="F26" s="101">
        <v>0.372</v>
      </c>
      <c r="G26" s="101">
        <v>0.44</v>
      </c>
    </row>
    <row r="27" spans="2:7">
      <c r="B27" s="100" t="s">
        <v>44</v>
      </c>
      <c r="C27" s="101">
        <v>2004</v>
      </c>
      <c r="D27" s="101">
        <v>0.36499999999999999</v>
      </c>
      <c r="E27" s="101">
        <v>2.1999999999999999E-2</v>
      </c>
      <c r="F27" s="101">
        <v>0.32400000000000001</v>
      </c>
      <c r="G27" s="101">
        <v>0.40899999999999997</v>
      </c>
    </row>
    <row r="28" spans="2:7">
      <c r="B28" s="100" t="s">
        <v>44</v>
      </c>
      <c r="C28" s="101">
        <v>2005</v>
      </c>
      <c r="D28" s="101">
        <v>0.17799999999999999</v>
      </c>
      <c r="E28" s="101">
        <v>1.4E-2</v>
      </c>
      <c r="F28" s="101">
        <v>0.152</v>
      </c>
      <c r="G28" s="101">
        <v>0.20899999999999999</v>
      </c>
    </row>
    <row r="29" spans="2:7">
      <c r="B29" s="100" t="s">
        <v>44</v>
      </c>
      <c r="C29" s="101">
        <v>2006</v>
      </c>
      <c r="D29" s="101">
        <v>0.7</v>
      </c>
      <c r="E29" s="101">
        <v>0.13400000000000001</v>
      </c>
      <c r="F29" s="101">
        <v>0.4</v>
      </c>
      <c r="G29" s="101">
        <v>0.89100000000000001</v>
      </c>
    </row>
    <row r="30" spans="2:7">
      <c r="B30" s="100" t="s">
        <v>44</v>
      </c>
      <c r="C30" s="101">
        <v>2007</v>
      </c>
      <c r="D30" s="101">
        <v>0.61399999999999999</v>
      </c>
      <c r="E30" s="101">
        <v>5.6000000000000001E-2</v>
      </c>
      <c r="F30" s="101">
        <v>0.5</v>
      </c>
      <c r="G30" s="101">
        <v>0.71599999999999997</v>
      </c>
    </row>
    <row r="31" spans="2:7">
      <c r="B31" s="100" t="s">
        <v>44</v>
      </c>
      <c r="C31" s="101">
        <v>2008</v>
      </c>
      <c r="D31" s="101">
        <v>0.434</v>
      </c>
      <c r="E31" s="101">
        <v>3.5999999999999997E-2</v>
      </c>
      <c r="F31" s="101">
        <v>0.36599999999999999</v>
      </c>
      <c r="G31" s="101">
        <v>0.504</v>
      </c>
    </row>
    <row r="32" spans="2:7">
      <c r="B32" s="100" t="s">
        <v>44</v>
      </c>
      <c r="C32" s="101">
        <v>2009</v>
      </c>
      <c r="D32" s="101">
        <v>0.52300000000000002</v>
      </c>
      <c r="E32" s="101">
        <v>5.5E-2</v>
      </c>
      <c r="F32" s="101">
        <v>0.41499999999999998</v>
      </c>
      <c r="G32" s="101">
        <v>0.629</v>
      </c>
    </row>
    <row r="33" spans="2:7">
      <c r="B33" s="100" t="s">
        <v>44</v>
      </c>
      <c r="C33" s="101">
        <v>2010</v>
      </c>
      <c r="D33" s="101">
        <v>0.61399999999999999</v>
      </c>
      <c r="E33" s="101">
        <v>0.11799999999999999</v>
      </c>
      <c r="F33" s="101">
        <v>0.374</v>
      </c>
      <c r="G33" s="101">
        <v>0.80900000000000005</v>
      </c>
    </row>
    <row r="34" spans="2:7">
      <c r="B34" s="100" t="s">
        <v>44</v>
      </c>
      <c r="C34" s="101">
        <v>2011</v>
      </c>
      <c r="D34" s="101">
        <v>0.47899999999999998</v>
      </c>
      <c r="E34" s="101">
        <v>4.2000000000000003E-2</v>
      </c>
      <c r="F34" s="101">
        <v>0.39800000000000002</v>
      </c>
      <c r="G34" s="101">
        <v>0.56000000000000005</v>
      </c>
    </row>
    <row r="35" spans="2:7">
      <c r="B35" s="100" t="s">
        <v>44</v>
      </c>
      <c r="C35" s="101">
        <v>2012</v>
      </c>
      <c r="D35" s="101">
        <v>0.502</v>
      </c>
      <c r="E35" s="101">
        <v>4.7E-2</v>
      </c>
      <c r="F35" s="101">
        <v>0.41099999999999998</v>
      </c>
      <c r="G35" s="101">
        <v>0.59199999999999997</v>
      </c>
    </row>
  </sheetData>
  <mergeCells count="1">
    <mergeCell ref="I10:O10"/>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62F1C-4182-CC49-BFB6-79F0ED141127}">
  <sheetPr codeName="Sheet14"/>
  <dimension ref="A1:Q73"/>
  <sheetViews>
    <sheetView zoomScale="173" zoomScaleNormal="173" workbookViewId="0">
      <selection activeCell="C12" sqref="C12"/>
    </sheetView>
  </sheetViews>
  <sheetFormatPr baseColWidth="10" defaultColWidth="11" defaultRowHeight="16"/>
  <cols>
    <col min="1" max="1" width="15.1640625" customWidth="1"/>
    <col min="2" max="2" width="22" customWidth="1"/>
    <col min="3" max="3" width="17" customWidth="1"/>
    <col min="4" max="4" width="14.83203125" bestFit="1" customWidth="1"/>
    <col min="5" max="5" width="9.83203125" customWidth="1"/>
    <col min="6" max="7" width="12.5" bestFit="1" customWidth="1"/>
    <col min="8" max="8" width="6.83203125" customWidth="1"/>
    <col min="9" max="9" width="9.1640625" bestFit="1" customWidth="1"/>
    <col min="10" max="10" width="10" customWidth="1"/>
    <col min="14" max="15" width="12.1640625" customWidth="1"/>
  </cols>
  <sheetData>
    <row r="1" spans="1:8" s="163" customFormat="1" ht="21">
      <c r="A1" s="163" t="s">
        <v>212</v>
      </c>
      <c r="G1" s="87" t="s">
        <v>264</v>
      </c>
    </row>
    <row r="2" spans="1:8" s="108" customFormat="1">
      <c r="A2" s="210" t="s">
        <v>43</v>
      </c>
      <c r="B2" s="210" t="s">
        <v>14</v>
      </c>
      <c r="C2" s="209" t="s">
        <v>15</v>
      </c>
      <c r="D2" s="209" t="s">
        <v>16</v>
      </c>
      <c r="H2" s="108" t="s">
        <v>265</v>
      </c>
    </row>
    <row r="3" spans="1:8" s="211" customFormat="1" ht="15">
      <c r="A3" s="211" t="s">
        <v>25</v>
      </c>
      <c r="B3" s="210" t="s">
        <v>266</v>
      </c>
      <c r="C3" s="213">
        <f>N48</f>
        <v>0.95384615400000006</v>
      </c>
      <c r="D3" s="213">
        <f>N49</f>
        <v>3.7203925069351884E-2</v>
      </c>
    </row>
    <row r="4" spans="1:8" s="211" customFormat="1" ht="15">
      <c r="A4" s="211" t="s">
        <v>44</v>
      </c>
      <c r="B4" s="210" t="s">
        <v>266</v>
      </c>
      <c r="C4" s="213">
        <f>O48</f>
        <v>0.87248322099999998</v>
      </c>
      <c r="D4" s="213">
        <f>O49</f>
        <v>0.31474956378130858</v>
      </c>
    </row>
    <row r="5" spans="1:8" s="211" customFormat="1" ht="15"/>
    <row r="6" spans="1:8" s="211" customFormat="1" ht="15"/>
    <row r="7" spans="1:8" s="211" customFormat="1" ht="15"/>
    <row r="8" spans="1:8" s="211" customFormat="1" ht="15"/>
    <row r="9" spans="1:8" s="108" customFormat="1" ht="15"/>
    <row r="10" spans="1:8" s="108" customFormat="1" ht="15"/>
    <row r="11" spans="1:8" s="108" customFormat="1" ht="15"/>
    <row r="12" spans="1:8" s="108" customFormat="1" ht="15"/>
    <row r="13" spans="1:8" s="108" customFormat="1" ht="15"/>
    <row r="14" spans="1:8" s="108" customFormat="1" ht="15"/>
    <row r="15" spans="1:8" s="108" customFormat="1" ht="15"/>
    <row r="16" spans="1:8" s="108" customFormat="1" ht="15"/>
    <row r="17" spans="2:14" s="108" customFormat="1" ht="15"/>
    <row r="18" spans="2:14" s="108" customFormat="1" ht="15"/>
    <row r="19" spans="2:14" s="108" customFormat="1" ht="15"/>
    <row r="20" spans="2:14" s="108" customFormat="1" ht="15"/>
    <row r="21" spans="2:14" s="108" customFormat="1" ht="15"/>
    <row r="22" spans="2:14" s="108" customFormat="1" ht="15"/>
    <row r="23" spans="2:14" s="108" customFormat="1" ht="15"/>
    <row r="24" spans="2:14" s="108" customFormat="1" ht="15"/>
    <row r="25" spans="2:14" s="108" customFormat="1" ht="15"/>
    <row r="26" spans="2:14" s="108" customFormat="1" ht="15"/>
    <row r="27" spans="2:14" s="108" customFormat="1" ht="15"/>
    <row r="28" spans="2:14" s="108" customFormat="1" ht="15"/>
    <row r="29" spans="2:14">
      <c r="C29" s="108" t="s">
        <v>180</v>
      </c>
    </row>
    <row r="30" spans="2:14" ht="24">
      <c r="B30" s="109"/>
      <c r="C30" s="109" t="s">
        <v>181</v>
      </c>
      <c r="M30" s="110" t="s">
        <v>182</v>
      </c>
      <c r="N30" s="111"/>
    </row>
    <row r="31" spans="2:14">
      <c r="B31" s="112" t="s">
        <v>43</v>
      </c>
      <c r="C31" s="112" t="s">
        <v>45</v>
      </c>
      <c r="D31" t="s">
        <v>158</v>
      </c>
      <c r="E31" s="112" t="s">
        <v>162</v>
      </c>
      <c r="F31" s="112" t="s">
        <v>183</v>
      </c>
      <c r="G31" s="112" t="s">
        <v>184</v>
      </c>
      <c r="H31" s="112" t="s">
        <v>185</v>
      </c>
      <c r="I31" s="112" t="s">
        <v>186</v>
      </c>
      <c r="J31" s="112" t="s">
        <v>187</v>
      </c>
      <c r="M31" s="113" t="s">
        <v>188</v>
      </c>
    </row>
    <row r="32" spans="2:14">
      <c r="B32" s="114" t="s">
        <v>25</v>
      </c>
      <c r="C32" s="114" t="s">
        <v>46</v>
      </c>
      <c r="D32" s="114" t="str">
        <f>B32&amp;"-"&amp;C32</f>
        <v>CC-Curr</v>
      </c>
      <c r="E32" s="114">
        <v>5</v>
      </c>
      <c r="F32" s="115">
        <v>12826.650535986901</v>
      </c>
      <c r="G32" s="116">
        <v>920.77424073279803</v>
      </c>
      <c r="H32" s="117">
        <f>G32/F32</f>
        <v>7.1786023806405391E-2</v>
      </c>
      <c r="I32" s="118">
        <f>F32*3831</f>
        <v>49138898.203365818</v>
      </c>
      <c r="J32" s="118">
        <f>G32*3831</f>
        <v>3527486.1162473494</v>
      </c>
      <c r="M32" s="113" t="s">
        <v>189</v>
      </c>
    </row>
    <row r="33" spans="2:17">
      <c r="B33" s="114" t="s">
        <v>25</v>
      </c>
      <c r="C33" s="114" t="s">
        <v>47</v>
      </c>
      <c r="D33" s="114" t="str">
        <f t="shared" ref="D33:D45" si="0">B33&amp;"-"&amp;C33</f>
        <v>CC-PNV</v>
      </c>
      <c r="E33" s="114">
        <v>5</v>
      </c>
      <c r="F33" s="116">
        <v>13362.072937773701</v>
      </c>
      <c r="G33" s="116">
        <v>950.68340055208705</v>
      </c>
      <c r="H33" s="117">
        <f t="shared" ref="H33:H45" si="1">G33/F33</f>
        <v>7.1147897858315656E-2</v>
      </c>
      <c r="I33" s="118">
        <f>F33*3831</f>
        <v>51190101.424611047</v>
      </c>
      <c r="J33" s="118">
        <f t="shared" ref="J33:J45" si="2">G33*3831</f>
        <v>3642068.1075150454</v>
      </c>
      <c r="M33" t="s">
        <v>190</v>
      </c>
    </row>
    <row r="34" spans="2:17">
      <c r="B34" s="114" t="s">
        <v>25</v>
      </c>
      <c r="C34" s="114" t="s">
        <v>48</v>
      </c>
      <c r="D34" s="114" t="str">
        <f t="shared" si="0"/>
        <v>CC-HiPr</v>
      </c>
      <c r="E34" s="114">
        <v>5</v>
      </c>
      <c r="F34" s="116">
        <v>12847.7534919348</v>
      </c>
      <c r="G34" s="116">
        <v>921.90374986498296</v>
      </c>
      <c r="H34" s="117">
        <f t="shared" si="1"/>
        <v>7.1756027265288805E-2</v>
      </c>
      <c r="I34" s="118">
        <f t="shared" ref="I34:I45" si="3">F34*3831</f>
        <v>49219743.62760222</v>
      </c>
      <c r="J34" s="118">
        <f t="shared" si="2"/>
        <v>3531813.2657327498</v>
      </c>
      <c r="M34" s="119" t="s">
        <v>126</v>
      </c>
      <c r="N34" s="120" t="s">
        <v>191</v>
      </c>
      <c r="O34" s="121" t="s">
        <v>192</v>
      </c>
    </row>
    <row r="35" spans="2:17">
      <c r="B35" s="114" t="s">
        <v>25</v>
      </c>
      <c r="C35" s="114" t="s">
        <v>193</v>
      </c>
      <c r="D35" s="114" t="str">
        <f t="shared" si="0"/>
        <v>CC-WidPNV</v>
      </c>
      <c r="E35" s="114">
        <v>5</v>
      </c>
      <c r="F35" s="116">
        <v>13362.072937773701</v>
      </c>
      <c r="G35" s="116">
        <v>950.68340055208705</v>
      </c>
      <c r="H35" s="117">
        <f t="shared" si="1"/>
        <v>7.1147897858315656E-2</v>
      </c>
      <c r="I35" s="118">
        <f t="shared" si="3"/>
        <v>51190101.424611047</v>
      </c>
      <c r="J35" s="118">
        <f t="shared" si="2"/>
        <v>3642068.1075150454</v>
      </c>
      <c r="M35" s="122">
        <v>2001</v>
      </c>
      <c r="N35" s="123">
        <v>0.94285714300000001</v>
      </c>
      <c r="O35" s="124"/>
    </row>
    <row r="36" spans="2:17">
      <c r="B36" s="114" t="s">
        <v>25</v>
      </c>
      <c r="C36" s="114" t="s">
        <v>49</v>
      </c>
      <c r="D36" s="114" t="str">
        <f t="shared" si="0"/>
        <v>CC-Clim</v>
      </c>
      <c r="E36" s="114">
        <v>5</v>
      </c>
      <c r="F36" s="116">
        <v>8199.6996749988793</v>
      </c>
      <c r="G36" s="116">
        <v>583.62926171337597</v>
      </c>
      <c r="H36" s="117">
        <f t="shared" si="1"/>
        <v>7.1176907063179209E-2</v>
      </c>
      <c r="I36" s="118">
        <f t="shared" si="3"/>
        <v>31413049.454920705</v>
      </c>
      <c r="J36" s="118">
        <f t="shared" si="2"/>
        <v>2235883.7016239432</v>
      </c>
      <c r="M36" s="122">
        <v>2002</v>
      </c>
      <c r="N36" s="123">
        <v>0.95384615400000006</v>
      </c>
      <c r="O36" s="124"/>
    </row>
    <row r="37" spans="2:17">
      <c r="B37" s="114" t="s">
        <v>25</v>
      </c>
      <c r="C37" s="114" t="s">
        <v>50</v>
      </c>
      <c r="D37" s="114" t="str">
        <f t="shared" si="0"/>
        <v>CC-ClimVeg</v>
      </c>
      <c r="E37" s="114">
        <v>5</v>
      </c>
      <c r="F37" s="116">
        <v>12761.698001598401</v>
      </c>
      <c r="G37" s="116">
        <v>917.32471467795699</v>
      </c>
      <c r="H37" s="117">
        <f t="shared" si="1"/>
        <v>7.1881086244405895E-2</v>
      </c>
      <c r="I37" s="118">
        <f t="shared" si="3"/>
        <v>48890065.044123471</v>
      </c>
      <c r="J37" s="118">
        <f t="shared" si="2"/>
        <v>3514270.9819312533</v>
      </c>
      <c r="M37" s="122">
        <v>2003</v>
      </c>
      <c r="N37" s="123">
        <v>0.88775510199999996</v>
      </c>
      <c r="O37" s="124"/>
    </row>
    <row r="38" spans="2:17">
      <c r="B38" s="114" t="s">
        <v>25</v>
      </c>
      <c r="C38" s="114" t="s">
        <v>51</v>
      </c>
      <c r="D38" s="114" t="str">
        <f t="shared" si="0"/>
        <v>CC-ClimVegWid</v>
      </c>
      <c r="E38" s="114">
        <v>5</v>
      </c>
      <c r="F38" s="116">
        <v>12977.356943741201</v>
      </c>
      <c r="G38" s="116">
        <v>928.93370355754098</v>
      </c>
      <c r="H38" s="117">
        <f t="shared" si="1"/>
        <v>7.1581116831771568E-2</v>
      </c>
      <c r="I38" s="118">
        <f t="shared" si="3"/>
        <v>49716254.451472543</v>
      </c>
      <c r="J38" s="118">
        <f t="shared" si="2"/>
        <v>3558745.0183289396</v>
      </c>
      <c r="M38" s="122">
        <v>2004</v>
      </c>
      <c r="N38" s="123">
        <v>1</v>
      </c>
      <c r="O38" s="124">
        <v>0.93684210499999998</v>
      </c>
    </row>
    <row r="39" spans="2:17">
      <c r="B39" s="125" t="s">
        <v>44</v>
      </c>
      <c r="C39" s="125" t="s">
        <v>46</v>
      </c>
      <c r="D39" s="125" t="str">
        <f t="shared" si="0"/>
        <v>UGR-Curr</v>
      </c>
      <c r="E39" s="125">
        <v>5</v>
      </c>
      <c r="F39" s="126">
        <v>14198.4529099341</v>
      </c>
      <c r="G39" s="127">
        <v>4854.51828502015</v>
      </c>
      <c r="H39" s="128">
        <f t="shared" si="1"/>
        <v>0.34190473538308064</v>
      </c>
      <c r="I39" s="129">
        <f t="shared" si="3"/>
        <v>54394273.097957537</v>
      </c>
      <c r="J39" s="129">
        <f t="shared" si="2"/>
        <v>18597659.549912196</v>
      </c>
      <c r="M39" s="122">
        <v>2005</v>
      </c>
      <c r="N39" s="123">
        <v>0.94444444400000005</v>
      </c>
      <c r="O39" s="124">
        <v>0.95238095199999995</v>
      </c>
    </row>
    <row r="40" spans="2:17">
      <c r="B40" s="125" t="s">
        <v>44</v>
      </c>
      <c r="C40" s="125" t="s">
        <v>47</v>
      </c>
      <c r="D40" s="125" t="str">
        <f t="shared" si="0"/>
        <v>UGR-PNV</v>
      </c>
      <c r="E40" s="125">
        <v>5</v>
      </c>
      <c r="F40" s="127">
        <v>25929.769799764701</v>
      </c>
      <c r="G40" s="127">
        <v>9327.3426234531307</v>
      </c>
      <c r="H40" s="128">
        <f t="shared" si="1"/>
        <v>0.35971559699453143</v>
      </c>
      <c r="I40" s="129">
        <f t="shared" si="3"/>
        <v>99336948.102898568</v>
      </c>
      <c r="J40" s="129">
        <f t="shared" si="2"/>
        <v>35733049.590448946</v>
      </c>
      <c r="M40" s="122">
        <v>2006</v>
      </c>
      <c r="N40" s="123">
        <v>0.88888888899999996</v>
      </c>
      <c r="O40" s="124"/>
    </row>
    <row r="41" spans="2:17">
      <c r="B41" s="125" t="s">
        <v>44</v>
      </c>
      <c r="C41" s="125" t="s">
        <v>48</v>
      </c>
      <c r="D41" s="125" t="str">
        <f t="shared" si="0"/>
        <v>UGR-HiPr</v>
      </c>
      <c r="E41" s="125">
        <v>5</v>
      </c>
      <c r="F41" s="127">
        <v>18379.231620512801</v>
      </c>
      <c r="G41" s="127">
        <v>6289.8193975570603</v>
      </c>
      <c r="H41" s="128">
        <f t="shared" si="1"/>
        <v>0.34222428485732131</v>
      </c>
      <c r="I41" s="129">
        <f t="shared" si="3"/>
        <v>70410836.338184536</v>
      </c>
      <c r="J41" s="129">
        <f t="shared" si="2"/>
        <v>24096298.112041097</v>
      </c>
      <c r="M41" s="122">
        <v>2008</v>
      </c>
      <c r="N41" s="123">
        <v>1</v>
      </c>
      <c r="O41" s="124"/>
    </row>
    <row r="42" spans="2:17">
      <c r="B42" s="125" t="s">
        <v>44</v>
      </c>
      <c r="C42" s="125" t="s">
        <v>193</v>
      </c>
      <c r="D42" s="125" t="str">
        <f t="shared" si="0"/>
        <v>UGR-WidPNV</v>
      </c>
      <c r="E42" s="125">
        <v>5</v>
      </c>
      <c r="F42" s="127">
        <v>25929.769799764701</v>
      </c>
      <c r="G42" s="127">
        <v>9327.3426234531307</v>
      </c>
      <c r="H42" s="128">
        <f t="shared" si="1"/>
        <v>0.35971559699453143</v>
      </c>
      <c r="I42" s="129">
        <f t="shared" si="3"/>
        <v>99336948.102898568</v>
      </c>
      <c r="J42" s="129">
        <f t="shared" si="2"/>
        <v>35733049.590448946</v>
      </c>
      <c r="M42" s="122">
        <v>2009</v>
      </c>
      <c r="N42" s="123">
        <v>0.95833333300000001</v>
      </c>
      <c r="O42" s="124">
        <v>0.175438596</v>
      </c>
    </row>
    <row r="43" spans="2:17">
      <c r="B43" s="125" t="s">
        <v>44</v>
      </c>
      <c r="C43" s="125" t="s">
        <v>49</v>
      </c>
      <c r="D43" s="125" t="str">
        <f t="shared" si="0"/>
        <v>UGR-Clim</v>
      </c>
      <c r="E43" s="125">
        <v>5</v>
      </c>
      <c r="F43" s="127">
        <v>5745.4034136742102</v>
      </c>
      <c r="G43" s="127">
        <v>2227.59233222685</v>
      </c>
      <c r="H43" s="128">
        <f t="shared" si="1"/>
        <v>0.38771730579007246</v>
      </c>
      <c r="I43" s="129">
        <f t="shared" si="3"/>
        <v>22010640.4777859</v>
      </c>
      <c r="J43" s="129">
        <f t="shared" si="2"/>
        <v>8533906.2247610614</v>
      </c>
      <c r="M43" s="122">
        <v>2010</v>
      </c>
      <c r="N43" s="123">
        <v>0.975247525</v>
      </c>
      <c r="O43" s="124">
        <v>0.89547038300000004</v>
      </c>
    </row>
    <row r="44" spans="2:17">
      <c r="B44" s="125" t="s">
        <v>44</v>
      </c>
      <c r="C44" s="125" t="s">
        <v>50</v>
      </c>
      <c r="D44" s="125" t="str">
        <f t="shared" si="0"/>
        <v>UGR-ClimVeg</v>
      </c>
      <c r="E44" s="125">
        <v>5</v>
      </c>
      <c r="F44" s="127">
        <v>14241.8943492611</v>
      </c>
      <c r="G44" s="127">
        <v>4876.7271907624399</v>
      </c>
      <c r="H44" s="128">
        <f t="shared" si="1"/>
        <v>0.34242124475635188</v>
      </c>
      <c r="I44" s="129">
        <f t="shared" si="3"/>
        <v>54560697.252019271</v>
      </c>
      <c r="J44" s="129">
        <f t="shared" si="2"/>
        <v>18682741.867810909</v>
      </c>
      <c r="M44" s="122">
        <v>2011</v>
      </c>
      <c r="N44" s="123">
        <v>0.95873015900000003</v>
      </c>
      <c r="O44" s="124">
        <v>0.87248322099999998</v>
      </c>
    </row>
    <row r="45" spans="2:17">
      <c r="B45" s="125" t="s">
        <v>44</v>
      </c>
      <c r="C45" s="125" t="s">
        <v>51</v>
      </c>
      <c r="D45" s="125" t="str">
        <f t="shared" si="0"/>
        <v>UGR-ClimVegWid</v>
      </c>
      <c r="E45" s="125">
        <v>5</v>
      </c>
      <c r="F45" s="127">
        <v>15632.0806959643</v>
      </c>
      <c r="G45" s="127">
        <v>5272.6517251332898</v>
      </c>
      <c r="H45" s="128">
        <f t="shared" si="1"/>
        <v>0.33729685943180415</v>
      </c>
      <c r="I45" s="129">
        <f t="shared" si="3"/>
        <v>59886501.146239229</v>
      </c>
      <c r="J45" s="129">
        <f t="shared" si="2"/>
        <v>20199528.758985635</v>
      </c>
      <c r="M45" s="122">
        <v>2012</v>
      </c>
      <c r="N45" s="123">
        <v>0.93103448300000002</v>
      </c>
      <c r="O45" s="124">
        <v>0.54761904800000005</v>
      </c>
    </row>
    <row r="46" spans="2:17">
      <c r="B46" s="162" t="s">
        <v>194</v>
      </c>
      <c r="C46" s="161"/>
      <c r="D46" s="161"/>
      <c r="E46" s="161"/>
      <c r="F46" s="161"/>
      <c r="G46" s="161"/>
      <c r="H46" s="161"/>
      <c r="I46" s="161"/>
      <c r="J46" s="161"/>
      <c r="M46" s="122">
        <v>2013</v>
      </c>
      <c r="N46" s="123"/>
      <c r="O46" s="124">
        <v>0.365853659</v>
      </c>
    </row>
    <row r="47" spans="2:17">
      <c r="L47" s="130"/>
      <c r="M47" s="131" t="s">
        <v>195</v>
      </c>
      <c r="N47" s="132">
        <f>AVERAGE(N35:N45)</f>
        <v>0.94919429381818177</v>
      </c>
      <c r="O47" s="132">
        <f>AVERAGE(O35:O46)</f>
        <v>0.67801256628571427</v>
      </c>
      <c r="P47" s="130"/>
    </row>
    <row r="48" spans="2:17">
      <c r="M48" s="131" t="s">
        <v>262</v>
      </c>
      <c r="N48" s="132">
        <f>MEDIAN(N35:N46)</f>
        <v>0.95384615400000006</v>
      </c>
      <c r="O48" s="132">
        <f>MEDIAN(O35:O46)</f>
        <v>0.87248322099999998</v>
      </c>
      <c r="P48" s="212" t="s">
        <v>263</v>
      </c>
      <c r="Q48" s="130"/>
    </row>
    <row r="49" spans="3:17">
      <c r="M49" s="131" t="s">
        <v>196</v>
      </c>
      <c r="N49" s="133">
        <f>STDEV(N35:N46)</f>
        <v>3.7203925069351884E-2</v>
      </c>
      <c r="O49" s="134">
        <f>STDEV(O35:O46)</f>
        <v>0.31474956378130858</v>
      </c>
    </row>
    <row r="50" spans="3:17">
      <c r="C50" s="113" t="s">
        <v>197</v>
      </c>
      <c r="M50" s="131" t="s">
        <v>185</v>
      </c>
      <c r="N50" s="133">
        <f>N49/N47</f>
        <v>3.9195268357226656E-2</v>
      </c>
      <c r="O50" s="134">
        <f>O49/O47</f>
        <v>0.46422379087391902</v>
      </c>
    </row>
    <row r="51" spans="3:17">
      <c r="C51" s="136" t="s">
        <v>199</v>
      </c>
      <c r="D51" s="137"/>
      <c r="E51" s="137"/>
      <c r="F51" s="137"/>
      <c r="G51" s="137"/>
      <c r="M51" s="131" t="s">
        <v>198</v>
      </c>
      <c r="N51" s="135">
        <v>0.96499999999999997</v>
      </c>
      <c r="O51" s="135">
        <v>0.68</v>
      </c>
    </row>
    <row r="52" spans="3:17">
      <c r="C52" s="136" t="s">
        <v>200</v>
      </c>
      <c r="D52" s="137"/>
      <c r="E52" s="137"/>
      <c r="F52" s="137"/>
      <c r="G52" s="137"/>
    </row>
    <row r="53" spans="3:17" ht="21">
      <c r="C53" s="139" t="s">
        <v>202</v>
      </c>
      <c r="D53" s="139" t="s">
        <v>44</v>
      </c>
      <c r="E53" s="139" t="s">
        <v>203</v>
      </c>
      <c r="F53" s="140" t="s">
        <v>25</v>
      </c>
      <c r="G53" s="140" t="s">
        <v>203</v>
      </c>
      <c r="M53" s="138" t="s">
        <v>201</v>
      </c>
      <c r="P53" s="81"/>
      <c r="Q53" s="81"/>
    </row>
    <row r="54" spans="3:17">
      <c r="C54" s="143">
        <v>100</v>
      </c>
      <c r="D54" s="144">
        <f t="shared" ref="D54:D60" si="4">C54/(1/$O$51+C54/$F$39)</f>
        <v>67.675882994238876</v>
      </c>
      <c r="E54" s="145">
        <f>D54/C54</f>
        <v>0.67675882994238878</v>
      </c>
      <c r="F54" s="146">
        <f t="shared" ref="F54:F60" si="5">C54/(1/$N$51+C54/$F$32)</f>
        <v>95.779413330822976</v>
      </c>
      <c r="G54" s="147">
        <f>F54/C54</f>
        <v>0.95779413330822971</v>
      </c>
      <c r="M54" s="141" t="s">
        <v>204</v>
      </c>
      <c r="N54" s="142"/>
      <c r="O54" s="81"/>
      <c r="P54" s="150" t="s">
        <v>206</v>
      </c>
      <c r="Q54" s="150"/>
    </row>
    <row r="55" spans="3:17">
      <c r="C55" s="151">
        <v>199</v>
      </c>
      <c r="D55" s="152">
        <f t="shared" si="4"/>
        <v>134.04249249970266</v>
      </c>
      <c r="E55" s="132">
        <f>D55/C55</f>
        <v>0.67358036432011392</v>
      </c>
      <c r="F55" s="146">
        <f t="shared" si="5"/>
        <v>189.20234526515279</v>
      </c>
      <c r="G55" s="147">
        <f t="shared" ref="G55:G60" si="6">F55/C55</f>
        <v>0.95076555409624519</v>
      </c>
      <c r="M55" s="148"/>
      <c r="N55" s="149" t="s">
        <v>205</v>
      </c>
      <c r="O55" s="149"/>
      <c r="P55" s="140" t="s">
        <v>136</v>
      </c>
      <c r="Q55" s="140" t="s">
        <v>208</v>
      </c>
    </row>
    <row r="56" spans="3:17">
      <c r="C56" s="154">
        <v>262</v>
      </c>
      <c r="D56" s="144">
        <f t="shared" si="4"/>
        <v>175.95217915938551</v>
      </c>
      <c r="E56" s="145">
        <f>D56/C56</f>
        <v>0.67157320289841793</v>
      </c>
      <c r="F56" s="152">
        <f t="shared" si="5"/>
        <v>247.94272571382922</v>
      </c>
      <c r="G56" s="155">
        <f>F56/C56</f>
        <v>0.94634628135049326</v>
      </c>
      <c r="M56" s="153" t="s">
        <v>207</v>
      </c>
      <c r="N56" s="139" t="s">
        <v>136</v>
      </c>
      <c r="O56" s="139" t="s">
        <v>208</v>
      </c>
      <c r="P56" s="146">
        <v>133</v>
      </c>
      <c r="Q56" s="146">
        <f t="shared" ref="Q56:Q68" si="7">1.5*P56</f>
        <v>199.5</v>
      </c>
    </row>
    <row r="57" spans="3:17">
      <c r="C57" s="143">
        <v>400</v>
      </c>
      <c r="D57" s="144">
        <f t="shared" si="4"/>
        <v>266.88723673954883</v>
      </c>
      <c r="E57" s="145">
        <f t="shared" ref="E57:E60" si="8">D57/C57</f>
        <v>0.66721809184887204</v>
      </c>
      <c r="F57" s="146">
        <f t="shared" si="5"/>
        <v>374.72323160336492</v>
      </c>
      <c r="G57" s="147">
        <f t="shared" si="6"/>
        <v>0.93680807900841234</v>
      </c>
      <c r="M57" s="137">
        <v>2001</v>
      </c>
      <c r="N57" s="144">
        <v>15</v>
      </c>
      <c r="O57" s="144">
        <f t="shared" ref="O57:O69" si="9">1.5*N57</f>
        <v>22.5</v>
      </c>
      <c r="P57" s="146">
        <v>158</v>
      </c>
      <c r="Q57" s="146">
        <f t="shared" si="7"/>
        <v>237</v>
      </c>
    </row>
    <row r="58" spans="3:17">
      <c r="C58" s="143">
        <v>800</v>
      </c>
      <c r="D58" s="144">
        <f t="shared" si="4"/>
        <v>523.92627130587039</v>
      </c>
      <c r="E58" s="145">
        <f t="shared" si="8"/>
        <v>0.65490783913233797</v>
      </c>
      <c r="F58" s="146">
        <f t="shared" si="5"/>
        <v>728.1732983414189</v>
      </c>
      <c r="G58" s="147">
        <f t="shared" si="6"/>
        <v>0.91021662292677363</v>
      </c>
      <c r="M58" s="156">
        <v>2002</v>
      </c>
      <c r="N58" s="144">
        <v>14</v>
      </c>
      <c r="O58" s="144">
        <f t="shared" si="9"/>
        <v>21</v>
      </c>
      <c r="P58" s="146">
        <v>167</v>
      </c>
      <c r="Q58" s="146">
        <f>1.5*P58</f>
        <v>250.5</v>
      </c>
    </row>
    <row r="59" spans="3:17">
      <c r="C59" s="143">
        <v>1600</v>
      </c>
      <c r="D59" s="144">
        <f t="shared" si="4"/>
        <v>1010.562545609863</v>
      </c>
      <c r="E59" s="145">
        <f t="shared" si="8"/>
        <v>0.63160159100616442</v>
      </c>
      <c r="F59" s="146">
        <f t="shared" si="5"/>
        <v>1378.1107805780841</v>
      </c>
      <c r="G59" s="147">
        <f t="shared" si="6"/>
        <v>0.8613192378613026</v>
      </c>
      <c r="M59" s="156">
        <v>2003</v>
      </c>
      <c r="N59" s="144">
        <v>29</v>
      </c>
      <c r="O59" s="144">
        <f t="shared" si="9"/>
        <v>43.5</v>
      </c>
      <c r="P59" s="146">
        <v>96</v>
      </c>
      <c r="Q59" s="146">
        <f t="shared" si="7"/>
        <v>144</v>
      </c>
    </row>
    <row r="60" spans="3:17">
      <c r="C60" s="143">
        <v>3200</v>
      </c>
      <c r="D60" s="144">
        <f t="shared" si="4"/>
        <v>1886.8314991624929</v>
      </c>
      <c r="E60" s="145">
        <f t="shared" si="8"/>
        <v>0.58963484348827899</v>
      </c>
      <c r="F60" s="146">
        <f t="shared" si="5"/>
        <v>2488.8197680220901</v>
      </c>
      <c r="G60" s="147">
        <f t="shared" si="6"/>
        <v>0.77775617750690318</v>
      </c>
      <c r="M60" s="156">
        <v>2004</v>
      </c>
      <c r="N60" s="144">
        <v>185</v>
      </c>
      <c r="O60" s="144">
        <f t="shared" si="9"/>
        <v>277.5</v>
      </c>
      <c r="P60" s="146">
        <v>74</v>
      </c>
      <c r="Q60" s="146">
        <f t="shared" si="7"/>
        <v>111</v>
      </c>
    </row>
    <row r="61" spans="3:17">
      <c r="C61" s="137" t="s">
        <v>209</v>
      </c>
      <c r="D61" s="137"/>
      <c r="E61" s="137"/>
      <c r="F61" s="137"/>
      <c r="G61" s="137"/>
      <c r="M61" s="156">
        <v>2005</v>
      </c>
      <c r="N61" s="144">
        <v>90</v>
      </c>
      <c r="O61" s="144">
        <f t="shared" si="9"/>
        <v>135</v>
      </c>
      <c r="P61" s="146">
        <v>117</v>
      </c>
      <c r="Q61" s="146">
        <f t="shared" si="7"/>
        <v>175.5</v>
      </c>
    </row>
    <row r="62" spans="3:17">
      <c r="C62" s="137"/>
      <c r="D62" s="137"/>
      <c r="E62" s="137"/>
      <c r="F62" s="137"/>
      <c r="G62" s="137"/>
      <c r="M62" s="156">
        <v>2006</v>
      </c>
      <c r="N62" s="144">
        <v>18</v>
      </c>
      <c r="O62" s="144">
        <f t="shared" si="9"/>
        <v>27</v>
      </c>
      <c r="P62" s="146">
        <v>59</v>
      </c>
      <c r="Q62" s="146">
        <f t="shared" si="7"/>
        <v>88.5</v>
      </c>
    </row>
    <row r="63" spans="3:17">
      <c r="M63" s="156">
        <v>2007</v>
      </c>
      <c r="N63" s="144">
        <v>1</v>
      </c>
      <c r="O63" s="144">
        <f t="shared" si="9"/>
        <v>1.5</v>
      </c>
      <c r="P63" s="146">
        <v>101</v>
      </c>
      <c r="Q63" s="146">
        <f t="shared" si="7"/>
        <v>151.5</v>
      </c>
    </row>
    <row r="64" spans="3:17">
      <c r="M64" s="156">
        <v>2008</v>
      </c>
      <c r="N64" s="144">
        <v>32</v>
      </c>
      <c r="O64" s="144">
        <f t="shared" si="9"/>
        <v>48</v>
      </c>
      <c r="P64" s="146">
        <v>89</v>
      </c>
      <c r="Q64" s="146">
        <f t="shared" si="7"/>
        <v>133.5</v>
      </c>
    </row>
    <row r="65" spans="13:17">
      <c r="M65" s="156">
        <v>2009</v>
      </c>
      <c r="N65" s="144">
        <v>52</v>
      </c>
      <c r="O65" s="144">
        <f t="shared" si="9"/>
        <v>78</v>
      </c>
      <c r="P65" s="146">
        <v>368</v>
      </c>
      <c r="Q65" s="146">
        <f t="shared" si="7"/>
        <v>552</v>
      </c>
    </row>
    <row r="66" spans="13:17">
      <c r="M66" s="156">
        <v>2010</v>
      </c>
      <c r="N66" s="144">
        <v>360</v>
      </c>
      <c r="O66" s="144">
        <f t="shared" si="9"/>
        <v>540</v>
      </c>
      <c r="P66" s="146">
        <v>444</v>
      </c>
      <c r="Q66" s="146">
        <f t="shared" si="7"/>
        <v>666</v>
      </c>
    </row>
    <row r="67" spans="13:17">
      <c r="M67" s="156">
        <v>2011</v>
      </c>
      <c r="N67" s="144">
        <v>227</v>
      </c>
      <c r="O67" s="144">
        <f t="shared" si="9"/>
        <v>340.5</v>
      </c>
      <c r="P67" s="146">
        <v>237</v>
      </c>
      <c r="Q67" s="146">
        <f t="shared" si="7"/>
        <v>355.5</v>
      </c>
    </row>
    <row r="68" spans="13:17">
      <c r="M68" s="156">
        <v>2012</v>
      </c>
      <c r="N68" s="144">
        <v>97</v>
      </c>
      <c r="O68" s="144">
        <f t="shared" si="9"/>
        <v>145.5</v>
      </c>
      <c r="P68" s="146">
        <v>110</v>
      </c>
      <c r="Q68" s="146">
        <f t="shared" si="7"/>
        <v>165</v>
      </c>
    </row>
    <row r="69" spans="13:17">
      <c r="M69" s="156">
        <v>2013</v>
      </c>
      <c r="N69" s="144">
        <v>50</v>
      </c>
      <c r="O69" s="144">
        <f t="shared" si="9"/>
        <v>75</v>
      </c>
      <c r="P69" s="159"/>
      <c r="Q69" s="158">
        <f>AVERAGE(Q56:Q68)</f>
        <v>248.42307692307693</v>
      </c>
    </row>
    <row r="70" spans="13:17">
      <c r="M70" s="156"/>
      <c r="N70" s="157" t="s">
        <v>210</v>
      </c>
      <c r="O70" s="158">
        <f>AVERAGE(O57:O69)</f>
        <v>135</v>
      </c>
      <c r="P70" s="159"/>
      <c r="Q70" s="158">
        <f>Q69/N47</f>
        <v>261.719943473093</v>
      </c>
    </row>
    <row r="71" spans="13:17">
      <c r="M71" s="156"/>
      <c r="N71" s="157" t="s">
        <v>211</v>
      </c>
      <c r="O71" s="158">
        <f>O70/O47</f>
        <v>199.11135384931944</v>
      </c>
      <c r="P71" s="160"/>
      <c r="Q71" s="160"/>
    </row>
    <row r="72" spans="13:17">
      <c r="M72" s="160"/>
      <c r="N72" s="160"/>
      <c r="O72" s="160"/>
      <c r="P72" s="137"/>
      <c r="Q72" s="137"/>
    </row>
    <row r="73" spans="13:17">
      <c r="M73" s="137"/>
      <c r="N73" s="137"/>
      <c r="O73" s="13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DFF48-A062-124A-A02D-23ED0D7E0F71}">
  <sheetPr codeName="Sheet2">
    <tabColor theme="4" tint="-0.249977111117893"/>
  </sheetPr>
  <dimension ref="A1:M16"/>
  <sheetViews>
    <sheetView zoomScale="150" zoomScaleNormal="150" workbookViewId="0">
      <pane xSplit="2" ySplit="1" topLeftCell="C2" activePane="bottomRight" state="frozen"/>
      <selection activeCell="G60" sqref="G60"/>
      <selection pane="topRight" activeCell="G60" sqref="G60"/>
      <selection pane="bottomLeft" activeCell="G60" sqref="G60"/>
      <selection pane="bottomRight" activeCell="B24" sqref="B24"/>
    </sheetView>
  </sheetViews>
  <sheetFormatPr baseColWidth="10" defaultRowHeight="16"/>
  <cols>
    <col min="1" max="1" width="20.5" customWidth="1"/>
    <col min="2" max="2" width="21" customWidth="1"/>
    <col min="3" max="3" width="33.83203125" customWidth="1"/>
    <col min="4" max="5" width="15.83203125" style="194" customWidth="1"/>
    <col min="6" max="6" width="11.6640625" customWidth="1"/>
    <col min="7" max="9" width="15.83203125" customWidth="1"/>
    <col min="10" max="10" width="18.33203125" bestFit="1" customWidth="1"/>
    <col min="11" max="11" width="21" customWidth="1"/>
    <col min="12" max="12" width="19.83203125" customWidth="1"/>
    <col min="13" max="13" width="20.83203125" customWidth="1"/>
  </cols>
  <sheetData>
    <row r="1" spans="1:13" s="89" customFormat="1" ht="36" customHeight="1">
      <c r="A1" s="89" t="s">
        <v>0</v>
      </c>
      <c r="B1" s="89" t="s">
        <v>1</v>
      </c>
      <c r="C1" s="89" t="s">
        <v>14</v>
      </c>
      <c r="D1" s="214" t="s">
        <v>15</v>
      </c>
      <c r="E1" s="214" t="s">
        <v>16</v>
      </c>
      <c r="F1" s="89" t="s">
        <v>17</v>
      </c>
      <c r="G1" s="89" t="s">
        <v>22</v>
      </c>
      <c r="H1" s="89" t="s">
        <v>18</v>
      </c>
      <c r="I1" s="89" t="s">
        <v>19</v>
      </c>
      <c r="J1" s="89" t="s">
        <v>41</v>
      </c>
      <c r="K1" s="89" t="s">
        <v>42</v>
      </c>
      <c r="L1" s="89" t="s">
        <v>38</v>
      </c>
      <c r="M1" s="89" t="s">
        <v>39</v>
      </c>
    </row>
    <row r="2" spans="1:13" ht="20" customHeight="1">
      <c r="A2" t="s">
        <v>2</v>
      </c>
      <c r="B2" t="s">
        <v>3</v>
      </c>
      <c r="C2" t="str">
        <f>A2&amp;"_"&amp;B2</f>
        <v>Egg_Fry</v>
      </c>
      <c r="D2" s="206">
        <v>1</v>
      </c>
      <c r="E2" s="206">
        <v>0</v>
      </c>
      <c r="F2" s="207">
        <v>1E+20</v>
      </c>
      <c r="G2">
        <v>0</v>
      </c>
      <c r="H2">
        <v>99999999999</v>
      </c>
      <c r="I2">
        <v>99999999999</v>
      </c>
      <c r="J2">
        <v>1</v>
      </c>
      <c r="K2">
        <v>1</v>
      </c>
      <c r="L2">
        <v>1</v>
      </c>
      <c r="M2">
        <v>1</v>
      </c>
    </row>
    <row r="3" spans="1:13" ht="20" customHeight="1">
      <c r="A3" t="s">
        <v>3</v>
      </c>
      <c r="B3" t="s">
        <v>4</v>
      </c>
      <c r="C3" t="str">
        <f t="shared" ref="C3:C16" si="0">A3&amp;"_"&amp;B3</f>
        <v>Fry_Parr</v>
      </c>
      <c r="D3" s="194">
        <f>VLOOKUP(Model!$B$4,Fry_Parr_p!$A$3:$D$4,3,FALSE)</f>
        <v>0.13691284598137657</v>
      </c>
      <c r="E3" s="194">
        <f>VLOOKUP(Model!$B$4,Fry_Parr_p!$A$3:$D$4,4,FALSE)</f>
        <v>8.1796751545584162E-2</v>
      </c>
      <c r="F3" t="e">
        <f>VLOOKUP(Model!#REF!,Fry_Parr_c_II!$A$3:$D$16,3,FALSE)</f>
        <v>#REF!</v>
      </c>
      <c r="G3" t="e">
        <f>VLOOKUP(Model!#REF!,Fry_Parr_c_II!$A$3:$D$16,4,FALSE)</f>
        <v>#REF!</v>
      </c>
      <c r="H3">
        <v>99999999999</v>
      </c>
      <c r="I3">
        <v>99999999999</v>
      </c>
      <c r="J3">
        <v>1</v>
      </c>
      <c r="K3">
        <v>1</v>
      </c>
      <c r="L3">
        <v>1</v>
      </c>
      <c r="M3">
        <v>1</v>
      </c>
    </row>
    <row r="4" spans="1:13" ht="20" customHeight="1">
      <c r="A4" t="s">
        <v>4</v>
      </c>
      <c r="B4" t="s">
        <v>20</v>
      </c>
      <c r="C4" t="str">
        <f t="shared" si="0"/>
        <v>Parr_PreSmoltHeadwaters</v>
      </c>
      <c r="D4" s="206">
        <v>1</v>
      </c>
      <c r="E4" s="206">
        <v>0</v>
      </c>
      <c r="F4" s="207">
        <v>1E+20</v>
      </c>
      <c r="G4">
        <v>0</v>
      </c>
      <c r="H4">
        <f>VLOOKUP(Model!$B$4,Parr_PreSmolt!$A$3:$D$4,3,FALSE)</f>
        <v>0.76</v>
      </c>
      <c r="I4">
        <f>VLOOKUP(Model!$B$4,Parr_PreSmolt!$A$3:$D$4,4,FALSE)</f>
        <v>0.11600000000000001</v>
      </c>
      <c r="J4">
        <v>1</v>
      </c>
      <c r="K4">
        <v>1</v>
      </c>
      <c r="L4">
        <v>1</v>
      </c>
      <c r="M4">
        <v>1</v>
      </c>
    </row>
    <row r="5" spans="1:13" ht="20" customHeight="1">
      <c r="A5" t="s">
        <v>4</v>
      </c>
      <c r="B5" t="s">
        <v>21</v>
      </c>
      <c r="C5" t="str">
        <f t="shared" si="0"/>
        <v>Parr_PreSmoltValley</v>
      </c>
      <c r="D5" s="206">
        <v>1</v>
      </c>
      <c r="E5" s="206">
        <v>0</v>
      </c>
      <c r="F5" s="207">
        <v>1E+20</v>
      </c>
      <c r="G5">
        <v>0</v>
      </c>
      <c r="H5">
        <f>VLOOKUP(Model!$B$4,Parr_PreSmolt!$A$5:$D$6,3,FALSE)</f>
        <v>0.24</v>
      </c>
      <c r="I5">
        <f>VLOOKUP(Model!$B$4,Parr_PreSmolt!$A$5:$D$6,4,FALSE)</f>
        <v>0.11600000000000001</v>
      </c>
      <c r="J5">
        <v>1</v>
      </c>
      <c r="K5">
        <v>1</v>
      </c>
      <c r="L5">
        <v>1</v>
      </c>
      <c r="M5">
        <v>1</v>
      </c>
    </row>
    <row r="6" spans="1:13" ht="20" customHeight="1">
      <c r="A6" t="s">
        <v>20</v>
      </c>
      <c r="B6" t="s">
        <v>5</v>
      </c>
      <c r="C6" t="str">
        <f t="shared" si="0"/>
        <v>PreSmoltHeadwaters_LGDSmolt</v>
      </c>
      <c r="D6" s="194">
        <f>VLOOKUP(Model!$B$4,PreSmolt_LGDSmolt!$A$3:$D$4,3,FALSE)</f>
        <v>0.10768140000000001</v>
      </c>
      <c r="E6" s="194">
        <f>VLOOKUP(Model!$B$4,PreSmolt_LGDSmolt!$A$3:$D$4,4,FALSE)</f>
        <v>5.8999999999999997E-2</v>
      </c>
      <c r="F6" s="207">
        <v>1E+20</v>
      </c>
      <c r="G6">
        <v>0</v>
      </c>
      <c r="H6">
        <v>99999999999</v>
      </c>
      <c r="I6">
        <v>99999999999</v>
      </c>
      <c r="J6">
        <v>1</v>
      </c>
      <c r="K6">
        <v>1</v>
      </c>
      <c r="L6">
        <v>1</v>
      </c>
      <c r="M6">
        <v>1</v>
      </c>
    </row>
    <row r="7" spans="1:13" ht="20" customHeight="1">
      <c r="A7" t="s">
        <v>21</v>
      </c>
      <c r="B7" t="s">
        <v>5</v>
      </c>
      <c r="C7" t="str">
        <f t="shared" si="0"/>
        <v>PreSmoltValley_LGDSmolt</v>
      </c>
      <c r="D7" s="194">
        <f>VLOOKUP(Model!$B$4,PreSmolt_LGDSmolt!$A$5:$D$6,3,FALSE)</f>
        <v>0.12738780000000002</v>
      </c>
      <c r="E7" s="194">
        <f>VLOOKUP(Model!$B$4,PreSmolt_LGDSmolt!$A$5:$D$6,4,FALSE)</f>
        <v>5.8999999999999997E-2</v>
      </c>
      <c r="F7" s="207">
        <v>1E+20</v>
      </c>
      <c r="G7">
        <v>0</v>
      </c>
      <c r="H7">
        <v>99999999999</v>
      </c>
      <c r="I7">
        <v>99999999999</v>
      </c>
      <c r="J7">
        <v>1</v>
      </c>
      <c r="K7">
        <v>1</v>
      </c>
      <c r="L7">
        <v>1</v>
      </c>
      <c r="M7">
        <v>1</v>
      </c>
    </row>
    <row r="8" spans="1:13" ht="20" customHeight="1">
      <c r="A8" t="s">
        <v>33</v>
      </c>
      <c r="B8" t="s">
        <v>5</v>
      </c>
      <c r="C8" t="str">
        <f t="shared" si="0"/>
        <v>HatchRelease_LGDSmolt</v>
      </c>
      <c r="D8" s="194">
        <f>VLOOKUP(Model!$B$4,HatchRelease_LGDSmolt!$A$3:$D$4,3,FALSE)</f>
        <v>0.67600000000000005</v>
      </c>
      <c r="E8" s="194">
        <f>VLOOKUP(Model!$B$4,HatchRelease_LGDSmolt!$A$3:$D$4,4,FALSE)</f>
        <v>0.14189382993759533</v>
      </c>
      <c r="F8" s="207">
        <v>1E+20</v>
      </c>
      <c r="G8">
        <v>0</v>
      </c>
      <c r="H8">
        <v>99999999999</v>
      </c>
      <c r="I8">
        <v>99999999999</v>
      </c>
      <c r="J8">
        <v>1</v>
      </c>
      <c r="K8">
        <v>1</v>
      </c>
      <c r="L8">
        <v>1</v>
      </c>
      <c r="M8">
        <v>1</v>
      </c>
    </row>
    <row r="9" spans="1:13" ht="20" customHeight="1">
      <c r="A9" t="s">
        <v>5</v>
      </c>
      <c r="B9" t="s">
        <v>7</v>
      </c>
      <c r="C9" t="str">
        <f t="shared" si="0"/>
        <v>LGDSmolt_LGDAdult1</v>
      </c>
      <c r="D9" s="194">
        <f>SAR!B3</f>
        <v>3.5319878628902117E-2</v>
      </c>
      <c r="E9" s="194">
        <f>SAR!C3</f>
        <v>2.2819259225901729E-2</v>
      </c>
      <c r="F9" s="207">
        <v>1E+20</v>
      </c>
      <c r="G9">
        <v>0</v>
      </c>
      <c r="H9">
        <f>SAR!D3</f>
        <v>6.8559041520399683E-2</v>
      </c>
      <c r="I9">
        <v>99999999999</v>
      </c>
      <c r="J9">
        <v>1</v>
      </c>
      <c r="K9">
        <v>1</v>
      </c>
      <c r="L9">
        <v>1</v>
      </c>
      <c r="M9">
        <v>1</v>
      </c>
    </row>
    <row r="10" spans="1:13" ht="20" customHeight="1">
      <c r="A10" t="s">
        <v>5</v>
      </c>
      <c r="B10" t="s">
        <v>6</v>
      </c>
      <c r="C10" t="str">
        <f t="shared" si="0"/>
        <v>LGDSmolt_OceanAdult1</v>
      </c>
      <c r="D10" s="194">
        <f>SAR!B4</f>
        <v>3.5319878628902117E-2</v>
      </c>
      <c r="E10" s="194">
        <f>SAR!C4</f>
        <v>2.2819259225901729E-2</v>
      </c>
      <c r="F10" s="207">
        <v>1E+20</v>
      </c>
      <c r="G10">
        <v>0</v>
      </c>
      <c r="H10">
        <f>SAR!D4</f>
        <v>0.93144095847960029</v>
      </c>
      <c r="I10">
        <v>99999999999</v>
      </c>
      <c r="J10">
        <v>1</v>
      </c>
      <c r="K10">
        <v>1</v>
      </c>
      <c r="L10">
        <v>1</v>
      </c>
      <c r="M10">
        <v>1</v>
      </c>
    </row>
    <row r="11" spans="1:13" ht="20" customHeight="1">
      <c r="A11" t="s">
        <v>6</v>
      </c>
      <c r="B11" t="s">
        <v>9</v>
      </c>
      <c r="C11" t="str">
        <f t="shared" si="0"/>
        <v>OceanAdult1_LGDAdult2</v>
      </c>
      <c r="D11" s="194">
        <f>SAR!B5</f>
        <v>0.24251724922409285</v>
      </c>
      <c r="E11" s="194">
        <f>SAR!C5</f>
        <v>4.4529556333191653E-2</v>
      </c>
      <c r="F11" s="207">
        <v>1E+20</v>
      </c>
      <c r="G11">
        <v>0</v>
      </c>
      <c r="H11">
        <f>SAR!D5</f>
        <v>0.93171620729658622</v>
      </c>
      <c r="I11">
        <v>99999999999</v>
      </c>
      <c r="J11">
        <v>1</v>
      </c>
      <c r="K11">
        <v>1</v>
      </c>
      <c r="L11">
        <v>1</v>
      </c>
      <c r="M11">
        <v>1</v>
      </c>
    </row>
    <row r="12" spans="1:13" ht="20" customHeight="1">
      <c r="A12" t="s">
        <v>6</v>
      </c>
      <c r="B12" t="s">
        <v>8</v>
      </c>
      <c r="C12" t="str">
        <f t="shared" si="0"/>
        <v>OceanAdult1_OceanAdult2</v>
      </c>
      <c r="D12" s="194">
        <f>SAR!B6</f>
        <v>0.24251724922409285</v>
      </c>
      <c r="E12" s="194">
        <f>SAR!C6</f>
        <v>4.4529556333191653E-2</v>
      </c>
      <c r="F12" s="207">
        <v>1E+20</v>
      </c>
      <c r="G12">
        <v>0</v>
      </c>
      <c r="H12">
        <f>SAR!D6</f>
        <v>6.8283792703413781E-2</v>
      </c>
      <c r="I12">
        <v>99999999999</v>
      </c>
      <c r="J12">
        <v>1</v>
      </c>
      <c r="K12">
        <v>1</v>
      </c>
      <c r="L12">
        <v>1</v>
      </c>
      <c r="M12">
        <v>1</v>
      </c>
    </row>
    <row r="13" spans="1:13" ht="20" customHeight="1">
      <c r="A13" t="s">
        <v>8</v>
      </c>
      <c r="B13" t="s">
        <v>10</v>
      </c>
      <c r="C13" t="str">
        <f t="shared" si="0"/>
        <v>OceanAdult2_LGDAdult3</v>
      </c>
      <c r="D13" s="194">
        <f>SAR!B7</f>
        <v>0.5461196911931081</v>
      </c>
      <c r="E13" s="194">
        <f>SAR!C7</f>
        <v>2.2638490418774231E-2</v>
      </c>
      <c r="F13" s="207">
        <v>1E+20</v>
      </c>
      <c r="G13">
        <v>0</v>
      </c>
      <c r="H13">
        <v>1</v>
      </c>
      <c r="I13">
        <v>99999999999</v>
      </c>
      <c r="J13">
        <v>1</v>
      </c>
      <c r="K13">
        <v>1</v>
      </c>
      <c r="L13">
        <v>1</v>
      </c>
      <c r="M13">
        <v>1</v>
      </c>
    </row>
    <row r="14" spans="1:13" ht="20" customHeight="1">
      <c r="A14" t="s">
        <v>34</v>
      </c>
      <c r="B14" t="s">
        <v>35</v>
      </c>
      <c r="C14" t="str">
        <f t="shared" si="0"/>
        <v>LGDAdult_TrapAdult</v>
      </c>
      <c r="D14" s="194">
        <v>0.9</v>
      </c>
      <c r="E14" s="194">
        <v>0.1</v>
      </c>
      <c r="F14" s="207">
        <v>1E+20</v>
      </c>
      <c r="G14">
        <v>0</v>
      </c>
      <c r="H14">
        <v>99999999999</v>
      </c>
      <c r="I14">
        <v>99999999999</v>
      </c>
      <c r="J14">
        <v>1</v>
      </c>
      <c r="K14">
        <v>1</v>
      </c>
      <c r="L14">
        <v>1</v>
      </c>
      <c r="M14">
        <v>1</v>
      </c>
    </row>
    <row r="15" spans="1:13" ht="20" customHeight="1">
      <c r="A15" t="s">
        <v>37</v>
      </c>
      <c r="B15" t="s">
        <v>36</v>
      </c>
      <c r="C15" t="str">
        <f t="shared" si="0"/>
        <v>PassedAdult_Spawner</v>
      </c>
      <c r="D15" s="194">
        <f>VLOOKUP(Model!$B$4,PassedAdult_Spawner!$A$3:$D$4,3,FALSE)</f>
        <v>0.95384615400000006</v>
      </c>
      <c r="E15" s="194">
        <f>VLOOKUP(Model!$B$4,PassedAdult_Spawner!$A$3:$D$4,4,FALSE)</f>
        <v>3.7203925069351884E-2</v>
      </c>
      <c r="F15" s="207">
        <v>1E+20</v>
      </c>
      <c r="G15">
        <v>0</v>
      </c>
      <c r="H15">
        <v>99999999999</v>
      </c>
      <c r="I15">
        <v>99999999999</v>
      </c>
      <c r="J15">
        <v>1</v>
      </c>
      <c r="K15">
        <v>1</v>
      </c>
      <c r="L15">
        <v>1</v>
      </c>
      <c r="M15">
        <v>1</v>
      </c>
    </row>
    <row r="16" spans="1:13" ht="20" customHeight="1">
      <c r="A16" t="s">
        <v>40</v>
      </c>
      <c r="B16" t="s">
        <v>2</v>
      </c>
      <c r="C16" t="str">
        <f t="shared" si="0"/>
        <v>TotalSpawner_Egg</v>
      </c>
      <c r="D16" s="194">
        <f>Spawner_Egg_p!B3</f>
        <v>3831</v>
      </c>
      <c r="E16" s="194">
        <f>Spawner_Egg_p!C3</f>
        <v>102.34011921040546</v>
      </c>
      <c r="F16" t="e">
        <f>VLOOKUP(Model!#REF!,Spawner_Egg_c!$A$3:$D$16,3,FALSE)</f>
        <v>#REF!</v>
      </c>
      <c r="G16" t="e">
        <f>VLOOKUP(Model!#REF!,Spawner_Egg_c!$A$3:$D$16,4,FALSE)</f>
        <v>#REF!</v>
      </c>
      <c r="H16">
        <v>99999999999</v>
      </c>
      <c r="I16">
        <v>99999999999</v>
      </c>
      <c r="J16">
        <v>1</v>
      </c>
      <c r="K16">
        <v>1</v>
      </c>
      <c r="L16">
        <v>1</v>
      </c>
      <c r="M16">
        <v>1</v>
      </c>
    </row>
  </sheetData>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6D7E1-8EA8-A941-AEED-95693778E45B}">
  <sheetPr codeName="Sheet3">
    <tabColor theme="4" tint="-0.249977111117893"/>
  </sheetPr>
  <dimension ref="A1:D10"/>
  <sheetViews>
    <sheetView zoomScale="144" zoomScaleNormal="144" workbookViewId="0">
      <selection activeCell="C29" sqref="C29"/>
    </sheetView>
  </sheetViews>
  <sheetFormatPr baseColWidth="10" defaultRowHeight="16"/>
  <cols>
    <col min="1" max="1" width="18.83203125" bestFit="1" customWidth="1"/>
    <col min="2" max="2" width="20.6640625" customWidth="1"/>
  </cols>
  <sheetData>
    <row r="1" spans="1:4">
      <c r="A1" s="89" t="s">
        <v>159</v>
      </c>
      <c r="B1" s="89" t="s">
        <v>160</v>
      </c>
    </row>
    <row r="2" spans="1:4">
      <c r="A2" s="89" t="s">
        <v>268</v>
      </c>
      <c r="B2" s="89" t="str">
        <f>Model!B3</f>
        <v>My Test Model</v>
      </c>
      <c r="D2" s="229"/>
    </row>
    <row r="3" spans="1:4">
      <c r="A3" t="s">
        <v>23</v>
      </c>
      <c r="B3" t="str">
        <f>Model!B4</f>
        <v>CC</v>
      </c>
      <c r="D3" s="229"/>
    </row>
    <row r="4" spans="1:4">
      <c r="A4" t="s">
        <v>13</v>
      </c>
      <c r="B4" t="str">
        <f>Model!B5</f>
        <v>WidPNV</v>
      </c>
      <c r="D4" s="229"/>
    </row>
    <row r="5" spans="1:4">
      <c r="A5" t="s">
        <v>11</v>
      </c>
      <c r="B5">
        <f>Model!B6</f>
        <v>30</v>
      </c>
      <c r="D5" s="229"/>
    </row>
    <row r="6" spans="1:4">
      <c r="A6" t="s">
        <v>12</v>
      </c>
      <c r="B6">
        <f>Model!B7</f>
        <v>20</v>
      </c>
      <c r="D6" s="229"/>
    </row>
    <row r="7" spans="1:4">
      <c r="A7" t="s">
        <v>26</v>
      </c>
      <c r="B7">
        <f>Model!B8</f>
        <v>10000</v>
      </c>
      <c r="D7" s="229"/>
    </row>
    <row r="8" spans="1:4">
      <c r="A8" t="s">
        <v>27</v>
      </c>
      <c r="B8">
        <f>Model!B9</f>
        <v>10000</v>
      </c>
      <c r="D8" s="229"/>
    </row>
    <row r="9" spans="1:4">
      <c r="A9" t="s">
        <v>269</v>
      </c>
      <c r="B9">
        <f>Model!B10</f>
        <v>75</v>
      </c>
      <c r="D9" s="229"/>
    </row>
    <row r="10" spans="1:4">
      <c r="A10" t="s">
        <v>52</v>
      </c>
      <c r="B10" t="str">
        <f>Model!B11</f>
        <v>ON</v>
      </c>
      <c r="D10" s="2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593A5-946C-8B40-9A4E-67FA02D145F0}">
  <sheetPr codeName="Sheet4">
    <tabColor theme="4" tint="-0.249977111117893"/>
  </sheetPr>
  <dimension ref="A1"/>
  <sheetViews>
    <sheetView workbookViewId="0">
      <selection activeCell="C25" sqref="C25"/>
    </sheetView>
  </sheetViews>
  <sheetFormatPr baseColWidth="10" defaultRowHeight="16"/>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30877-6A2B-6A4F-9960-E78C41892CD9}">
  <sheetPr codeName="Sheet5"/>
  <dimension ref="A1:W42"/>
  <sheetViews>
    <sheetView zoomScale="129" zoomScaleNormal="129" workbookViewId="0">
      <selection activeCell="P25" sqref="P25"/>
    </sheetView>
  </sheetViews>
  <sheetFormatPr baseColWidth="10" defaultRowHeight="16"/>
  <cols>
    <col min="1" max="1" width="19.5" customWidth="1"/>
    <col min="2" max="2" width="17.33203125" customWidth="1"/>
    <col min="3" max="3" width="12" bestFit="1" customWidth="1"/>
    <col min="4" max="4" width="15.6640625" customWidth="1"/>
    <col min="5" max="5" width="13" customWidth="1"/>
    <col min="6" max="6" width="12.83203125" customWidth="1"/>
    <col min="12" max="12" width="14.6640625" customWidth="1"/>
    <col min="13" max="13" width="12.33203125" customWidth="1"/>
  </cols>
  <sheetData>
    <row r="1" spans="1:23" s="67" customFormat="1" ht="35" customHeight="1">
      <c r="A1" s="164" t="s">
        <v>132</v>
      </c>
      <c r="I1" s="87" t="s">
        <v>157</v>
      </c>
    </row>
    <row r="2" spans="1:23" s="67" customFormat="1" ht="23" customHeight="1">
      <c r="A2" s="167" t="s">
        <v>43</v>
      </c>
      <c r="B2" s="167" t="s">
        <v>14</v>
      </c>
      <c r="C2" s="167" t="s">
        <v>15</v>
      </c>
      <c r="D2" s="167" t="s">
        <v>16</v>
      </c>
      <c r="E2" s="92" t="s">
        <v>17</v>
      </c>
      <c r="F2" s="2" t="s">
        <v>22</v>
      </c>
      <c r="J2" s="87" t="s">
        <v>167</v>
      </c>
    </row>
    <row r="3" spans="1:23" s="67" customFormat="1" ht="23" customHeight="1">
      <c r="A3" s="168" t="s">
        <v>25</v>
      </c>
      <c r="B3" s="168" t="s">
        <v>169</v>
      </c>
      <c r="C3" s="169">
        <f>R20</f>
        <v>0.13691284598137657</v>
      </c>
      <c r="D3" s="169">
        <f>U20</f>
        <v>8.1796751545584162E-2</v>
      </c>
      <c r="E3" s="90"/>
      <c r="J3" s="87" t="s">
        <v>168</v>
      </c>
    </row>
    <row r="4" spans="1:23" s="67" customFormat="1" ht="23" customHeight="1">
      <c r="A4" s="168" t="s">
        <v>44</v>
      </c>
      <c r="B4" s="168" t="s">
        <v>169</v>
      </c>
      <c r="C4" s="169">
        <f>R21</f>
        <v>0.1964598096849503</v>
      </c>
      <c r="D4" s="169">
        <f>U21</f>
        <v>0.10166294218366853</v>
      </c>
      <c r="E4" s="90"/>
      <c r="I4" s="87"/>
    </row>
    <row r="5" spans="1:23" s="67" customFormat="1" ht="23" customHeight="1">
      <c r="A5" s="90"/>
      <c r="B5" s="90"/>
      <c r="C5" s="91"/>
      <c r="D5" s="91"/>
      <c r="E5" s="90"/>
      <c r="I5" s="87"/>
    </row>
    <row r="6" spans="1:23" s="165" customFormat="1" ht="23" customHeight="1" thickBot="1">
      <c r="A6" s="165" t="s">
        <v>15</v>
      </c>
    </row>
    <row r="7" spans="1:23" s="67" customFormat="1" ht="23" customHeight="1" thickTop="1">
      <c r="A7" s="166" t="s">
        <v>94</v>
      </c>
      <c r="B7" t="s">
        <v>133</v>
      </c>
      <c r="I7" s="87"/>
    </row>
    <row r="8" spans="1:23" s="67" customFormat="1" ht="23" customHeight="1">
      <c r="A8" s="166" t="s">
        <v>91</v>
      </c>
      <c r="I8" s="87"/>
    </row>
    <row r="9" spans="1:23" s="68" customFormat="1" ht="27" customHeight="1">
      <c r="O9" s="215" t="s">
        <v>134</v>
      </c>
      <c r="P9" s="215"/>
      <c r="Q9" s="215"/>
    </row>
    <row r="10" spans="1:23" s="69" customFormat="1" ht="37" thickBot="1">
      <c r="A10" s="170" t="s">
        <v>135</v>
      </c>
      <c r="B10" s="170" t="s">
        <v>43</v>
      </c>
      <c r="C10" s="170" t="s">
        <v>136</v>
      </c>
      <c r="D10" s="170" t="s">
        <v>137</v>
      </c>
      <c r="E10" s="170" t="s">
        <v>138</v>
      </c>
      <c r="F10" s="170" t="s">
        <v>139</v>
      </c>
      <c r="G10" s="170" t="s">
        <v>140</v>
      </c>
      <c r="H10" s="170" t="s">
        <v>141</v>
      </c>
      <c r="I10" s="170" t="s">
        <v>142</v>
      </c>
      <c r="J10" s="170" t="s">
        <v>143</v>
      </c>
      <c r="K10" s="170" t="s">
        <v>144</v>
      </c>
      <c r="L10" s="170" t="s">
        <v>145</v>
      </c>
      <c r="M10" s="171" t="s">
        <v>146</v>
      </c>
      <c r="O10" s="70" t="s">
        <v>147</v>
      </c>
      <c r="P10" s="70" t="s">
        <v>148</v>
      </c>
      <c r="Q10" s="70" t="s">
        <v>149</v>
      </c>
      <c r="S10"/>
      <c r="T10"/>
      <c r="U10"/>
      <c r="V10"/>
      <c r="W10"/>
    </row>
    <row r="11" spans="1:23" s="69" customFormat="1" ht="17" thickTop="1">
      <c r="A11" s="83">
        <v>1991</v>
      </c>
      <c r="B11" s="83" t="s">
        <v>25</v>
      </c>
      <c r="C11" s="83">
        <v>20</v>
      </c>
      <c r="D11" s="78">
        <f t="shared" ref="D11:F32" si="0">$C11*O$15</f>
        <v>4.6443619162207863</v>
      </c>
      <c r="E11" s="78">
        <f t="shared" si="0"/>
        <v>15.046566172939354</v>
      </c>
      <c r="F11" s="78">
        <f t="shared" si="0"/>
        <v>0.30907191083986235</v>
      </c>
      <c r="G11" s="78">
        <f t="shared" ref="G11:I32" si="1">D11*O$11</f>
        <v>15126.686761131101</v>
      </c>
      <c r="H11" s="78">
        <f t="shared" si="1"/>
        <v>61615.688478186654</v>
      </c>
      <c r="I11" s="78">
        <f t="shared" si="1"/>
        <v>1591.4112689144513</v>
      </c>
      <c r="J11" s="78">
        <f>SUM(G11:I11)</f>
        <v>78333.78650823221</v>
      </c>
      <c r="K11" s="83">
        <v>1993</v>
      </c>
      <c r="L11" s="79">
        <v>42333.831168831166</v>
      </c>
      <c r="M11" s="84">
        <f>L11/J11</f>
        <v>0.54042876076700619</v>
      </c>
      <c r="O11" s="70">
        <f>Spawner_Egg_p!C30</f>
        <v>3257</v>
      </c>
      <c r="P11" s="70">
        <f>Spawner_Egg_p!C31</f>
        <v>4095</v>
      </c>
      <c r="Q11" s="70">
        <f>Spawner_Egg_p!C32</f>
        <v>5149</v>
      </c>
      <c r="S11"/>
      <c r="T11"/>
      <c r="U11"/>
      <c r="V11"/>
      <c r="W11"/>
    </row>
    <row r="12" spans="1:23" s="69" customFormat="1">
      <c r="A12" s="83">
        <v>1992</v>
      </c>
      <c r="B12" s="83" t="s">
        <v>25</v>
      </c>
      <c r="C12" s="83">
        <v>49</v>
      </c>
      <c r="D12" s="78">
        <f t="shared" si="0"/>
        <v>11.378686694740926</v>
      </c>
      <c r="E12" s="78">
        <f t="shared" si="0"/>
        <v>36.864087123701417</v>
      </c>
      <c r="F12" s="78">
        <f t="shared" si="0"/>
        <v>0.75722618155766275</v>
      </c>
      <c r="G12" s="78">
        <f t="shared" si="1"/>
        <v>37060.3825647712</v>
      </c>
      <c r="H12" s="78">
        <f t="shared" si="1"/>
        <v>150958.43677155729</v>
      </c>
      <c r="I12" s="78">
        <f t="shared" si="1"/>
        <v>3898.9576088404056</v>
      </c>
      <c r="J12" s="78">
        <f t="shared" ref="J12:J31" si="2">SUM(G12:I12)</f>
        <v>191917.77694516888</v>
      </c>
      <c r="K12" s="83">
        <v>1994</v>
      </c>
      <c r="L12" s="79">
        <v>10436.758122743682</v>
      </c>
      <c r="M12" s="84">
        <f t="shared" ref="M12:M30" si="3">L12/J12</f>
        <v>5.4381403791090577E-2</v>
      </c>
      <c r="S12"/>
      <c r="T12"/>
      <c r="U12"/>
      <c r="V12"/>
      <c r="W12"/>
    </row>
    <row r="13" spans="1:23" s="69" customFormat="1" ht="19">
      <c r="A13" s="83">
        <v>1993</v>
      </c>
      <c r="B13" s="83" t="s">
        <v>25</v>
      </c>
      <c r="C13" s="83">
        <v>84</v>
      </c>
      <c r="D13" s="78">
        <f t="shared" si="0"/>
        <v>19.5063200481273</v>
      </c>
      <c r="E13" s="78">
        <f t="shared" si="0"/>
        <v>63.19557792634528</v>
      </c>
      <c r="F13" s="78">
        <f t="shared" si="0"/>
        <v>1.2981020255274218</v>
      </c>
      <c r="G13" s="78">
        <f t="shared" si="1"/>
        <v>63532.084396750615</v>
      </c>
      <c r="H13" s="78">
        <f t="shared" si="1"/>
        <v>258785.89160838391</v>
      </c>
      <c r="I13" s="78">
        <f t="shared" si="1"/>
        <v>6683.9273294406948</v>
      </c>
      <c r="J13" s="78">
        <f t="shared" si="2"/>
        <v>329001.90333457524</v>
      </c>
      <c r="K13" s="83">
        <v>1995</v>
      </c>
      <c r="L13" s="79">
        <v>9324.738636363636</v>
      </c>
      <c r="M13" s="84">
        <f t="shared" si="3"/>
        <v>2.8342506659850338E-2</v>
      </c>
      <c r="O13" s="216" t="s">
        <v>150</v>
      </c>
      <c r="P13" s="216"/>
      <c r="Q13" s="216"/>
      <c r="S13"/>
      <c r="T13"/>
      <c r="U13"/>
      <c r="V13"/>
      <c r="W13"/>
    </row>
    <row r="14" spans="1:23" s="69" customFormat="1">
      <c r="A14" s="83">
        <v>1994</v>
      </c>
      <c r="B14" s="83" t="s">
        <v>25</v>
      </c>
      <c r="C14" s="83">
        <v>15</v>
      </c>
      <c r="D14" s="78">
        <f t="shared" si="0"/>
        <v>3.4832714371655897</v>
      </c>
      <c r="E14" s="78">
        <f t="shared" si="0"/>
        <v>11.284924629704514</v>
      </c>
      <c r="F14" s="78">
        <f t="shared" si="0"/>
        <v>0.23180393312989678</v>
      </c>
      <c r="G14" s="78">
        <f t="shared" si="1"/>
        <v>11345.015070848325</v>
      </c>
      <c r="H14" s="78">
        <f t="shared" si="1"/>
        <v>46211.766358639987</v>
      </c>
      <c r="I14" s="78">
        <f t="shared" si="1"/>
        <v>1193.5584516858385</v>
      </c>
      <c r="J14" s="78">
        <f t="shared" si="2"/>
        <v>58750.33988117415</v>
      </c>
      <c r="K14" s="83">
        <v>1996</v>
      </c>
      <c r="L14" s="79">
        <v>14878.175355450237</v>
      </c>
      <c r="M14" s="84">
        <f>L14/J14</f>
        <v>0.25324407289459394</v>
      </c>
      <c r="O14" s="70" t="s">
        <v>147</v>
      </c>
      <c r="P14" s="70" t="s">
        <v>148</v>
      </c>
      <c r="Q14" s="70" t="s">
        <v>149</v>
      </c>
      <c r="S14"/>
      <c r="T14"/>
      <c r="U14"/>
      <c r="V14"/>
      <c r="W14"/>
    </row>
    <row r="15" spans="1:23" s="69" customFormat="1">
      <c r="A15" s="83">
        <v>1995</v>
      </c>
      <c r="B15" s="83" t="s">
        <v>25</v>
      </c>
      <c r="C15" s="83">
        <v>20</v>
      </c>
      <c r="D15" s="78">
        <f t="shared" si="0"/>
        <v>4.6443619162207863</v>
      </c>
      <c r="E15" s="78">
        <f t="shared" si="0"/>
        <v>15.046566172939354</v>
      </c>
      <c r="F15" s="78">
        <f t="shared" si="0"/>
        <v>0.30907191083986235</v>
      </c>
      <c r="G15" s="78">
        <f t="shared" si="1"/>
        <v>15126.686761131101</v>
      </c>
      <c r="H15" s="78">
        <f t="shared" si="1"/>
        <v>61615.688478186654</v>
      </c>
      <c r="I15" s="78">
        <f t="shared" si="1"/>
        <v>1591.4112689144513</v>
      </c>
      <c r="J15" s="78">
        <f t="shared" si="2"/>
        <v>78333.78650823221</v>
      </c>
      <c r="K15" s="83">
        <v>1997</v>
      </c>
      <c r="L15" s="79">
        <v>38203.859872611465</v>
      </c>
      <c r="M15" s="84">
        <f t="shared" si="3"/>
        <v>0.48770602795508383</v>
      </c>
      <c r="O15" s="73">
        <f>SAR!F31</f>
        <v>0.2322180958110393</v>
      </c>
      <c r="P15" s="73">
        <f>SAR!G31</f>
        <v>0.75232830864696765</v>
      </c>
      <c r="Q15" s="73">
        <f>SAR!H31</f>
        <v>1.5453595541993118E-2</v>
      </c>
    </row>
    <row r="16" spans="1:23" s="69" customFormat="1">
      <c r="A16" s="83">
        <v>1996</v>
      </c>
      <c r="B16" s="83" t="s">
        <v>25</v>
      </c>
      <c r="C16" s="83">
        <v>15</v>
      </c>
      <c r="D16" s="78">
        <f t="shared" si="0"/>
        <v>3.4832714371655897</v>
      </c>
      <c r="E16" s="78">
        <f t="shared" si="0"/>
        <v>11.284924629704514</v>
      </c>
      <c r="F16" s="78">
        <f t="shared" si="0"/>
        <v>0.23180393312989678</v>
      </c>
      <c r="G16" s="78">
        <f t="shared" si="1"/>
        <v>11345.015070848325</v>
      </c>
      <c r="H16" s="78">
        <f t="shared" si="1"/>
        <v>46211.766358639987</v>
      </c>
      <c r="I16" s="78">
        <f t="shared" si="1"/>
        <v>1193.5584516858385</v>
      </c>
      <c r="J16" s="78">
        <f t="shared" si="2"/>
        <v>58750.33988117415</v>
      </c>
      <c r="K16" s="83">
        <v>1998</v>
      </c>
      <c r="L16" s="79">
        <v>40393.192052980135</v>
      </c>
      <c r="M16" s="84">
        <f t="shared" si="3"/>
        <v>0.68753971695615079</v>
      </c>
    </row>
    <row r="17" spans="1:21" s="69" customFormat="1">
      <c r="A17" s="83">
        <v>1997</v>
      </c>
      <c r="B17" s="83" t="s">
        <v>25</v>
      </c>
      <c r="C17" s="83">
        <v>46</v>
      </c>
      <c r="D17" s="78">
        <f t="shared" si="0"/>
        <v>10.682032407307808</v>
      </c>
      <c r="E17" s="78">
        <f t="shared" si="0"/>
        <v>34.607102197760511</v>
      </c>
      <c r="F17" s="78">
        <f t="shared" si="0"/>
        <v>0.71086539493168344</v>
      </c>
      <c r="G17" s="78">
        <f t="shared" si="1"/>
        <v>34791.37955060153</v>
      </c>
      <c r="H17" s="78">
        <f t="shared" si="1"/>
        <v>141716.08349982928</v>
      </c>
      <c r="I17" s="78">
        <f t="shared" si="1"/>
        <v>3660.245918503238</v>
      </c>
      <c r="J17" s="78">
        <f t="shared" si="2"/>
        <v>180167.70896893405</v>
      </c>
      <c r="K17" s="83">
        <v>1999</v>
      </c>
      <c r="L17" s="79">
        <v>41091.034482758623</v>
      </c>
      <c r="M17" s="84">
        <f t="shared" si="3"/>
        <v>0.22807102736619617</v>
      </c>
    </row>
    <row r="18" spans="1:21" s="69" customFormat="1">
      <c r="A18" s="83">
        <v>1998</v>
      </c>
      <c r="B18" s="83" t="s">
        <v>25</v>
      </c>
      <c r="C18" s="83">
        <v>34</v>
      </c>
      <c r="D18" s="78">
        <f t="shared" si="0"/>
        <v>7.895415257575336</v>
      </c>
      <c r="E18" s="78">
        <f t="shared" si="0"/>
        <v>25.5791624939969</v>
      </c>
      <c r="F18" s="78">
        <f t="shared" si="0"/>
        <v>0.52542224842776597</v>
      </c>
      <c r="G18" s="78">
        <f t="shared" si="1"/>
        <v>25715.367493922869</v>
      </c>
      <c r="H18" s="78">
        <f t="shared" si="1"/>
        <v>104746.6704129173</v>
      </c>
      <c r="I18" s="78">
        <f t="shared" si="1"/>
        <v>2705.3991571545671</v>
      </c>
      <c r="J18" s="78">
        <f t="shared" si="2"/>
        <v>133167.43706399473</v>
      </c>
      <c r="K18" s="83">
        <v>2000</v>
      </c>
      <c r="L18" s="79">
        <v>40463.440366972471</v>
      </c>
      <c r="M18" s="84">
        <f t="shared" si="3"/>
        <v>0.3038538644212806</v>
      </c>
      <c r="O18" s="217" t="s">
        <v>151</v>
      </c>
      <c r="P18" s="217"/>
      <c r="Q18" s="217"/>
      <c r="R18" s="217"/>
      <c r="S18" s="217"/>
      <c r="T18" s="217"/>
    </row>
    <row r="19" spans="1:21" s="69" customFormat="1">
      <c r="A19" s="83">
        <v>1999</v>
      </c>
      <c r="B19" s="83" t="s">
        <v>25</v>
      </c>
      <c r="C19" s="83">
        <v>40</v>
      </c>
      <c r="D19" s="78">
        <f t="shared" si="0"/>
        <v>9.2887238324415726</v>
      </c>
      <c r="E19" s="78">
        <f t="shared" si="0"/>
        <v>30.093132345878708</v>
      </c>
      <c r="F19" s="78">
        <f t="shared" si="0"/>
        <v>0.6181438216797247</v>
      </c>
      <c r="G19" s="78">
        <f t="shared" si="1"/>
        <v>30253.373522262202</v>
      </c>
      <c r="H19" s="78">
        <f t="shared" si="1"/>
        <v>123231.37695637331</v>
      </c>
      <c r="I19" s="78">
        <f t="shared" si="1"/>
        <v>3182.8225378289026</v>
      </c>
      <c r="J19" s="78">
        <f t="shared" si="2"/>
        <v>156667.57301646442</v>
      </c>
      <c r="K19" s="83">
        <v>2001</v>
      </c>
      <c r="L19" s="79">
        <v>71272.800000000003</v>
      </c>
      <c r="M19" s="84">
        <f t="shared" si="3"/>
        <v>0.45493013409041477</v>
      </c>
      <c r="O19" s="74" t="s">
        <v>43</v>
      </c>
      <c r="P19" s="74" t="s">
        <v>152</v>
      </c>
      <c r="Q19" s="74" t="s">
        <v>153</v>
      </c>
      <c r="R19" s="74" t="s">
        <v>154</v>
      </c>
      <c r="S19" s="74" t="s">
        <v>155</v>
      </c>
      <c r="T19" s="74" t="s">
        <v>156</v>
      </c>
      <c r="U19" s="74" t="s">
        <v>166</v>
      </c>
    </row>
    <row r="20" spans="1:21" s="69" customFormat="1">
      <c r="A20" s="83">
        <v>2000</v>
      </c>
      <c r="B20" s="83" t="s">
        <v>25</v>
      </c>
      <c r="C20" s="83">
        <v>34</v>
      </c>
      <c r="D20" s="78">
        <f t="shared" si="0"/>
        <v>7.895415257575336</v>
      </c>
      <c r="E20" s="78">
        <f t="shared" si="0"/>
        <v>25.5791624939969</v>
      </c>
      <c r="F20" s="78">
        <f t="shared" si="0"/>
        <v>0.52542224842776597</v>
      </c>
      <c r="G20" s="78">
        <f t="shared" si="1"/>
        <v>25715.367493922869</v>
      </c>
      <c r="H20" s="78">
        <f t="shared" si="1"/>
        <v>104746.6704129173</v>
      </c>
      <c r="I20" s="78">
        <f t="shared" si="1"/>
        <v>2705.3991571545671</v>
      </c>
      <c r="J20" s="78">
        <f t="shared" si="2"/>
        <v>133167.43706399473</v>
      </c>
      <c r="K20" s="83">
        <v>2002</v>
      </c>
      <c r="L20" s="79">
        <v>153077.94444444447</v>
      </c>
      <c r="M20" s="84"/>
      <c r="O20" s="74" t="s">
        <v>25</v>
      </c>
      <c r="P20" s="75">
        <f>MIN($M$23:$M$31)</f>
        <v>4.0596606354313558E-2</v>
      </c>
      <c r="Q20" s="75">
        <f>PERCENTILE($M$22:$M$31, 0.25)</f>
        <v>9.6961350963696E-2</v>
      </c>
      <c r="R20" s="75">
        <f>PERCENTILE($M$22:$M$31, 0.5)</f>
        <v>0.13691284598137657</v>
      </c>
      <c r="S20" s="75">
        <f>PERCENTILE($M$22:$M$31, 0.75)</f>
        <v>0.21003360820897932</v>
      </c>
      <c r="T20" s="75">
        <f>MAX($M$22:$M$31)</f>
        <v>0.29420227435472124</v>
      </c>
      <c r="U20" s="75">
        <f>STDEV($M$22:$M$31)</f>
        <v>8.1796751545584162E-2</v>
      </c>
    </row>
    <row r="21" spans="1:21" s="69" customFormat="1">
      <c r="A21" s="83">
        <v>2001</v>
      </c>
      <c r="B21" s="83" t="s">
        <v>25</v>
      </c>
      <c r="C21" s="83">
        <v>133</v>
      </c>
      <c r="D21" s="78">
        <f t="shared" si="0"/>
        <v>30.885006742868228</v>
      </c>
      <c r="E21" s="78">
        <f t="shared" si="0"/>
        <v>100.0596650500467</v>
      </c>
      <c r="F21" s="78">
        <f t="shared" si="0"/>
        <v>2.0553282070850845</v>
      </c>
      <c r="G21" s="78">
        <f t="shared" si="1"/>
        <v>100592.46696152182</v>
      </c>
      <c r="H21" s="78">
        <f t="shared" si="1"/>
        <v>409744.32837994123</v>
      </c>
      <c r="I21" s="78">
        <f t="shared" si="1"/>
        <v>10582.8849382811</v>
      </c>
      <c r="J21" s="78">
        <f t="shared" si="2"/>
        <v>520919.68027974415</v>
      </c>
      <c r="K21" s="83">
        <v>2003</v>
      </c>
      <c r="L21" s="79">
        <v>151046.92982456138</v>
      </c>
      <c r="M21" s="84">
        <f t="shared" si="3"/>
        <v>0.28996203357770278</v>
      </c>
      <c r="O21" s="74" t="s">
        <v>44</v>
      </c>
      <c r="P21" s="75">
        <f>MIN($M$32:$M$41)</f>
        <v>5.1387053341668813E-2</v>
      </c>
      <c r="Q21" s="75">
        <f>PERCENTILE($M$32:$M$41, 0.25)</f>
        <v>0.13135543811310818</v>
      </c>
      <c r="R21" s="75">
        <f>PERCENTILE($M$32:$M$41, 0.5)</f>
        <v>0.1964598096849503</v>
      </c>
      <c r="S21" s="75">
        <f>PERCENTILE($M$32:$M$41, 0.75)</f>
        <v>0.27788642239695105</v>
      </c>
      <c r="T21" s="75">
        <f>MAX($M$32:$M$41)</f>
        <v>0.34473648025830989</v>
      </c>
      <c r="U21" s="75">
        <f>STDEV($M$32:$M$41)</f>
        <v>0.10166294218366853</v>
      </c>
    </row>
    <row r="22" spans="1:21" s="69" customFormat="1">
      <c r="A22" s="83">
        <v>2002</v>
      </c>
      <c r="B22" s="83" t="s">
        <v>25</v>
      </c>
      <c r="C22" s="83">
        <v>158</v>
      </c>
      <c r="D22" s="78">
        <f t="shared" si="0"/>
        <v>36.690459138144213</v>
      </c>
      <c r="E22" s="78">
        <f t="shared" si="0"/>
        <v>118.86787276622088</v>
      </c>
      <c r="F22" s="78">
        <f t="shared" si="0"/>
        <v>2.4416680956349124</v>
      </c>
      <c r="G22" s="78">
        <f t="shared" si="1"/>
        <v>119500.82541293571</v>
      </c>
      <c r="H22" s="78">
        <f t="shared" si="1"/>
        <v>486763.93897767452</v>
      </c>
      <c r="I22" s="78">
        <f t="shared" si="1"/>
        <v>12572.149024424163</v>
      </c>
      <c r="J22" s="78">
        <f t="shared" si="2"/>
        <v>618836.91341503442</v>
      </c>
      <c r="K22" s="83">
        <v>2004</v>
      </c>
      <c r="L22" s="79">
        <v>57927.491228070168</v>
      </c>
      <c r="M22" s="84">
        <f t="shared" si="3"/>
        <v>9.3607039225244187E-2</v>
      </c>
      <c r="R22" s="76"/>
    </row>
    <row r="23" spans="1:21" s="69" customFormat="1">
      <c r="A23" s="83">
        <v>2003</v>
      </c>
      <c r="B23" s="83" t="s">
        <v>25</v>
      </c>
      <c r="C23" s="83">
        <v>167</v>
      </c>
      <c r="D23" s="78">
        <f t="shared" si="0"/>
        <v>38.780422000443565</v>
      </c>
      <c r="E23" s="78">
        <f t="shared" si="0"/>
        <v>125.63882754404359</v>
      </c>
      <c r="F23" s="78">
        <f t="shared" si="0"/>
        <v>2.5807504555128506</v>
      </c>
      <c r="G23" s="78">
        <f t="shared" si="1"/>
        <v>126307.8344554447</v>
      </c>
      <c r="H23" s="78">
        <f t="shared" si="1"/>
        <v>514490.9987928585</v>
      </c>
      <c r="I23" s="78">
        <f t="shared" si="1"/>
        <v>13288.284095435669</v>
      </c>
      <c r="J23" s="78">
        <f t="shared" si="2"/>
        <v>654087.11734373879</v>
      </c>
      <c r="K23" s="83">
        <v>2005</v>
      </c>
      <c r="L23" s="79">
        <v>74225.190476190488</v>
      </c>
      <c r="M23" s="84">
        <f t="shared" si="3"/>
        <v>0.11347905884100043</v>
      </c>
      <c r="R23" s="76"/>
    </row>
    <row r="24" spans="1:21" s="69" customFormat="1">
      <c r="A24" s="83">
        <v>2004</v>
      </c>
      <c r="B24" s="83" t="s">
        <v>25</v>
      </c>
      <c r="C24" s="83">
        <v>96</v>
      </c>
      <c r="D24" s="78">
        <f t="shared" si="0"/>
        <v>22.292937197859771</v>
      </c>
      <c r="E24" s="78">
        <f t="shared" si="0"/>
        <v>72.223517630108887</v>
      </c>
      <c r="F24" s="78">
        <f t="shared" si="0"/>
        <v>1.4835451720313393</v>
      </c>
      <c r="G24" s="78">
        <f t="shared" si="1"/>
        <v>72608.096453429273</v>
      </c>
      <c r="H24" s="78">
        <f t="shared" si="1"/>
        <v>295755.30469529587</v>
      </c>
      <c r="I24" s="78">
        <f t="shared" si="1"/>
        <v>7638.7740907893658</v>
      </c>
      <c r="J24" s="78">
        <f t="shared" si="2"/>
        <v>376002.1752395145</v>
      </c>
      <c r="K24" s="83">
        <v>2006</v>
      </c>
      <c r="L24" s="79">
        <v>66042.824999999997</v>
      </c>
      <c r="M24" s="84">
        <f t="shared" si="3"/>
        <v>0.1756447950279291</v>
      </c>
    </row>
    <row r="25" spans="1:21" s="69" customFormat="1">
      <c r="A25" s="83">
        <v>2005</v>
      </c>
      <c r="B25" s="83" t="s">
        <v>25</v>
      </c>
      <c r="C25" s="83">
        <v>74</v>
      </c>
      <c r="D25" s="78">
        <f t="shared" si="0"/>
        <v>17.18413909001691</v>
      </c>
      <c r="E25" s="78">
        <f t="shared" si="0"/>
        <v>55.672294839875605</v>
      </c>
      <c r="F25" s="78">
        <f t="shared" si="0"/>
        <v>1.1435660701074908</v>
      </c>
      <c r="G25" s="78">
        <f t="shared" si="1"/>
        <v>55968.741016185071</v>
      </c>
      <c r="H25" s="78">
        <f t="shared" si="1"/>
        <v>227978.04736929061</v>
      </c>
      <c r="I25" s="78">
        <f t="shared" si="1"/>
        <v>5888.2216949834701</v>
      </c>
      <c r="J25" s="78">
        <f t="shared" si="2"/>
        <v>289835.01008045918</v>
      </c>
      <c r="K25" s="83">
        <v>2007</v>
      </c>
      <c r="L25" s="79">
        <v>46474.068027210888</v>
      </c>
      <c r="M25" s="84">
        <f t="shared" si="3"/>
        <v>0.16034663312175271</v>
      </c>
    </row>
    <row r="26" spans="1:21" s="69" customFormat="1">
      <c r="A26" s="83">
        <v>2006</v>
      </c>
      <c r="B26" s="83" t="s">
        <v>25</v>
      </c>
      <c r="C26" s="83">
        <v>117</v>
      </c>
      <c r="D26" s="78">
        <f t="shared" si="0"/>
        <v>27.169517209891598</v>
      </c>
      <c r="E26" s="78">
        <f t="shared" si="0"/>
        <v>88.022412111695218</v>
      </c>
      <c r="F26" s="78">
        <f t="shared" si="0"/>
        <v>1.8080706784131948</v>
      </c>
      <c r="G26" s="78">
        <f t="shared" si="1"/>
        <v>88491.117552616939</v>
      </c>
      <c r="H26" s="78">
        <f t="shared" si="1"/>
        <v>360451.77759739192</v>
      </c>
      <c r="I26" s="78">
        <f t="shared" si="1"/>
        <v>9309.7559231495397</v>
      </c>
      <c r="J26" s="78">
        <f t="shared" si="2"/>
        <v>458252.65107315837</v>
      </c>
      <c r="K26" s="83">
        <v>2008</v>
      </c>
      <c r="L26" s="79">
        <v>103336.14953271029</v>
      </c>
      <c r="M26" s="84">
        <f t="shared" si="3"/>
        <v>0.22550038562943969</v>
      </c>
    </row>
    <row r="27" spans="1:21" s="69" customFormat="1">
      <c r="A27" s="83">
        <v>2007</v>
      </c>
      <c r="B27" s="83" t="s">
        <v>25</v>
      </c>
      <c r="C27" s="83">
        <v>59</v>
      </c>
      <c r="D27" s="78">
        <f t="shared" si="0"/>
        <v>13.700867652851318</v>
      </c>
      <c r="E27" s="78">
        <f t="shared" si="0"/>
        <v>44.387370210171092</v>
      </c>
      <c r="F27" s="78">
        <f t="shared" si="0"/>
        <v>0.9117621369775939</v>
      </c>
      <c r="G27" s="78">
        <f t="shared" si="1"/>
        <v>44623.725945336744</v>
      </c>
      <c r="H27" s="78">
        <f t="shared" si="1"/>
        <v>181766.28101065062</v>
      </c>
      <c r="I27" s="78">
        <f t="shared" si="1"/>
        <v>4694.6632432976312</v>
      </c>
      <c r="J27" s="78">
        <f t="shared" si="2"/>
        <v>231084.670199285</v>
      </c>
      <c r="K27" s="83">
        <v>2009</v>
      </c>
      <c r="L27" s="79">
        <v>24731.671875</v>
      </c>
      <c r="M27" s="84">
        <f t="shared" si="3"/>
        <v>0.10702428617905145</v>
      </c>
    </row>
    <row r="28" spans="1:21" s="69" customFormat="1">
      <c r="A28" s="83">
        <v>2008</v>
      </c>
      <c r="B28" s="83" t="s">
        <v>25</v>
      </c>
      <c r="C28" s="83">
        <v>101</v>
      </c>
      <c r="D28" s="78">
        <f t="shared" si="0"/>
        <v>23.454027676914968</v>
      </c>
      <c r="E28" s="78">
        <f t="shared" si="0"/>
        <v>75.985159173343732</v>
      </c>
      <c r="F28" s="78">
        <f t="shared" si="0"/>
        <v>1.5608131497413049</v>
      </c>
      <c r="G28" s="78">
        <f t="shared" si="1"/>
        <v>76389.768143712048</v>
      </c>
      <c r="H28" s="78">
        <f t="shared" si="1"/>
        <v>311159.22681484261</v>
      </c>
      <c r="I28" s="78">
        <f t="shared" si="1"/>
        <v>8036.6269080179791</v>
      </c>
      <c r="J28" s="78">
        <f t="shared" si="2"/>
        <v>395585.62186657259</v>
      </c>
      <c r="K28" s="83">
        <v>2010</v>
      </c>
      <c r="L28" s="79">
        <v>116382.18965517241</v>
      </c>
      <c r="M28" s="84">
        <f t="shared" si="3"/>
        <v>0.29420227435472124</v>
      </c>
    </row>
    <row r="29" spans="1:21" s="69" customFormat="1">
      <c r="A29" s="83">
        <v>2009</v>
      </c>
      <c r="B29" s="83" t="s">
        <v>25</v>
      </c>
      <c r="C29" s="83">
        <v>89</v>
      </c>
      <c r="D29" s="78">
        <f t="shared" si="0"/>
        <v>20.667410527182497</v>
      </c>
      <c r="E29" s="78">
        <f t="shared" si="0"/>
        <v>66.957219469580124</v>
      </c>
      <c r="F29" s="78">
        <f t="shared" si="0"/>
        <v>1.3753700032373875</v>
      </c>
      <c r="G29" s="78">
        <f t="shared" si="1"/>
        <v>67313.756087033398</v>
      </c>
      <c r="H29" s="78">
        <f t="shared" si="1"/>
        <v>274189.8137279306</v>
      </c>
      <c r="I29" s="78">
        <f t="shared" si="1"/>
        <v>7081.7801466693081</v>
      </c>
      <c r="J29" s="78">
        <f t="shared" si="2"/>
        <v>348585.34996163327</v>
      </c>
      <c r="K29" s="83">
        <v>2012</v>
      </c>
      <c r="L29" s="79">
        <v>77210.450980392168</v>
      </c>
      <c r="M29" s="84">
        <f t="shared" si="3"/>
        <v>0.22149654593599608</v>
      </c>
    </row>
    <row r="30" spans="1:21" s="69" customFormat="1">
      <c r="A30" s="83">
        <v>2010</v>
      </c>
      <c r="B30" s="83" t="s">
        <v>25</v>
      </c>
      <c r="C30" s="83">
        <v>368</v>
      </c>
      <c r="D30" s="78">
        <f t="shared" si="0"/>
        <v>85.456259258462467</v>
      </c>
      <c r="E30" s="78">
        <f t="shared" si="0"/>
        <v>276.85681758208409</v>
      </c>
      <c r="F30" s="78">
        <f t="shared" si="0"/>
        <v>5.6869231594534675</v>
      </c>
      <c r="G30" s="78">
        <f t="shared" si="1"/>
        <v>278331.03640481224</v>
      </c>
      <c r="H30" s="78">
        <f t="shared" si="1"/>
        <v>1133728.6679986343</v>
      </c>
      <c r="I30" s="78">
        <f t="shared" si="1"/>
        <v>29281.967348025904</v>
      </c>
      <c r="J30" s="78">
        <f t="shared" si="2"/>
        <v>1441341.6717514724</v>
      </c>
      <c r="K30" s="78">
        <v>2013</v>
      </c>
      <c r="L30" s="79">
        <v>75419.434782608689</v>
      </c>
      <c r="M30" s="84">
        <f t="shared" si="3"/>
        <v>5.2325854626100829E-2</v>
      </c>
    </row>
    <row r="31" spans="1:21" s="69" customFormat="1">
      <c r="A31" s="83">
        <v>2012</v>
      </c>
      <c r="B31" s="83" t="s">
        <v>25</v>
      </c>
      <c r="C31" s="83">
        <v>237</v>
      </c>
      <c r="D31" s="78">
        <f t="shared" si="0"/>
        <v>55.035688707216316</v>
      </c>
      <c r="E31" s="78">
        <f t="shared" si="0"/>
        <v>178.30180914933132</v>
      </c>
      <c r="F31" s="78">
        <f t="shared" si="0"/>
        <v>3.662502143452369</v>
      </c>
      <c r="G31" s="78">
        <f t="shared" si="1"/>
        <v>179251.23811940354</v>
      </c>
      <c r="H31" s="78">
        <f t="shared" si="1"/>
        <v>730145.90846651176</v>
      </c>
      <c r="I31" s="78">
        <f t="shared" si="1"/>
        <v>18858.223536636247</v>
      </c>
      <c r="J31" s="78">
        <f t="shared" si="2"/>
        <v>928255.37012255145</v>
      </c>
      <c r="K31" s="78">
        <v>2014</v>
      </c>
      <c r="L31" s="79">
        <v>37684.017857142855</v>
      </c>
      <c r="M31" s="84">
        <f>L31/J31</f>
        <v>4.0596606354313558E-2</v>
      </c>
    </row>
    <row r="32" spans="1:21" s="69" customFormat="1">
      <c r="A32" s="72">
        <v>1992</v>
      </c>
      <c r="B32" s="72" t="s">
        <v>44</v>
      </c>
      <c r="C32" s="72">
        <v>121</v>
      </c>
      <c r="D32" s="71">
        <f t="shared" si="0"/>
        <v>28.098389593135757</v>
      </c>
      <c r="E32" s="71">
        <f t="shared" si="0"/>
        <v>91.031725346283082</v>
      </c>
      <c r="F32" s="71">
        <f t="shared" si="0"/>
        <v>1.8698850605811672</v>
      </c>
      <c r="G32" s="71">
        <f t="shared" si="1"/>
        <v>91516.454904843165</v>
      </c>
      <c r="H32" s="71">
        <f t="shared" si="1"/>
        <v>372774.91529302922</v>
      </c>
      <c r="I32" s="71">
        <f t="shared" si="1"/>
        <v>9628.0381769324304</v>
      </c>
      <c r="J32" s="71">
        <f t="shared" ref="J32:J41" si="4">SUM(G32:I32)</f>
        <v>473919.40837480483</v>
      </c>
      <c r="K32" s="71">
        <v>1994</v>
      </c>
      <c r="L32" s="77">
        <v>77466.791666666672</v>
      </c>
      <c r="M32" s="82">
        <f t="shared" ref="M32:M41" si="5">L32/J32</f>
        <v>0.1634598421118072</v>
      </c>
      <c r="N32" s="80"/>
    </row>
    <row r="33" spans="1:14" s="69" customFormat="1">
      <c r="A33" s="72">
        <v>1993</v>
      </c>
      <c r="B33" s="72" t="s">
        <v>44</v>
      </c>
      <c r="C33" s="72">
        <v>104</v>
      </c>
      <c r="D33" s="71">
        <f t="shared" ref="D33:F41" si="6">$C33*O$15</f>
        <v>24.150681964348088</v>
      </c>
      <c r="E33" s="71">
        <f t="shared" si="6"/>
        <v>78.24214409928463</v>
      </c>
      <c r="F33" s="71">
        <f t="shared" si="6"/>
        <v>1.6071739363672841</v>
      </c>
      <c r="G33" s="71">
        <f t="shared" ref="G33:I41" si="7">D33*O$11</f>
        <v>78658.771157881725</v>
      </c>
      <c r="H33" s="71">
        <f t="shared" si="7"/>
        <v>320401.58008657058</v>
      </c>
      <c r="I33" s="71">
        <f t="shared" si="7"/>
        <v>8275.3385983551452</v>
      </c>
      <c r="J33" s="71">
        <f t="shared" si="4"/>
        <v>407335.68984280742</v>
      </c>
      <c r="K33" s="71">
        <v>1995</v>
      </c>
      <c r="L33" s="77">
        <v>125619.91907514451</v>
      </c>
      <c r="M33" s="82">
        <f t="shared" si="5"/>
        <v>0.3083940892182116</v>
      </c>
      <c r="N33" s="80"/>
    </row>
    <row r="34" spans="1:14" s="69" customFormat="1">
      <c r="A34" s="72">
        <v>2006</v>
      </c>
      <c r="B34" s="72" t="s">
        <v>44</v>
      </c>
      <c r="C34" s="72">
        <v>18</v>
      </c>
      <c r="D34" s="71">
        <f t="shared" si="6"/>
        <v>4.1799257245987071</v>
      </c>
      <c r="E34" s="71">
        <f t="shared" si="6"/>
        <v>13.541909555645418</v>
      </c>
      <c r="F34" s="71">
        <f t="shared" si="6"/>
        <v>0.27816471975587609</v>
      </c>
      <c r="G34" s="71">
        <f t="shared" si="7"/>
        <v>13614.01808501799</v>
      </c>
      <c r="H34" s="71">
        <f t="shared" si="7"/>
        <v>55454.11963036799</v>
      </c>
      <c r="I34" s="71">
        <f t="shared" si="7"/>
        <v>1432.270142023006</v>
      </c>
      <c r="J34" s="71">
        <f t="shared" si="4"/>
        <v>70500.40785740898</v>
      </c>
      <c r="K34" s="71">
        <v>2008</v>
      </c>
      <c r="L34" s="77">
        <v>17113</v>
      </c>
      <c r="M34" s="82">
        <f t="shared" si="5"/>
        <v>0.24273618437232306</v>
      </c>
    </row>
    <row r="35" spans="1:14" s="69" customFormat="1">
      <c r="A35" s="72">
        <v>2008</v>
      </c>
      <c r="B35" s="72" t="s">
        <v>44</v>
      </c>
      <c r="C35" s="72">
        <v>32</v>
      </c>
      <c r="D35" s="71">
        <f t="shared" si="6"/>
        <v>7.4309790659532577</v>
      </c>
      <c r="E35" s="71">
        <f t="shared" si="6"/>
        <v>24.074505876702965</v>
      </c>
      <c r="F35" s="71">
        <f t="shared" si="6"/>
        <v>0.49451505734377976</v>
      </c>
      <c r="G35" s="71">
        <f t="shared" si="7"/>
        <v>24202.69881780976</v>
      </c>
      <c r="H35" s="71">
        <f t="shared" si="7"/>
        <v>98585.101565098637</v>
      </c>
      <c r="I35" s="71">
        <f t="shared" si="7"/>
        <v>2546.2580302631218</v>
      </c>
      <c r="J35" s="71">
        <f t="shared" si="4"/>
        <v>125334.05841317153</v>
      </c>
      <c r="K35" s="71">
        <v>2010</v>
      </c>
      <c r="L35" s="77">
        <v>36297.140425531921</v>
      </c>
      <c r="M35" s="82">
        <f t="shared" si="5"/>
        <v>0.28960316840516037</v>
      </c>
    </row>
    <row r="36" spans="1:14" s="69" customFormat="1">
      <c r="A36" s="72">
        <v>2009</v>
      </c>
      <c r="B36" s="72" t="s">
        <v>44</v>
      </c>
      <c r="C36" s="72">
        <v>52</v>
      </c>
      <c r="D36" s="71">
        <f t="shared" si="6"/>
        <v>12.075340982174044</v>
      </c>
      <c r="E36" s="71">
        <f t="shared" si="6"/>
        <v>39.121072049642315</v>
      </c>
      <c r="F36" s="71">
        <f t="shared" si="6"/>
        <v>0.80358696818364206</v>
      </c>
      <c r="G36" s="71">
        <f t="shared" si="7"/>
        <v>39329.385578940863</v>
      </c>
      <c r="H36" s="71">
        <f t="shared" si="7"/>
        <v>160200.79004328529</v>
      </c>
      <c r="I36" s="71">
        <f t="shared" si="7"/>
        <v>4137.6692991775726</v>
      </c>
      <c r="J36" s="71">
        <f t="shared" si="4"/>
        <v>203667.84492140371</v>
      </c>
      <c r="K36" s="71">
        <v>2011</v>
      </c>
      <c r="L36" s="77">
        <v>70211.736000000004</v>
      </c>
      <c r="M36" s="82">
        <f t="shared" si="5"/>
        <v>0.34473648025830989</v>
      </c>
    </row>
    <row r="37" spans="1:14" s="69" customFormat="1">
      <c r="A37" s="72">
        <v>2010</v>
      </c>
      <c r="B37" s="72" t="s">
        <v>44</v>
      </c>
      <c r="C37" s="72">
        <v>360</v>
      </c>
      <c r="D37" s="71">
        <f t="shared" si="6"/>
        <v>83.598514491974143</v>
      </c>
      <c r="E37" s="71">
        <f t="shared" si="6"/>
        <v>270.83819111290836</v>
      </c>
      <c r="F37" s="71">
        <f t="shared" si="6"/>
        <v>5.5632943951175227</v>
      </c>
      <c r="G37" s="71">
        <f t="shared" si="7"/>
        <v>272280.36170035979</v>
      </c>
      <c r="H37" s="71">
        <f t="shared" si="7"/>
        <v>1109082.3926073597</v>
      </c>
      <c r="I37" s="71">
        <f t="shared" si="7"/>
        <v>28645.402840460123</v>
      </c>
      <c r="J37" s="71">
        <f t="shared" si="4"/>
        <v>1410008.1571481796</v>
      </c>
      <c r="K37" s="71">
        <v>2012</v>
      </c>
      <c r="L37" s="77">
        <v>227463.30120481929</v>
      </c>
      <c r="M37" s="82">
        <f t="shared" si="5"/>
        <v>0.16132055694264674</v>
      </c>
    </row>
    <row r="38" spans="1:14" s="69" customFormat="1">
      <c r="A38" s="72">
        <v>2011</v>
      </c>
      <c r="B38" s="72" t="s">
        <v>44</v>
      </c>
      <c r="C38" s="72">
        <v>227</v>
      </c>
      <c r="D38" s="71">
        <f t="shared" si="6"/>
        <v>52.713507749105922</v>
      </c>
      <c r="E38" s="71">
        <f t="shared" si="6"/>
        <v>170.77852606286166</v>
      </c>
      <c r="F38" s="71">
        <f t="shared" si="6"/>
        <v>3.5079661880324378</v>
      </c>
      <c r="G38" s="71">
        <f t="shared" si="7"/>
        <v>171687.89473883799</v>
      </c>
      <c r="H38" s="71">
        <f t="shared" si="7"/>
        <v>699338.06422741851</v>
      </c>
      <c r="I38" s="71">
        <f t="shared" si="7"/>
        <v>18062.517902179021</v>
      </c>
      <c r="J38" s="71">
        <f t="shared" si="4"/>
        <v>889088.47686843551</v>
      </c>
      <c r="K38" s="71">
        <v>2013</v>
      </c>
      <c r="L38" s="77">
        <v>56714.081632653055</v>
      </c>
      <c r="M38" s="82">
        <f t="shared" si="5"/>
        <v>6.3789018875165818E-2</v>
      </c>
    </row>
    <row r="39" spans="1:14" s="69" customFormat="1">
      <c r="A39" s="72">
        <v>2012</v>
      </c>
      <c r="B39" s="72" t="s">
        <v>44</v>
      </c>
      <c r="C39" s="72">
        <v>97</v>
      </c>
      <c r="D39" s="71">
        <f t="shared" si="6"/>
        <v>22.525155293670814</v>
      </c>
      <c r="E39" s="71">
        <f t="shared" si="6"/>
        <v>72.975845938755867</v>
      </c>
      <c r="F39" s="71">
        <f t="shared" si="6"/>
        <v>1.4989987675733325</v>
      </c>
      <c r="G39" s="71">
        <f t="shared" si="7"/>
        <v>73364.430791485836</v>
      </c>
      <c r="H39" s="71">
        <f t="shared" si="7"/>
        <v>298836.08911920525</v>
      </c>
      <c r="I39" s="71">
        <f t="shared" si="7"/>
        <v>7718.3446542350894</v>
      </c>
      <c r="J39" s="71">
        <f t="shared" si="4"/>
        <v>379918.86456492619</v>
      </c>
      <c r="K39" s="71">
        <v>2014</v>
      </c>
      <c r="L39" s="77">
        <v>87176.098039215707</v>
      </c>
      <c r="M39" s="82">
        <f t="shared" si="5"/>
        <v>0.22945977725809338</v>
      </c>
    </row>
    <row r="40" spans="1:14" s="69" customFormat="1">
      <c r="A40" s="72">
        <v>2013</v>
      </c>
      <c r="B40" s="72" t="s">
        <v>44</v>
      </c>
      <c r="C40" s="72">
        <v>50</v>
      </c>
      <c r="D40" s="71">
        <f t="shared" si="6"/>
        <v>11.610904790551965</v>
      </c>
      <c r="E40" s="71">
        <f t="shared" si="6"/>
        <v>37.616415432348383</v>
      </c>
      <c r="F40" s="71">
        <f t="shared" si="6"/>
        <v>0.77267977709965585</v>
      </c>
      <c r="G40" s="71">
        <f t="shared" si="7"/>
        <v>37816.716902827749</v>
      </c>
      <c r="H40" s="71">
        <f t="shared" si="7"/>
        <v>154039.22119546664</v>
      </c>
      <c r="I40" s="71">
        <f t="shared" si="7"/>
        <v>3978.5281722861278</v>
      </c>
      <c r="J40" s="71">
        <f t="shared" si="4"/>
        <v>195834.46627058054</v>
      </c>
      <c r="K40" s="71">
        <v>2015</v>
      </c>
      <c r="L40" s="77">
        <v>23767.854430379746</v>
      </c>
      <c r="M40" s="82">
        <f t="shared" si="5"/>
        <v>0.12136706516992866</v>
      </c>
    </row>
    <row r="41" spans="1:14" s="69" customFormat="1">
      <c r="A41" s="72">
        <v>2014</v>
      </c>
      <c r="B41" s="72" t="s">
        <v>44</v>
      </c>
      <c r="C41" s="72">
        <v>292</v>
      </c>
      <c r="D41" s="71">
        <f t="shared" si="6"/>
        <v>67.807683976823483</v>
      </c>
      <c r="E41" s="71">
        <f t="shared" si="6"/>
        <v>219.67986612491455</v>
      </c>
      <c r="F41" s="71">
        <f>$C41*Q$15</f>
        <v>4.5124498982619903</v>
      </c>
      <c r="G41" s="71">
        <f t="shared" si="7"/>
        <v>220849.62671251409</v>
      </c>
      <c r="H41" s="71">
        <f t="shared" si="7"/>
        <v>899589.05178152514</v>
      </c>
      <c r="I41" s="71">
        <f t="shared" si="7"/>
        <v>23234.604526150986</v>
      </c>
      <c r="J41" s="71">
        <f t="shared" si="4"/>
        <v>1143673.2830201902</v>
      </c>
      <c r="K41" s="71">
        <v>2016</v>
      </c>
      <c r="L41" s="77">
        <v>58770.000000000007</v>
      </c>
      <c r="M41" s="82">
        <f t="shared" si="5"/>
        <v>5.1387053341668813E-2</v>
      </c>
    </row>
    <row r="42" spans="1:14" s="69" customFormat="1" ht="15">
      <c r="A42" s="85"/>
      <c r="B42" s="85"/>
      <c r="C42" s="85"/>
      <c r="D42" s="85"/>
      <c r="E42" s="85"/>
      <c r="F42" s="85"/>
      <c r="G42" s="85"/>
      <c r="H42" s="85"/>
      <c r="I42" s="85"/>
      <c r="J42" s="85"/>
      <c r="K42" s="85"/>
      <c r="L42" s="86"/>
      <c r="M42" s="85"/>
    </row>
  </sheetData>
  <mergeCells count="3">
    <mergeCell ref="O9:Q9"/>
    <mergeCell ref="O13:Q13"/>
    <mergeCell ref="O18:T18"/>
  </mergeCells>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B76A6-30D1-E345-B6B1-3815347672C3}">
  <sheetPr codeName="Sheet6"/>
  <dimension ref="A1:X114"/>
  <sheetViews>
    <sheetView topLeftCell="A22" zoomScale="151" zoomScaleNormal="151" workbookViewId="0">
      <selection activeCell="G28" sqref="G28"/>
    </sheetView>
  </sheetViews>
  <sheetFormatPr baseColWidth="10" defaultColWidth="11" defaultRowHeight="16"/>
  <cols>
    <col min="1" max="1" width="11" style="1"/>
    <col min="6" max="6" width="17.6640625" customWidth="1"/>
    <col min="20" max="20" width="22.6640625" customWidth="1"/>
  </cols>
  <sheetData>
    <row r="1" spans="1:24" ht="21" customHeight="1">
      <c r="A1" s="189" t="s">
        <v>226</v>
      </c>
      <c r="H1" s="193" t="s">
        <v>231</v>
      </c>
    </row>
    <row r="2" spans="1:24">
      <c r="H2" s="193" t="s">
        <v>232</v>
      </c>
    </row>
    <row r="4" spans="1:24" ht="29" customHeight="1">
      <c r="A4" s="190" t="s">
        <v>227</v>
      </c>
    </row>
    <row r="5" spans="1:24" ht="16" customHeight="1">
      <c r="A5" s="191" t="s">
        <v>228</v>
      </c>
    </row>
    <row r="6" spans="1:24" ht="18" customHeight="1">
      <c r="A6" s="191" t="s">
        <v>229</v>
      </c>
    </row>
    <row r="7" spans="1:24" ht="21">
      <c r="F7" s="172" t="s">
        <v>213</v>
      </c>
      <c r="G7" s="173"/>
      <c r="P7" s="179"/>
      <c r="T7" s="172" t="s">
        <v>230</v>
      </c>
      <c r="U7" s="173"/>
    </row>
    <row r="8" spans="1:24" ht="19">
      <c r="F8" s="174" t="s">
        <v>214</v>
      </c>
      <c r="G8" s="175">
        <v>149542.57109880686</v>
      </c>
      <c r="T8" s="174" t="s">
        <v>214</v>
      </c>
      <c r="U8" s="175">
        <v>165687.37610977169</v>
      </c>
    </row>
    <row r="9" spans="1:24" ht="19">
      <c r="F9" s="174" t="s">
        <v>215</v>
      </c>
      <c r="G9" s="175">
        <v>352.30590006082372</v>
      </c>
      <c r="T9" s="174" t="s">
        <v>215</v>
      </c>
      <c r="U9" s="175">
        <v>310.68943739789773</v>
      </c>
    </row>
    <row r="10" spans="1:24" ht="19">
      <c r="F10" s="176" t="s">
        <v>216</v>
      </c>
      <c r="G10" s="176">
        <f>G8/G9</f>
        <v>424.46797250057165</v>
      </c>
      <c r="T10" s="176" t="s">
        <v>216</v>
      </c>
      <c r="U10" s="176">
        <f>U8/U9</f>
        <v>533.28937571050108</v>
      </c>
    </row>
    <row r="11" spans="1:24" ht="19">
      <c r="F11" s="174" t="s">
        <v>217</v>
      </c>
      <c r="G11" s="177">
        <f>SUM(G14:G22)</f>
        <v>2.5005098270441968</v>
      </c>
      <c r="T11" s="174" t="s">
        <v>217</v>
      </c>
      <c r="U11" s="177">
        <f>SUM(U14:U33)</f>
        <v>3.7857269982282515</v>
      </c>
    </row>
    <row r="12" spans="1:24">
      <c r="G12" s="178"/>
      <c r="I12" s="179"/>
      <c r="U12" s="178"/>
      <c r="W12" s="179"/>
    </row>
    <row r="13" spans="1:24" ht="43">
      <c r="B13" s="180" t="s">
        <v>135</v>
      </c>
      <c r="C13" s="180" t="s">
        <v>218</v>
      </c>
      <c r="D13" s="181" t="s">
        <v>219</v>
      </c>
      <c r="E13" s="182" t="s">
        <v>145</v>
      </c>
      <c r="F13" s="181" t="s">
        <v>220</v>
      </c>
      <c r="G13" s="181" t="s">
        <v>221</v>
      </c>
      <c r="H13" s="181" t="s">
        <v>222</v>
      </c>
      <c r="I13" s="181" t="s">
        <v>219</v>
      </c>
      <c r="J13" s="181" t="s">
        <v>222</v>
      </c>
      <c r="K13" s="181" t="s">
        <v>223</v>
      </c>
      <c r="P13" s="180" t="s">
        <v>135</v>
      </c>
      <c r="Q13" s="180" t="s">
        <v>218</v>
      </c>
      <c r="R13" s="181" t="s">
        <v>219</v>
      </c>
      <c r="S13" s="182" t="s">
        <v>145</v>
      </c>
      <c r="T13" s="181" t="s">
        <v>220</v>
      </c>
      <c r="U13" s="181" t="s">
        <v>221</v>
      </c>
      <c r="V13" s="181" t="s">
        <v>222</v>
      </c>
      <c r="W13" s="181" t="s">
        <v>219</v>
      </c>
      <c r="X13" s="181" t="s">
        <v>222</v>
      </c>
    </row>
    <row r="14" spans="1:24">
      <c r="A14" s="1" t="s">
        <v>224</v>
      </c>
      <c r="B14">
        <v>1992</v>
      </c>
      <c r="C14" s="183">
        <v>1994</v>
      </c>
      <c r="D14" s="184">
        <v>390</v>
      </c>
      <c r="E14" s="178">
        <v>77466.791666666672</v>
      </c>
      <c r="F14" s="185">
        <f>LN($G$8)-LN($G$9+D14)</f>
        <v>5.3055749653484483</v>
      </c>
      <c r="G14" s="186">
        <f>(LN(E14/D14)-F14)^2</f>
        <v>1.9929182305600761E-4</v>
      </c>
      <c r="H14" s="186">
        <f>$G$8*D14/($G$9+D14)</f>
        <v>78568.151921944678</v>
      </c>
      <c r="I14">
        <v>10</v>
      </c>
      <c r="J14" s="186">
        <f>$G$8*I14/($G$9+I14)</f>
        <v>4127.5223802234996</v>
      </c>
      <c r="K14" s="183">
        <f>$G$8</f>
        <v>149542.57109880686</v>
      </c>
      <c r="P14">
        <v>1993</v>
      </c>
      <c r="Q14" s="183">
        <v>1995</v>
      </c>
      <c r="R14" s="184">
        <v>257</v>
      </c>
      <c r="S14" s="178">
        <v>42333.831168831166</v>
      </c>
      <c r="T14" s="185">
        <f>LN($U$8)-LN($U$9+R14)</f>
        <v>5.6762835112507579</v>
      </c>
      <c r="U14" s="186">
        <f>(LN(S14/R14)-T14)^2</f>
        <v>0.32720431723929339</v>
      </c>
      <c r="V14" s="186">
        <f>$U$8*R14/($U$9+R14)</f>
        <v>75008.715778457437</v>
      </c>
      <c r="W14">
        <v>10</v>
      </c>
      <c r="X14" s="186">
        <f>$U$8*W14/($U$9+W14)</f>
        <v>5166.59910766546</v>
      </c>
    </row>
    <row r="15" spans="1:24">
      <c r="B15">
        <v>1993</v>
      </c>
      <c r="C15" s="183">
        <v>1995</v>
      </c>
      <c r="D15" s="184">
        <v>327</v>
      </c>
      <c r="E15" s="178">
        <v>125619.91907514451</v>
      </c>
      <c r="F15" s="185">
        <f t="shared" ref="F15:F22" si="0">LN($G$8)-LN($G$9+D15)</f>
        <v>5.3942648461306657</v>
      </c>
      <c r="G15" s="186">
        <f t="shared" ref="G15:G22" si="1">(LN(E15/D15)-F15)^2</f>
        <v>0.31001632322258155</v>
      </c>
      <c r="H15" s="186">
        <f t="shared" ref="H15:H22" si="2">$G$8*D15/($G$9+D15)</f>
        <v>71985.861958406953</v>
      </c>
      <c r="I15">
        <f>I14+25</f>
        <v>35</v>
      </c>
      <c r="J15" s="186">
        <f t="shared" ref="J15:J78" si="3">$G$8*I15/($G$9+I15)</f>
        <v>13513.840061915604</v>
      </c>
      <c r="K15" s="183">
        <f t="shared" ref="K15:K78" si="4">$G$8</f>
        <v>149542.57109880686</v>
      </c>
      <c r="P15">
        <v>1994</v>
      </c>
      <c r="Q15" s="183">
        <v>1996</v>
      </c>
      <c r="R15" s="184">
        <v>28</v>
      </c>
      <c r="S15" s="178">
        <v>10436.758122743682</v>
      </c>
      <c r="T15" s="185">
        <f t="shared" ref="T15:T33" si="5">LN($U$8)-LN($U$9+R15)</f>
        <v>6.1927744416756267</v>
      </c>
      <c r="U15" s="186">
        <f t="shared" ref="U15:U33" si="6">(LN(S15/R15)-T15)^2</f>
        <v>7.3923988997625811E-2</v>
      </c>
      <c r="V15" s="186">
        <f t="shared" ref="V15:V33" si="7">$U$8*R15/($U$9+R15)</f>
        <v>13697.641611490077</v>
      </c>
      <c r="W15">
        <f>W14+25</f>
        <v>35</v>
      </c>
      <c r="X15" s="186">
        <f t="shared" ref="X15:X74" si="8">$U$8*W15/($U$9+W15)</f>
        <v>16775.340917249778</v>
      </c>
    </row>
    <row r="16" spans="1:24">
      <c r="B16">
        <v>2006</v>
      </c>
      <c r="C16" s="183">
        <v>2008</v>
      </c>
      <c r="D16" s="184">
        <v>54</v>
      </c>
      <c r="E16" s="178">
        <v>17113</v>
      </c>
      <c r="F16" s="185">
        <f t="shared" si="0"/>
        <v>5.9082300634635594</v>
      </c>
      <c r="G16" s="186">
        <f t="shared" si="1"/>
        <v>2.2386270814230735E-2</v>
      </c>
      <c r="H16" s="186">
        <f t="shared" si="2"/>
        <v>19874.923888938614</v>
      </c>
      <c r="I16">
        <f t="shared" ref="I16:I79" si="9">I15+25</f>
        <v>60</v>
      </c>
      <c r="J16" s="186">
        <f t="shared" si="3"/>
        <v>21761.886658921867</v>
      </c>
      <c r="K16" s="183">
        <f t="shared" si="4"/>
        <v>149542.57109880686</v>
      </c>
      <c r="P16">
        <v>1995</v>
      </c>
      <c r="Q16" s="183">
        <v>1997</v>
      </c>
      <c r="R16" s="184">
        <v>34</v>
      </c>
      <c r="S16" s="178">
        <v>9324.738636363636</v>
      </c>
      <c r="T16" s="185">
        <f t="shared" si="5"/>
        <v>6.17521418512744</v>
      </c>
      <c r="U16" s="186">
        <f t="shared" si="6"/>
        <v>0.31488763220217664</v>
      </c>
      <c r="V16" s="186">
        <f t="shared" si="7"/>
        <v>16343.322935159358</v>
      </c>
      <c r="W16">
        <f t="shared" ref="W16:W74" si="10">W15+25</f>
        <v>60</v>
      </c>
      <c r="X16" s="186">
        <f t="shared" si="8"/>
        <v>26818.251516337055</v>
      </c>
    </row>
    <row r="17" spans="2:24">
      <c r="B17">
        <v>2008</v>
      </c>
      <c r="C17" s="183">
        <v>2010</v>
      </c>
      <c r="D17" s="184">
        <v>88</v>
      </c>
      <c r="E17" s="178">
        <v>36297.140425531921</v>
      </c>
      <c r="F17" s="185">
        <f t="shared" si="0"/>
        <v>5.8278666750265486</v>
      </c>
      <c r="G17" s="186">
        <f t="shared" si="1"/>
        <v>3.7748896114175021E-2</v>
      </c>
      <c r="H17" s="186">
        <f t="shared" si="2"/>
        <v>29887.73544682713</v>
      </c>
      <c r="I17">
        <f t="shared" si="9"/>
        <v>85</v>
      </c>
      <c r="J17" s="186">
        <f t="shared" si="3"/>
        <v>29066.880967374618</v>
      </c>
      <c r="K17" s="183">
        <f t="shared" si="4"/>
        <v>149542.57109880686</v>
      </c>
      <c r="P17">
        <v>1996</v>
      </c>
      <c r="Q17" s="183">
        <v>1998</v>
      </c>
      <c r="R17" s="184">
        <v>34</v>
      </c>
      <c r="S17" s="178">
        <v>14878.175355450237</v>
      </c>
      <c r="T17" s="185">
        <f t="shared" si="5"/>
        <v>6.17521418512744</v>
      </c>
      <c r="U17" s="186">
        <f t="shared" si="6"/>
        <v>8.8217239443900697E-3</v>
      </c>
      <c r="V17" s="186">
        <f t="shared" si="7"/>
        <v>16343.322935159358</v>
      </c>
      <c r="W17">
        <f t="shared" si="10"/>
        <v>85</v>
      </c>
      <c r="X17" s="186">
        <f t="shared" si="8"/>
        <v>35592.122604901808</v>
      </c>
    </row>
    <row r="18" spans="2:24">
      <c r="B18">
        <v>2009</v>
      </c>
      <c r="C18" s="183">
        <v>2011</v>
      </c>
      <c r="D18" s="184">
        <v>152</v>
      </c>
      <c r="E18" s="178">
        <v>70211.736000000004</v>
      </c>
      <c r="F18" s="185">
        <f t="shared" si="0"/>
        <v>5.6921533592710567</v>
      </c>
      <c r="G18" s="186">
        <f t="shared" si="1"/>
        <v>0.19645892772394286</v>
      </c>
      <c r="H18" s="186">
        <f t="shared" si="2"/>
        <v>45072.783808948392</v>
      </c>
      <c r="I18">
        <f t="shared" si="9"/>
        <v>110</v>
      </c>
      <c r="J18" s="186">
        <f t="shared" si="3"/>
        <v>35581.81459225274</v>
      </c>
      <c r="K18" s="183">
        <f t="shared" si="4"/>
        <v>149542.57109880686</v>
      </c>
      <c r="P18">
        <v>1997</v>
      </c>
      <c r="Q18" s="183">
        <v>1999</v>
      </c>
      <c r="R18" s="184">
        <v>97</v>
      </c>
      <c r="S18" s="178">
        <v>38203.859872611465</v>
      </c>
      <c r="T18" s="185">
        <f t="shared" si="5"/>
        <v>6.0073523135876794</v>
      </c>
      <c r="U18" s="186">
        <f t="shared" si="6"/>
        <v>9.8416842820226607E-4</v>
      </c>
      <c r="V18" s="186">
        <f t="shared" si="7"/>
        <v>39421.368346519565</v>
      </c>
      <c r="W18">
        <f t="shared" si="10"/>
        <v>110</v>
      </c>
      <c r="X18" s="186">
        <f t="shared" si="8"/>
        <v>43323.196999682892</v>
      </c>
    </row>
    <row r="19" spans="2:24">
      <c r="B19">
        <v>2010</v>
      </c>
      <c r="C19" s="183">
        <v>2012</v>
      </c>
      <c r="D19" s="184">
        <v>2038</v>
      </c>
      <c r="E19" s="178">
        <v>227463.30120481929</v>
      </c>
      <c r="F19" s="185">
        <f t="shared" si="0"/>
        <v>4.1361597593986232</v>
      </c>
      <c r="G19" s="186">
        <f t="shared" si="1"/>
        <v>0.3350791517445586</v>
      </c>
      <c r="H19" s="186">
        <f t="shared" si="2"/>
        <v>127501.57203377747</v>
      </c>
      <c r="I19">
        <f t="shared" si="9"/>
        <v>135</v>
      </c>
      <c r="J19" s="186">
        <f t="shared" si="3"/>
        <v>41428.283745013352</v>
      </c>
      <c r="K19" s="183">
        <f t="shared" si="4"/>
        <v>149542.57109880686</v>
      </c>
      <c r="P19">
        <v>1998</v>
      </c>
      <c r="Q19" s="183">
        <v>2000</v>
      </c>
      <c r="R19" s="184">
        <v>91</v>
      </c>
      <c r="S19" s="178">
        <v>40393.192052980135</v>
      </c>
      <c r="T19" s="185">
        <f t="shared" si="5"/>
        <v>6.0221787690298276</v>
      </c>
      <c r="U19" s="186">
        <f t="shared" si="6"/>
        <v>5.3843691378489033E-3</v>
      </c>
      <c r="V19" s="186">
        <f t="shared" si="7"/>
        <v>37535.344030104519</v>
      </c>
      <c r="W19">
        <f t="shared" si="10"/>
        <v>135</v>
      </c>
      <c r="X19" s="186">
        <f t="shared" si="8"/>
        <v>50186.955081122782</v>
      </c>
    </row>
    <row r="20" spans="2:24">
      <c r="B20">
        <v>2011</v>
      </c>
      <c r="C20" s="183">
        <v>2013</v>
      </c>
      <c r="D20" s="184">
        <v>873</v>
      </c>
      <c r="E20" s="178">
        <v>56714.081632653055</v>
      </c>
      <c r="F20" s="185">
        <f t="shared" si="0"/>
        <v>4.804390581650436</v>
      </c>
      <c r="G20" s="186">
        <f t="shared" si="1"/>
        <v>0.39759119053761921</v>
      </c>
      <c r="H20" s="186">
        <f t="shared" si="2"/>
        <v>106545.36517189538</v>
      </c>
      <c r="I20">
        <f t="shared" si="9"/>
        <v>160</v>
      </c>
      <c r="J20" s="186">
        <f t="shared" si="3"/>
        <v>46704.14955784889</v>
      </c>
      <c r="K20" s="183">
        <f t="shared" si="4"/>
        <v>149542.57109880686</v>
      </c>
      <c r="P20">
        <v>1999</v>
      </c>
      <c r="Q20" s="183">
        <v>2001</v>
      </c>
      <c r="R20" s="184">
        <v>44</v>
      </c>
      <c r="S20" s="178">
        <v>41091.034482758623</v>
      </c>
      <c r="T20" s="185">
        <f t="shared" si="5"/>
        <v>6.1466154329346887</v>
      </c>
      <c r="U20" s="186">
        <f t="shared" si="6"/>
        <v>0.47988894414296257</v>
      </c>
      <c r="V20" s="186">
        <f t="shared" si="7"/>
        <v>20553.881170844146</v>
      </c>
      <c r="W20">
        <f t="shared" si="10"/>
        <v>160</v>
      </c>
      <c r="X20" s="186">
        <f t="shared" si="8"/>
        <v>56321.595666386784</v>
      </c>
    </row>
    <row r="21" spans="2:24">
      <c r="B21">
        <v>2012</v>
      </c>
      <c r="C21" s="183">
        <v>2014</v>
      </c>
      <c r="D21" s="184">
        <v>384</v>
      </c>
      <c r="E21" s="178">
        <v>87176.098039215707</v>
      </c>
      <c r="F21" s="185">
        <f t="shared" si="0"/>
        <v>5.3136907303278571</v>
      </c>
      <c r="G21" s="186">
        <f t="shared" si="1"/>
        <v>1.2399308960176507E-2</v>
      </c>
      <c r="H21" s="186">
        <f t="shared" si="2"/>
        <v>77989.796492460824</v>
      </c>
      <c r="I21">
        <f t="shared" si="9"/>
        <v>185</v>
      </c>
      <c r="J21" s="186">
        <f t="shared" si="3"/>
        <v>51489.059863566581</v>
      </c>
      <c r="K21" s="183">
        <f t="shared" si="4"/>
        <v>149542.57109880686</v>
      </c>
      <c r="P21">
        <v>2000</v>
      </c>
      <c r="Q21" s="183">
        <v>2002</v>
      </c>
      <c r="R21" s="184">
        <v>51</v>
      </c>
      <c r="S21" s="178">
        <v>40463.440366972471</v>
      </c>
      <c r="T21" s="185">
        <f t="shared" si="5"/>
        <v>6.1270720794250924</v>
      </c>
      <c r="U21" s="186">
        <f t="shared" si="6"/>
        <v>0.30168262180060468</v>
      </c>
      <c r="V21" s="186">
        <f t="shared" si="7"/>
        <v>23362.739709488324</v>
      </c>
      <c r="W21">
        <f t="shared" si="10"/>
        <v>185</v>
      </c>
      <c r="X21" s="186">
        <f t="shared" si="8"/>
        <v>61837.437451189398</v>
      </c>
    </row>
    <row r="22" spans="2:24">
      <c r="B22">
        <v>2013</v>
      </c>
      <c r="C22" s="183">
        <v>2015</v>
      </c>
      <c r="D22" s="184">
        <v>316</v>
      </c>
      <c r="E22" s="178">
        <v>23767.854430379746</v>
      </c>
      <c r="F22" s="185">
        <f t="shared" si="0"/>
        <v>5.4105903848516359</v>
      </c>
      <c r="G22" s="186">
        <f t="shared" si="1"/>
        <v>1.188630466103856</v>
      </c>
      <c r="H22" s="186">
        <f t="shared" si="2"/>
        <v>70709.315094962003</v>
      </c>
      <c r="I22">
        <f t="shared" si="9"/>
        <v>210</v>
      </c>
      <c r="J22" s="186">
        <f t="shared" si="3"/>
        <v>55848.497992556244</v>
      </c>
      <c r="K22" s="183">
        <f t="shared" si="4"/>
        <v>149542.57109880686</v>
      </c>
      <c r="P22">
        <v>2001</v>
      </c>
      <c r="Q22" s="183">
        <v>2003</v>
      </c>
      <c r="R22" s="184">
        <v>369</v>
      </c>
      <c r="S22" s="178">
        <v>71272.800000000003</v>
      </c>
      <c r="T22" s="185">
        <f t="shared" si="5"/>
        <v>5.4962220311592587</v>
      </c>
      <c r="U22" s="186">
        <f t="shared" si="6"/>
        <v>5.4171923955966317E-2</v>
      </c>
      <c r="V22" s="186">
        <f t="shared" si="7"/>
        <v>89950.848756112871</v>
      </c>
      <c r="W22">
        <f t="shared" si="10"/>
        <v>210</v>
      </c>
      <c r="X22" s="186">
        <f t="shared" si="8"/>
        <v>66823.612088107489</v>
      </c>
    </row>
    <row r="23" spans="2:24">
      <c r="I23">
        <f t="shared" si="9"/>
        <v>235</v>
      </c>
      <c r="J23" s="186">
        <f t="shared" si="3"/>
        <v>59836.797492720776</v>
      </c>
      <c r="K23" s="183">
        <f t="shared" si="4"/>
        <v>149542.57109880686</v>
      </c>
      <c r="P23">
        <v>2002</v>
      </c>
      <c r="Q23" s="183">
        <v>2004</v>
      </c>
      <c r="R23" s="184">
        <v>403</v>
      </c>
      <c r="S23" s="178">
        <v>153077.94444444447</v>
      </c>
      <c r="T23" s="185">
        <f t="shared" si="5"/>
        <v>5.4474101092080511</v>
      </c>
      <c r="U23" s="186">
        <f t="shared" si="6"/>
        <v>0.24241427348961581</v>
      </c>
      <c r="V23" s="186">
        <f t="shared" si="7"/>
        <v>93558.919430961265</v>
      </c>
      <c r="W23">
        <f t="shared" si="10"/>
        <v>235</v>
      </c>
      <c r="X23" s="186">
        <f t="shared" si="8"/>
        <v>71352.917460641955</v>
      </c>
    </row>
    <row r="24" spans="2:24">
      <c r="D24" s="187" t="s">
        <v>225</v>
      </c>
      <c r="E24" s="188">
        <f>AVERAGE(E14:E22)</f>
        <v>80203.324719378972</v>
      </c>
      <c r="I24">
        <f t="shared" si="9"/>
        <v>260</v>
      </c>
      <c r="J24" s="186">
        <f t="shared" si="3"/>
        <v>63499.4183166086</v>
      </c>
      <c r="K24" s="183">
        <f t="shared" si="4"/>
        <v>149542.57109880686</v>
      </c>
      <c r="P24">
        <v>2003</v>
      </c>
      <c r="Q24" s="183">
        <v>2005</v>
      </c>
      <c r="R24" s="184">
        <v>400</v>
      </c>
      <c r="S24" s="178">
        <v>151046.92982456138</v>
      </c>
      <c r="T24" s="185">
        <f t="shared" si="5"/>
        <v>5.4516224778258335</v>
      </c>
      <c r="U24" s="186">
        <f t="shared" si="6"/>
        <v>0.23257358501300007</v>
      </c>
      <c r="V24" s="186">
        <f t="shared" si="7"/>
        <v>93254.446958669141</v>
      </c>
      <c r="W24">
        <f t="shared" si="10"/>
        <v>260</v>
      </c>
      <c r="X24" s="186">
        <f t="shared" si="8"/>
        <v>75485.395322824537</v>
      </c>
    </row>
    <row r="25" spans="2:24">
      <c r="I25">
        <f t="shared" si="9"/>
        <v>285</v>
      </c>
      <c r="J25" s="186">
        <f t="shared" si="3"/>
        <v>66874.687271987263</v>
      </c>
      <c r="K25" s="183">
        <f t="shared" si="4"/>
        <v>149542.57109880686</v>
      </c>
      <c r="P25">
        <v>2004</v>
      </c>
      <c r="Q25" s="183">
        <v>2006</v>
      </c>
      <c r="R25" s="184">
        <v>204</v>
      </c>
      <c r="S25" s="178">
        <v>57927.491228070168</v>
      </c>
      <c r="T25" s="185">
        <f t="shared" si="5"/>
        <v>5.7742943307101378</v>
      </c>
      <c r="U25" s="186">
        <f t="shared" si="6"/>
        <v>1.5741960148675991E-2</v>
      </c>
      <c r="V25" s="186">
        <f t="shared" si="7"/>
        <v>65671.106244721785</v>
      </c>
      <c r="W25">
        <f t="shared" si="10"/>
        <v>285</v>
      </c>
      <c r="X25" s="186">
        <f t="shared" si="8"/>
        <v>79271.00805674211</v>
      </c>
    </row>
    <row r="26" spans="2:24">
      <c r="I26">
        <f t="shared" si="9"/>
        <v>310</v>
      </c>
      <c r="J26" s="186">
        <f t="shared" si="3"/>
        <v>69995.144292649013</v>
      </c>
      <c r="K26" s="183">
        <f t="shared" si="4"/>
        <v>149542.57109880686</v>
      </c>
      <c r="P26">
        <v>2005</v>
      </c>
      <c r="Q26" s="183">
        <v>2007</v>
      </c>
      <c r="R26" s="184">
        <v>132</v>
      </c>
      <c r="S26" s="178">
        <v>74225.190476190488</v>
      </c>
      <c r="T26" s="185">
        <f t="shared" si="5"/>
        <v>5.9249895353466213</v>
      </c>
      <c r="U26" s="186">
        <f t="shared" si="6"/>
        <v>0.16570387457085475</v>
      </c>
      <c r="V26" s="186">
        <f t="shared" si="7"/>
        <v>49404.236466640672</v>
      </c>
      <c r="W26">
        <f t="shared" si="10"/>
        <v>310</v>
      </c>
      <c r="X26" s="186">
        <f t="shared" si="8"/>
        <v>82751.668546765548</v>
      </c>
    </row>
    <row r="27" spans="2:24">
      <c r="I27">
        <f t="shared" si="9"/>
        <v>335</v>
      </c>
      <c r="J27" s="186">
        <f t="shared" si="3"/>
        <v>72888.594894452297</v>
      </c>
      <c r="K27" s="183">
        <f t="shared" si="4"/>
        <v>149542.57109880686</v>
      </c>
      <c r="P27">
        <v>2006</v>
      </c>
      <c r="Q27" s="183">
        <v>2008</v>
      </c>
      <c r="R27" s="184">
        <v>239</v>
      </c>
      <c r="S27" s="178">
        <v>66042.824999999997</v>
      </c>
      <c r="T27" s="185">
        <f t="shared" si="5"/>
        <v>5.708504555826913</v>
      </c>
      <c r="U27" s="186">
        <f t="shared" si="6"/>
        <v>7.5532496372857014E-3</v>
      </c>
      <c r="V27" s="186">
        <f t="shared" si="7"/>
        <v>72039.37386479399</v>
      </c>
      <c r="W27">
        <f t="shared" si="10"/>
        <v>335</v>
      </c>
      <c r="X27" s="186">
        <f t="shared" si="8"/>
        <v>85962.798494052346</v>
      </c>
    </row>
    <row r="28" spans="2:24">
      <c r="I28">
        <f t="shared" si="9"/>
        <v>360</v>
      </c>
      <c r="J28" s="186">
        <f t="shared" si="3"/>
        <v>75578.941001293802</v>
      </c>
      <c r="K28" s="183">
        <f t="shared" si="4"/>
        <v>149542.57109880686</v>
      </c>
      <c r="P28">
        <v>2007</v>
      </c>
      <c r="Q28" s="183">
        <v>2009</v>
      </c>
      <c r="R28" s="184">
        <v>161</v>
      </c>
      <c r="S28" s="178">
        <v>46474.068027210888</v>
      </c>
      <c r="T28" s="185">
        <f t="shared" si="5"/>
        <v>5.861537217884182</v>
      </c>
      <c r="U28" s="186">
        <f t="shared" si="6"/>
        <v>3.8530480046342817E-2</v>
      </c>
      <c r="V28" s="186">
        <f t="shared" si="7"/>
        <v>56553.455385456829</v>
      </c>
      <c r="W28">
        <f t="shared" si="10"/>
        <v>360</v>
      </c>
      <c r="X28" s="186">
        <f t="shared" si="8"/>
        <v>88934.538213296706</v>
      </c>
    </row>
    <row r="29" spans="2:24">
      <c r="I29">
        <f t="shared" si="9"/>
        <v>385</v>
      </c>
      <c r="J29" s="186">
        <f t="shared" si="3"/>
        <v>78086.842745041256</v>
      </c>
      <c r="K29" s="183">
        <f t="shared" si="4"/>
        <v>149542.57109880686</v>
      </c>
      <c r="P29">
        <v>2008</v>
      </c>
      <c r="Q29" s="183">
        <v>2010</v>
      </c>
      <c r="R29" s="184">
        <v>199</v>
      </c>
      <c r="S29" s="178">
        <v>103336.14953271029</v>
      </c>
      <c r="T29" s="185">
        <f t="shared" si="5"/>
        <v>5.7840564213401429</v>
      </c>
      <c r="U29" s="186">
        <f t="shared" si="6"/>
        <v>0.2193810374117984</v>
      </c>
      <c r="V29" s="186">
        <f t="shared" si="7"/>
        <v>64689.957112265169</v>
      </c>
      <c r="W29">
        <f t="shared" si="10"/>
        <v>385</v>
      </c>
      <c r="X29" s="186">
        <f t="shared" si="8"/>
        <v>91692.695581028034</v>
      </c>
    </row>
    <row r="30" spans="2:24">
      <c r="I30">
        <f t="shared" si="9"/>
        <v>410</v>
      </c>
      <c r="J30" s="186">
        <f t="shared" si="3"/>
        <v>80430.250042166474</v>
      </c>
      <c r="K30" s="183">
        <f t="shared" si="4"/>
        <v>149542.57109880686</v>
      </c>
      <c r="P30">
        <v>2009</v>
      </c>
      <c r="Q30" s="183">
        <v>2011</v>
      </c>
      <c r="R30" s="184">
        <v>190</v>
      </c>
      <c r="S30" s="178">
        <v>24731.671875</v>
      </c>
      <c r="T30" s="185">
        <f t="shared" si="5"/>
        <v>5.8018719918536776</v>
      </c>
      <c r="U30" s="186">
        <f t="shared" si="6"/>
        <v>0.87059368695712824</v>
      </c>
      <c r="V30" s="186">
        <f t="shared" si="7"/>
        <v>62874.506848921192</v>
      </c>
      <c r="W30">
        <f t="shared" si="10"/>
        <v>410</v>
      </c>
      <c r="X30" s="186">
        <f t="shared" si="8"/>
        <v>94259.497475471871</v>
      </c>
    </row>
    <row r="31" spans="2:24">
      <c r="I31">
        <f t="shared" si="9"/>
        <v>435</v>
      </c>
      <c r="J31" s="186">
        <f t="shared" si="3"/>
        <v>82624.832892723702</v>
      </c>
      <c r="K31" s="183">
        <f t="shared" si="4"/>
        <v>149542.57109880686</v>
      </c>
      <c r="P31">
        <v>2010</v>
      </c>
      <c r="Q31" s="183">
        <v>2012</v>
      </c>
      <c r="R31" s="184">
        <v>914</v>
      </c>
      <c r="S31" s="178">
        <v>116382.18965517241</v>
      </c>
      <c r="T31" s="185">
        <f t="shared" si="5"/>
        <v>4.9074154449512308</v>
      </c>
      <c r="U31" s="186">
        <f t="shared" si="6"/>
        <v>3.6737204345800578E-3</v>
      </c>
      <c r="V31" s="186">
        <f t="shared" si="7"/>
        <v>123654.41975730009</v>
      </c>
      <c r="W31">
        <f t="shared" si="10"/>
        <v>435</v>
      </c>
      <c r="X31" s="186">
        <f t="shared" si="8"/>
        <v>96654.190059677887</v>
      </c>
    </row>
    <row r="32" spans="2:24">
      <c r="I32">
        <f t="shared" si="9"/>
        <v>460</v>
      </c>
      <c r="J32" s="186">
        <f t="shared" si="3"/>
        <v>84684.33222053459</v>
      </c>
      <c r="K32" s="183">
        <f t="shared" si="4"/>
        <v>149542.57109880686</v>
      </c>
      <c r="P32">
        <v>2011</v>
      </c>
      <c r="Q32" s="183">
        <v>2013</v>
      </c>
      <c r="R32" s="184">
        <v>1116</v>
      </c>
      <c r="S32" s="178">
        <v>77210.450980392168</v>
      </c>
      <c r="T32" s="185">
        <f t="shared" si="5"/>
        <v>4.7547460547235136</v>
      </c>
      <c r="U32" s="186">
        <f t="shared" si="6"/>
        <v>0.26828473229254302</v>
      </c>
      <c r="V32" s="186">
        <f t="shared" si="7"/>
        <v>129605.71999169809</v>
      </c>
      <c r="W32">
        <f t="shared" si="10"/>
        <v>460</v>
      </c>
      <c r="X32" s="186">
        <f t="shared" si="8"/>
        <v>98893.522230985836</v>
      </c>
    </row>
    <row r="33" spans="9:24">
      <c r="I33">
        <f t="shared" si="9"/>
        <v>485</v>
      </c>
      <c r="J33" s="186">
        <f t="shared" si="3"/>
        <v>86620.847861758448</v>
      </c>
      <c r="K33" s="183">
        <f t="shared" si="4"/>
        <v>149542.57109880686</v>
      </c>
      <c r="P33">
        <v>2012</v>
      </c>
      <c r="Q33" s="183">
        <v>2014</v>
      </c>
      <c r="R33" s="184">
        <v>643</v>
      </c>
      <c r="S33" s="178">
        <v>75419.434782608689</v>
      </c>
      <c r="T33" s="185">
        <f t="shared" si="5"/>
        <v>5.1575199341660474</v>
      </c>
      <c r="U33" s="186">
        <f t="shared" si="6"/>
        <v>0.15432670837735601</v>
      </c>
      <c r="V33" s="186">
        <f t="shared" si="7"/>
        <v>111710.35209246413</v>
      </c>
      <c r="W33">
        <f t="shared" si="10"/>
        <v>485</v>
      </c>
      <c r="X33" s="186">
        <f t="shared" si="8"/>
        <v>100992.13793264762</v>
      </c>
    </row>
    <row r="34" spans="9:24">
      <c r="I34">
        <f t="shared" si="9"/>
        <v>510</v>
      </c>
      <c r="J34" s="186">
        <f t="shared" si="3"/>
        <v>88445.076457220057</v>
      </c>
      <c r="K34" s="183">
        <f t="shared" si="4"/>
        <v>149542.57109880686</v>
      </c>
      <c r="W34">
        <f t="shared" si="10"/>
        <v>510</v>
      </c>
      <c r="X34" s="186">
        <f t="shared" si="8"/>
        <v>102962.89676141506</v>
      </c>
    </row>
    <row r="35" spans="9:24">
      <c r="I35">
        <f t="shared" si="9"/>
        <v>535</v>
      </c>
      <c r="J35" s="186">
        <f t="shared" si="3"/>
        <v>90166.509128787962</v>
      </c>
      <c r="K35" s="183">
        <f t="shared" si="4"/>
        <v>149542.57109880686</v>
      </c>
      <c r="R35" s="187" t="s">
        <v>225</v>
      </c>
      <c r="S35" s="192">
        <f>AVERAGE(S14:S33)</f>
        <v>62713.608794253611</v>
      </c>
      <c r="W35">
        <f t="shared" si="10"/>
        <v>535</v>
      </c>
      <c r="X35" s="186">
        <f t="shared" si="8"/>
        <v>104817.13770893576</v>
      </c>
    </row>
    <row r="36" spans="9:24">
      <c r="I36">
        <f t="shared" si="9"/>
        <v>560</v>
      </c>
      <c r="J36" s="186">
        <f t="shared" si="3"/>
        <v>91793.596654092253</v>
      </c>
      <c r="K36" s="183">
        <f t="shared" si="4"/>
        <v>149542.57109880686</v>
      </c>
      <c r="W36">
        <f t="shared" si="10"/>
        <v>560</v>
      </c>
      <c r="X36" s="186">
        <f t="shared" si="8"/>
        <v>106564.8974665007</v>
      </c>
    </row>
    <row r="37" spans="9:24">
      <c r="I37">
        <f t="shared" si="9"/>
        <v>585</v>
      </c>
      <c r="J37" s="186">
        <f t="shared" si="3"/>
        <v>93333.888207814656</v>
      </c>
      <c r="K37" s="183">
        <f t="shared" si="4"/>
        <v>149542.57109880686</v>
      </c>
      <c r="P37" s="179"/>
      <c r="W37">
        <f t="shared" si="10"/>
        <v>585</v>
      </c>
      <c r="X37" s="186">
        <f t="shared" si="8"/>
        <v>108215.0921705666</v>
      </c>
    </row>
    <row r="38" spans="9:24">
      <c r="I38">
        <f t="shared" si="9"/>
        <v>610</v>
      </c>
      <c r="J38" s="186">
        <f t="shared" si="3"/>
        <v>94794.148476598202</v>
      </c>
      <c r="K38" s="183">
        <f t="shared" si="4"/>
        <v>149542.57109880686</v>
      </c>
      <c r="W38">
        <f t="shared" si="10"/>
        <v>610</v>
      </c>
      <c r="X38" s="186">
        <f t="shared" si="8"/>
        <v>109775.66953804558</v>
      </c>
    </row>
    <row r="39" spans="9:24">
      <c r="I39">
        <f t="shared" si="9"/>
        <v>635</v>
      </c>
      <c r="J39" s="186">
        <f t="shared" si="3"/>
        <v>96180.456980852963</v>
      </c>
      <c r="K39" s="183">
        <f t="shared" si="4"/>
        <v>149542.57109880686</v>
      </c>
      <c r="Q39" s="178"/>
      <c r="T39" s="178"/>
      <c r="W39">
        <f t="shared" si="10"/>
        <v>635</v>
      </c>
      <c r="X39" s="186">
        <f t="shared" si="8"/>
        <v>111253.73687074122</v>
      </c>
    </row>
    <row r="40" spans="9:24">
      <c r="I40">
        <f t="shared" si="9"/>
        <v>660</v>
      </c>
      <c r="J40" s="186">
        <f t="shared" si="3"/>
        <v>97498.292679398917</v>
      </c>
      <c r="K40" s="183">
        <f t="shared" si="4"/>
        <v>149542.57109880686</v>
      </c>
      <c r="Q40" s="178"/>
      <c r="T40" s="178"/>
      <c r="W40">
        <f t="shared" si="10"/>
        <v>660</v>
      </c>
      <c r="X40" s="186">
        <f t="shared" si="8"/>
        <v>112655.66927934323</v>
      </c>
    </row>
    <row r="41" spans="9:24">
      <c r="I41">
        <f t="shared" si="9"/>
        <v>685</v>
      </c>
      <c r="J41" s="186">
        <f t="shared" si="3"/>
        <v>98752.606339823396</v>
      </c>
      <c r="K41" s="183">
        <f t="shared" si="4"/>
        <v>149542.57109880686</v>
      </c>
      <c r="P41" s="178"/>
      <c r="Q41" s="178"/>
      <c r="S41" s="178"/>
      <c r="T41" s="178"/>
      <c r="W41">
        <f t="shared" si="10"/>
        <v>685</v>
      </c>
      <c r="X41" s="186">
        <f t="shared" si="8"/>
        <v>113987.20160354413</v>
      </c>
    </row>
    <row r="42" spans="9:24">
      <c r="I42">
        <f t="shared" si="9"/>
        <v>710</v>
      </c>
      <c r="J42" s="186">
        <f t="shared" si="3"/>
        <v>99947.882689980048</v>
      </c>
      <c r="K42" s="183">
        <f t="shared" si="4"/>
        <v>149542.57109880686</v>
      </c>
      <c r="P42" s="178"/>
      <c r="S42" s="178"/>
      <c r="W42">
        <f t="shared" si="10"/>
        <v>710</v>
      </c>
      <c r="X42" s="186">
        <f t="shared" si="8"/>
        <v>115253.50682362237</v>
      </c>
    </row>
    <row r="43" spans="9:24">
      <c r="I43">
        <f t="shared" si="9"/>
        <v>735</v>
      </c>
      <c r="J43" s="186">
        <f t="shared" si="3"/>
        <v>101088.193995337</v>
      </c>
      <c r="K43" s="183">
        <f t="shared" si="4"/>
        <v>149542.57109880686</v>
      </c>
      <c r="P43" s="178"/>
      <c r="S43" s="178"/>
      <c r="W43">
        <f t="shared" si="10"/>
        <v>735</v>
      </c>
      <c r="X43" s="186">
        <f t="shared" si="8"/>
        <v>116459.26322419503</v>
      </c>
    </row>
    <row r="44" spans="9:24">
      <c r="I44">
        <f t="shared" si="9"/>
        <v>760</v>
      </c>
      <c r="J44" s="186">
        <f t="shared" si="3"/>
        <v>102177.2464111522</v>
      </c>
      <c r="K44" s="183">
        <f t="shared" si="4"/>
        <v>149542.57109880686</v>
      </c>
      <c r="P44" s="178"/>
      <c r="S44" s="178"/>
      <c r="W44">
        <f t="shared" si="10"/>
        <v>760</v>
      </c>
      <c r="X44" s="186">
        <f t="shared" si="8"/>
        <v>117608.7121485539</v>
      </c>
    </row>
    <row r="45" spans="9:24">
      <c r="I45">
        <f t="shared" si="9"/>
        <v>785</v>
      </c>
      <c r="J45" s="186">
        <f t="shared" si="3"/>
        <v>103218.42022123095</v>
      </c>
      <c r="K45" s="183">
        <f t="shared" si="4"/>
        <v>149542.57109880686</v>
      </c>
      <c r="P45" s="178"/>
      <c r="S45" s="178"/>
      <c r="W45">
        <f t="shared" si="10"/>
        <v>785</v>
      </c>
      <c r="X45" s="186">
        <f t="shared" si="8"/>
        <v>118705.70784642696</v>
      </c>
    </row>
    <row r="46" spans="9:24">
      <c r="I46">
        <f t="shared" si="9"/>
        <v>810</v>
      </c>
      <c r="J46" s="186">
        <f t="shared" si="3"/>
        <v>104214.80488371851</v>
      </c>
      <c r="K46" s="183">
        <f t="shared" si="4"/>
        <v>149542.57109880686</v>
      </c>
      <c r="P46" s="178"/>
      <c r="S46" s="178"/>
      <c r="W46">
        <f t="shared" si="10"/>
        <v>810</v>
      </c>
      <c r="X46" s="186">
        <f t="shared" si="8"/>
        <v>119753.76064980731</v>
      </c>
    </row>
    <row r="47" spans="9:24">
      <c r="I47">
        <f t="shared" si="9"/>
        <v>835</v>
      </c>
      <c r="J47" s="186">
        <f t="shared" si="3"/>
        <v>105169.22964933212</v>
      </c>
      <c r="K47" s="183">
        <f t="shared" si="4"/>
        <v>149542.57109880686</v>
      </c>
      <c r="P47" s="178"/>
      <c r="S47" s="178"/>
      <c r="W47">
        <f t="shared" si="10"/>
        <v>835</v>
      </c>
      <c r="X47" s="186">
        <f t="shared" si="8"/>
        <v>120756.07449596378</v>
      </c>
    </row>
    <row r="48" spans="9:24">
      <c r="I48">
        <f t="shared" si="9"/>
        <v>860</v>
      </c>
      <c r="J48" s="186">
        <f t="shared" si="3"/>
        <v>106084.29039116403</v>
      </c>
      <c r="K48" s="183">
        <f t="shared" si="4"/>
        <v>149542.57109880686</v>
      </c>
      <c r="P48" s="178"/>
      <c r="S48" s="178"/>
      <c r="W48">
        <f t="shared" si="10"/>
        <v>860</v>
      </c>
      <c r="X48" s="186">
        <f t="shared" si="8"/>
        <v>121715.57964264207</v>
      </c>
    </row>
    <row r="49" spans="9:24">
      <c r="I49">
        <f t="shared" si="9"/>
        <v>885</v>
      </c>
      <c r="J49" s="186">
        <f t="shared" si="3"/>
        <v>106962.37318187703</v>
      </c>
      <c r="K49" s="183">
        <f t="shared" si="4"/>
        <v>149542.57109880686</v>
      </c>
      <c r="P49" s="178"/>
      <c r="S49" s="178"/>
      <c r="W49">
        <f t="shared" si="10"/>
        <v>885</v>
      </c>
      <c r="X49" s="186">
        <f t="shared" si="8"/>
        <v>122634.96127912334</v>
      </c>
    </row>
    <row r="50" spans="9:24">
      <c r="I50">
        <f t="shared" si="9"/>
        <v>910</v>
      </c>
      <c r="J50" s="186">
        <f t="shared" si="3"/>
        <v>107805.67506921825</v>
      </c>
      <c r="K50" s="183">
        <f t="shared" si="4"/>
        <v>149542.57109880686</v>
      </c>
      <c r="P50" s="178"/>
      <c r="S50" s="178"/>
      <c r="W50">
        <f t="shared" si="10"/>
        <v>910</v>
      </c>
      <c r="X50" s="186">
        <f t="shared" si="8"/>
        <v>123516.68462151624</v>
      </c>
    </row>
    <row r="51" spans="9:24">
      <c r="I51">
        <f t="shared" si="9"/>
        <v>935</v>
      </c>
      <c r="J51" s="186">
        <f t="shared" si="3"/>
        <v>108616.22243071983</v>
      </c>
      <c r="K51" s="183">
        <f t="shared" si="4"/>
        <v>149542.57109880686</v>
      </c>
      <c r="P51" s="178"/>
      <c r="S51" s="178"/>
      <c r="W51">
        <f t="shared" si="10"/>
        <v>935</v>
      </c>
      <c r="X51" s="186">
        <f t="shared" si="8"/>
        <v>124363.01698619344</v>
      </c>
    </row>
    <row r="52" spans="9:24">
      <c r="I52">
        <f t="shared" si="9"/>
        <v>960</v>
      </c>
      <c r="J52" s="186">
        <f t="shared" si="3"/>
        <v>109395.88723040927</v>
      </c>
      <c r="K52" s="183">
        <f t="shared" si="4"/>
        <v>149542.57109880686</v>
      </c>
      <c r="P52" s="178"/>
      <c r="S52" s="178"/>
      <c r="W52">
        <f t="shared" si="10"/>
        <v>960</v>
      </c>
      <c r="X52" s="186">
        <f t="shared" si="8"/>
        <v>125176.04725754366</v>
      </c>
    </row>
    <row r="53" spans="9:24">
      <c r="I53">
        <f t="shared" si="9"/>
        <v>985</v>
      </c>
      <c r="J53" s="186">
        <f t="shared" si="3"/>
        <v>110146.40145207261</v>
      </c>
      <c r="K53" s="183">
        <f t="shared" si="4"/>
        <v>149542.57109880686</v>
      </c>
      <c r="P53" s="178"/>
      <c r="S53" s="178"/>
      <c r="W53">
        <f t="shared" si="10"/>
        <v>985</v>
      </c>
      <c r="X53" s="186">
        <f t="shared" si="8"/>
        <v>125957.70310197165</v>
      </c>
    </row>
    <row r="54" spans="9:24">
      <c r="I54">
        <f t="shared" si="9"/>
        <v>1010</v>
      </c>
      <c r="J54" s="186">
        <f t="shared" si="3"/>
        <v>110869.36994330822</v>
      </c>
      <c r="K54" s="183">
        <f t="shared" si="4"/>
        <v>149542.57109880686</v>
      </c>
      <c r="P54" s="178"/>
      <c r="S54" s="178"/>
      <c r="W54">
        <f t="shared" si="10"/>
        <v>1010</v>
      </c>
      <c r="X54" s="186">
        <f t="shared" si="8"/>
        <v>126709.76622678316</v>
      </c>
    </row>
    <row r="55" spans="9:24">
      <c r="I55">
        <f t="shared" si="9"/>
        <v>1035</v>
      </c>
      <c r="J55" s="186">
        <f t="shared" si="3"/>
        <v>111566.2818708399</v>
      </c>
      <c r="K55" s="183">
        <f t="shared" si="4"/>
        <v>149542.57109880686</v>
      </c>
      <c r="P55" s="178"/>
      <c r="S55" s="178"/>
      <c r="W55">
        <f t="shared" si="10"/>
        <v>1035</v>
      </c>
      <c r="X55" s="186">
        <f t="shared" si="8"/>
        <v>127433.88593820702</v>
      </c>
    </row>
    <row r="56" spans="9:24">
      <c r="I56">
        <f t="shared" si="9"/>
        <v>1060</v>
      </c>
      <c r="J56" s="186">
        <f t="shared" si="3"/>
        <v>112238.52095916934</v>
      </c>
      <c r="K56" s="183">
        <f t="shared" si="4"/>
        <v>149542.57109880686</v>
      </c>
      <c r="P56" s="178"/>
      <c r="S56" s="178"/>
      <c r="W56">
        <f t="shared" si="10"/>
        <v>1060</v>
      </c>
      <c r="X56" s="186">
        <f t="shared" si="8"/>
        <v>128131.59121570928</v>
      </c>
    </row>
    <row r="57" spans="9:24">
      <c r="I57">
        <f t="shared" si="9"/>
        <v>1085</v>
      </c>
      <c r="J57" s="186">
        <f t="shared" si="3"/>
        <v>112887.37466070321</v>
      </c>
      <c r="K57" s="183">
        <f t="shared" si="4"/>
        <v>149542.57109880686</v>
      </c>
      <c r="P57" s="178"/>
      <c r="S57" s="178"/>
      <c r="W57">
        <f t="shared" si="10"/>
        <v>1085</v>
      </c>
      <c r="X57" s="186">
        <f t="shared" si="8"/>
        <v>128804.30148863506</v>
      </c>
    </row>
    <row r="58" spans="9:24">
      <c r="I58">
        <f t="shared" si="9"/>
        <v>1110</v>
      </c>
      <c r="J58" s="186">
        <f t="shared" si="3"/>
        <v>113514.04238522958</v>
      </c>
      <c r="K58" s="183">
        <f t="shared" si="4"/>
        <v>149542.57109880686</v>
      </c>
      <c r="P58" s="178"/>
      <c r="S58" s="178"/>
      <c r="W58">
        <f t="shared" si="10"/>
        <v>1110</v>
      </c>
      <c r="X58" s="186">
        <f t="shared" si="8"/>
        <v>129453.3362750253</v>
      </c>
    </row>
    <row r="59" spans="9:24">
      <c r="I59">
        <f t="shared" si="9"/>
        <v>1135</v>
      </c>
      <c r="J59" s="186">
        <f t="shared" si="3"/>
        <v>114119.64289942279</v>
      </c>
      <c r="K59" s="183">
        <f t="shared" si="4"/>
        <v>149542.57109880686</v>
      </c>
      <c r="P59" s="178"/>
      <c r="S59" s="178"/>
      <c r="W59">
        <f t="shared" si="10"/>
        <v>1135</v>
      </c>
      <c r="X59" s="186">
        <f t="shared" si="8"/>
        <v>130079.92382034147</v>
      </c>
    </row>
    <row r="60" spans="9:24">
      <c r="I60">
        <f t="shared" si="9"/>
        <v>1160</v>
      </c>
      <c r="J60" s="186">
        <f t="shared" si="3"/>
        <v>114705.22099241904</v>
      </c>
      <c r="K60" s="183">
        <f t="shared" si="4"/>
        <v>149542.57109880686</v>
      </c>
      <c r="P60" s="178"/>
      <c r="S60" s="178"/>
      <c r="W60">
        <f t="shared" si="10"/>
        <v>1160</v>
      </c>
      <c r="X60" s="186">
        <f t="shared" si="8"/>
        <v>130685.20885510094</v>
      </c>
    </row>
    <row r="61" spans="9:24">
      <c r="I61">
        <f t="shared" si="9"/>
        <v>1185</v>
      </c>
      <c r="J61" s="186">
        <f t="shared" si="3"/>
        <v>115271.75349100975</v>
      </c>
      <c r="K61" s="183">
        <f t="shared" si="4"/>
        <v>149542.57109880686</v>
      </c>
      <c r="P61" s="178"/>
      <c r="S61" s="178"/>
      <c r="W61">
        <f t="shared" si="10"/>
        <v>1185</v>
      </c>
      <c r="X61" s="186">
        <f t="shared" si="8"/>
        <v>131270.25957451307</v>
      </c>
    </row>
    <row r="62" spans="9:24">
      <c r="I62">
        <f t="shared" si="9"/>
        <v>1210</v>
      </c>
      <c r="J62" s="186">
        <f t="shared" si="3"/>
        <v>115820.15469730461</v>
      </c>
      <c r="K62" s="183">
        <f t="shared" si="4"/>
        <v>149542.57109880686</v>
      </c>
      <c r="P62" s="178"/>
      <c r="S62" s="178"/>
      <c r="W62">
        <f t="shared" si="10"/>
        <v>1210</v>
      </c>
      <c r="X62" s="186">
        <f t="shared" si="8"/>
        <v>131836.07392964777</v>
      </c>
    </row>
    <row r="63" spans="9:24">
      <c r="I63">
        <f t="shared" si="9"/>
        <v>1235</v>
      </c>
      <c r="J63" s="186">
        <f t="shared" si="3"/>
        <v>116351.2813125369</v>
      </c>
      <c r="K63" s="183">
        <f t="shared" si="4"/>
        <v>149542.57109880686</v>
      </c>
      <c r="P63" s="178"/>
      <c r="S63" s="178"/>
      <c r="W63">
        <f t="shared" si="10"/>
        <v>1235</v>
      </c>
      <c r="X63" s="186">
        <f t="shared" si="8"/>
        <v>132383.58530808339</v>
      </c>
    </row>
    <row r="64" spans="9:24">
      <c r="I64">
        <f t="shared" si="9"/>
        <v>1260</v>
      </c>
      <c r="J64" s="186">
        <f t="shared" si="3"/>
        <v>116865.93690278528</v>
      </c>
      <c r="K64" s="183">
        <f t="shared" si="4"/>
        <v>149542.57109880686</v>
      </c>
      <c r="P64" s="178"/>
      <c r="S64" s="178"/>
      <c r="W64">
        <f t="shared" si="10"/>
        <v>1260</v>
      </c>
      <c r="X64" s="186">
        <f t="shared" si="8"/>
        <v>132913.66767205572</v>
      </c>
    </row>
    <row r="65" spans="9:24">
      <c r="I65">
        <f t="shared" si="9"/>
        <v>1285</v>
      </c>
      <c r="J65" s="186">
        <f t="shared" si="3"/>
        <v>117364.87595557327</v>
      </c>
      <c r="K65" s="183">
        <f t="shared" si="4"/>
        <v>149542.57109880686</v>
      </c>
      <c r="P65" s="178"/>
      <c r="S65" s="178"/>
      <c r="W65">
        <f t="shared" si="10"/>
        <v>1285</v>
      </c>
      <c r="X65" s="186">
        <f t="shared" si="8"/>
        <v>133427.14021360426</v>
      </c>
    </row>
    <row r="66" spans="9:24">
      <c r="I66">
        <f t="shared" si="9"/>
        <v>1310</v>
      </c>
      <c r="J66" s="186">
        <f t="shared" si="3"/>
        <v>117848.80757041709</v>
      </c>
      <c r="K66" s="183">
        <f t="shared" si="4"/>
        <v>149542.57109880686</v>
      </c>
      <c r="P66" s="178"/>
      <c r="S66" s="178"/>
      <c r="W66">
        <f t="shared" si="10"/>
        <v>1310</v>
      </c>
      <c r="X66" s="186">
        <f t="shared" si="8"/>
        <v>133924.77157887007</v>
      </c>
    </row>
    <row r="67" spans="9:24">
      <c r="I67">
        <f t="shared" si="9"/>
        <v>1335</v>
      </c>
      <c r="J67" s="186">
        <f t="shared" si="3"/>
        <v>118318.398821287</v>
      </c>
      <c r="K67" s="183">
        <f t="shared" si="4"/>
        <v>149542.57109880686</v>
      </c>
      <c r="P67" s="178"/>
      <c r="S67" s="178"/>
      <c r="W67">
        <f t="shared" si="10"/>
        <v>1335</v>
      </c>
      <c r="X67" s="186">
        <f t="shared" si="8"/>
        <v>134407.28370736018</v>
      </c>
    </row>
    <row r="68" spans="9:24">
      <c r="I68">
        <f t="shared" si="9"/>
        <v>1360</v>
      </c>
      <c r="J68" s="186">
        <f t="shared" si="3"/>
        <v>118774.27782451316</v>
      </c>
      <c r="K68" s="183">
        <f t="shared" si="4"/>
        <v>149542.57109880686</v>
      </c>
      <c r="P68" s="178"/>
      <c r="S68" s="178"/>
      <c r="W68">
        <f t="shared" si="10"/>
        <v>1360</v>
      </c>
      <c r="X68" s="186">
        <f t="shared" si="8"/>
        <v>134875.35532651056</v>
      </c>
    </row>
    <row r="69" spans="9:24">
      <c r="I69">
        <f t="shared" si="9"/>
        <v>1385</v>
      </c>
      <c r="J69" s="186">
        <f t="shared" si="3"/>
        <v>119217.03654180665</v>
      </c>
      <c r="K69" s="183">
        <f t="shared" si="4"/>
        <v>149542.57109880686</v>
      </c>
      <c r="P69" s="178"/>
      <c r="S69" s="178"/>
      <c r="W69">
        <f t="shared" si="10"/>
        <v>1385</v>
      </c>
      <c r="X69" s="186">
        <f t="shared" si="8"/>
        <v>135329.62513712139</v>
      </c>
    </row>
    <row r="70" spans="9:24">
      <c r="I70">
        <f t="shared" si="9"/>
        <v>1410</v>
      </c>
      <c r="J70" s="186">
        <f t="shared" si="3"/>
        <v>119647.23334469929</v>
      </c>
      <c r="K70" s="183">
        <f t="shared" si="4"/>
        <v>149542.57109880686</v>
      </c>
      <c r="P70" s="178"/>
      <c r="S70" s="178"/>
      <c r="W70">
        <f t="shared" si="10"/>
        <v>1410</v>
      </c>
      <c r="X70" s="186">
        <f t="shared" si="8"/>
        <v>135770.69472110394</v>
      </c>
    </row>
    <row r="71" spans="9:24">
      <c r="I71">
        <f t="shared" si="9"/>
        <v>1435</v>
      </c>
      <c r="J71" s="186">
        <f t="shared" si="3"/>
        <v>120065.39536376232</v>
      </c>
      <c r="K71" s="183">
        <f t="shared" si="4"/>
        <v>149542.57109880686</v>
      </c>
      <c r="P71" s="178"/>
      <c r="S71" s="178"/>
      <c r="W71">
        <f t="shared" si="10"/>
        <v>1435</v>
      </c>
      <c r="X71" s="186">
        <f t="shared" si="8"/>
        <v>136199.13119937672</v>
      </c>
    </row>
    <row r="72" spans="9:24">
      <c r="I72">
        <f t="shared" si="9"/>
        <v>1460</v>
      </c>
      <c r="J72" s="186">
        <f t="shared" si="3"/>
        <v>120472.02064338613</v>
      </c>
      <c r="K72" s="183">
        <f t="shared" si="4"/>
        <v>149542.57109880686</v>
      </c>
      <c r="P72" s="178"/>
      <c r="S72" s="178"/>
      <c r="W72">
        <f t="shared" si="10"/>
        <v>1460</v>
      </c>
      <c r="X72" s="186">
        <f t="shared" si="8"/>
        <v>136615.46966460368</v>
      </c>
    </row>
    <row r="73" spans="9:24">
      <c r="I73">
        <f t="shared" si="9"/>
        <v>1485</v>
      </c>
      <c r="J73" s="186">
        <f t="shared" si="3"/>
        <v>120867.58012064108</v>
      </c>
      <c r="K73" s="183">
        <f t="shared" si="4"/>
        <v>149542.57109880686</v>
      </c>
      <c r="P73" s="178"/>
      <c r="S73" s="178"/>
      <c r="W73">
        <f t="shared" si="10"/>
        <v>1485</v>
      </c>
      <c r="X73" s="186">
        <f t="shared" si="8"/>
        <v>137020.215410718</v>
      </c>
    </row>
    <row r="74" spans="9:24">
      <c r="I74">
        <f t="shared" si="9"/>
        <v>1510</v>
      </c>
      <c r="J74" s="186">
        <f t="shared" si="3"/>
        <v>121252.51944475037</v>
      </c>
      <c r="K74" s="183">
        <f t="shared" si="4"/>
        <v>149542.57109880686</v>
      </c>
      <c r="P74" s="178"/>
      <c r="S74" s="178"/>
      <c r="W74">
        <f t="shared" si="10"/>
        <v>1510</v>
      </c>
      <c r="X74" s="186">
        <f t="shared" si="8"/>
        <v>137413.84597876293</v>
      </c>
    </row>
    <row r="75" spans="9:24">
      <c r="I75">
        <f t="shared" si="9"/>
        <v>1535</v>
      </c>
      <c r="J75" s="186">
        <f t="shared" si="3"/>
        <v>121627.26065195404</v>
      </c>
      <c r="K75" s="183">
        <f t="shared" si="4"/>
        <v>149542.57109880686</v>
      </c>
    </row>
    <row r="76" spans="9:24">
      <c r="I76">
        <f t="shared" si="9"/>
        <v>1560</v>
      </c>
      <c r="J76" s="186">
        <f t="shared" si="3"/>
        <v>121992.20370899797</v>
      </c>
      <c r="K76" s="183">
        <f t="shared" si="4"/>
        <v>149542.57109880686</v>
      </c>
    </row>
    <row r="77" spans="9:24">
      <c r="I77">
        <f t="shared" si="9"/>
        <v>1585</v>
      </c>
      <c r="J77" s="186">
        <f t="shared" si="3"/>
        <v>122347.72793711476</v>
      </c>
      <c r="K77" s="183">
        <f t="shared" si="4"/>
        <v>149542.57109880686</v>
      </c>
    </row>
    <row r="78" spans="9:24">
      <c r="I78">
        <f t="shared" si="9"/>
        <v>1610</v>
      </c>
      <c r="J78" s="186">
        <f t="shared" si="3"/>
        <v>122694.19332715472</v>
      </c>
      <c r="K78" s="183">
        <f t="shared" si="4"/>
        <v>149542.57109880686</v>
      </c>
    </row>
    <row r="79" spans="9:24">
      <c r="I79">
        <f t="shared" si="9"/>
        <v>1635</v>
      </c>
      <c r="J79" s="186">
        <f t="shared" ref="J79:J114" si="11">$G$8*I79/($G$9+I79)</f>
        <v>123031.94175545192</v>
      </c>
      <c r="K79" s="183">
        <f t="shared" ref="K79:K114" si="12">$G$8</f>
        <v>149542.57109880686</v>
      </c>
    </row>
    <row r="80" spans="9:24">
      <c r="I80">
        <f t="shared" ref="I80:I114" si="13">I79+25</f>
        <v>1660</v>
      </c>
      <c r="J80" s="186">
        <f t="shared" si="11"/>
        <v>123361.29810905793</v>
      </c>
      <c r="K80" s="183">
        <f t="shared" si="12"/>
        <v>149542.57109880686</v>
      </c>
    </row>
    <row r="81" spans="9:11">
      <c r="I81">
        <f t="shared" si="13"/>
        <v>1685</v>
      </c>
      <c r="J81" s="186">
        <f t="shared" si="11"/>
        <v>123682.57132812835</v>
      </c>
      <c r="K81" s="183">
        <f t="shared" si="12"/>
        <v>149542.57109880686</v>
      </c>
    </row>
    <row r="82" spans="9:11">
      <c r="I82">
        <f t="shared" si="13"/>
        <v>1710</v>
      </c>
      <c r="J82" s="186">
        <f t="shared" si="11"/>
        <v>123996.05537249242</v>
      </c>
      <c r="K82" s="183">
        <f t="shared" si="12"/>
        <v>149542.57109880686</v>
      </c>
    </row>
    <row r="83" spans="9:11">
      <c r="I83">
        <f t="shared" si="13"/>
        <v>1735</v>
      </c>
      <c r="J83" s="186">
        <f t="shared" si="11"/>
        <v>124302.03011876189</v>
      </c>
      <c r="K83" s="183">
        <f t="shared" si="12"/>
        <v>149542.57109880686</v>
      </c>
    </row>
    <row r="84" spans="9:11">
      <c r="I84">
        <f t="shared" si="13"/>
        <v>1760</v>
      </c>
      <c r="J84" s="186">
        <f t="shared" si="11"/>
        <v>124600.76219373406</v>
      </c>
      <c r="K84" s="183">
        <f t="shared" si="12"/>
        <v>149542.57109880686</v>
      </c>
    </row>
    <row r="85" spans="9:11">
      <c r="I85">
        <f t="shared" si="13"/>
        <v>1785</v>
      </c>
      <c r="J85" s="186">
        <f t="shared" si="11"/>
        <v>124892.50574930516</v>
      </c>
      <c r="K85" s="183">
        <f t="shared" si="12"/>
        <v>149542.57109880686</v>
      </c>
    </row>
    <row r="86" spans="9:11">
      <c r="I86">
        <f t="shared" si="13"/>
        <v>1810</v>
      </c>
      <c r="J86" s="186">
        <f t="shared" si="11"/>
        <v>125177.50318362754</v>
      </c>
      <c r="K86" s="183">
        <f t="shared" si="12"/>
        <v>149542.57109880686</v>
      </c>
    </row>
    <row r="87" spans="9:11">
      <c r="I87">
        <f t="shared" si="13"/>
        <v>1835</v>
      </c>
      <c r="J87" s="186">
        <f t="shared" si="11"/>
        <v>125455.98581281195</v>
      </c>
      <c r="K87" s="183">
        <f t="shared" si="12"/>
        <v>149542.57109880686</v>
      </c>
    </row>
    <row r="88" spans="9:11">
      <c r="I88">
        <f t="shared" si="13"/>
        <v>1860</v>
      </c>
      <c r="J88" s="186">
        <f t="shared" si="11"/>
        <v>125728.17449708626</v>
      </c>
      <c r="K88" s="183">
        <f t="shared" si="12"/>
        <v>149542.57109880686</v>
      </c>
    </row>
    <row r="89" spans="9:11">
      <c r="I89">
        <f t="shared" si="13"/>
        <v>1885</v>
      </c>
      <c r="J89" s="186">
        <f t="shared" si="11"/>
        <v>125994.28022497392</v>
      </c>
      <c r="K89" s="183">
        <f t="shared" si="12"/>
        <v>149542.57109880686</v>
      </c>
    </row>
    <row r="90" spans="9:11">
      <c r="I90">
        <f t="shared" si="13"/>
        <v>1910</v>
      </c>
      <c r="J90" s="186">
        <f t="shared" si="11"/>
        <v>126254.5046587386</v>
      </c>
      <c r="K90" s="183">
        <f t="shared" si="12"/>
        <v>149542.57109880686</v>
      </c>
    </row>
    <row r="91" spans="9:11">
      <c r="I91">
        <f t="shared" si="13"/>
        <v>1935</v>
      </c>
      <c r="J91" s="186">
        <f t="shared" si="11"/>
        <v>126509.04064405925</v>
      </c>
      <c r="K91" s="183">
        <f t="shared" si="12"/>
        <v>149542.57109880686</v>
      </c>
    </row>
    <row r="92" spans="9:11">
      <c r="I92">
        <f t="shared" si="13"/>
        <v>1960</v>
      </c>
      <c r="J92" s="186">
        <f t="shared" si="11"/>
        <v>126758.07268664216</v>
      </c>
      <c r="K92" s="183">
        <f t="shared" si="12"/>
        <v>149542.57109880686</v>
      </c>
    </row>
    <row r="93" spans="9:11">
      <c r="I93">
        <f t="shared" si="13"/>
        <v>1985</v>
      </c>
      <c r="J93" s="186">
        <f t="shared" si="11"/>
        <v>127001.77739824593</v>
      </c>
      <c r="K93" s="183">
        <f t="shared" si="12"/>
        <v>149542.57109880686</v>
      </c>
    </row>
    <row r="94" spans="9:11">
      <c r="I94">
        <f t="shared" si="13"/>
        <v>2010</v>
      </c>
      <c r="J94" s="186">
        <f t="shared" si="11"/>
        <v>127240.32391438489</v>
      </c>
      <c r="K94" s="183">
        <f t="shared" si="12"/>
        <v>149542.57109880686</v>
      </c>
    </row>
    <row r="95" spans="9:11">
      <c r="I95">
        <f t="shared" si="13"/>
        <v>2035</v>
      </c>
      <c r="J95" s="186">
        <f t="shared" si="11"/>
        <v>127473.87428578739</v>
      </c>
      <c r="K95" s="183">
        <f t="shared" si="12"/>
        <v>149542.57109880686</v>
      </c>
    </row>
    <row r="96" spans="9:11">
      <c r="I96">
        <f t="shared" si="13"/>
        <v>2060</v>
      </c>
      <c r="J96" s="186">
        <f t="shared" si="11"/>
        <v>127702.58384551261</v>
      </c>
      <c r="K96" s="183">
        <f t="shared" si="12"/>
        <v>149542.57109880686</v>
      </c>
    </row>
    <row r="97" spans="9:11">
      <c r="I97">
        <f t="shared" si="13"/>
        <v>2085</v>
      </c>
      <c r="J97" s="186">
        <f t="shared" si="11"/>
        <v>127926.60155347399</v>
      </c>
      <c r="K97" s="183">
        <f t="shared" si="12"/>
        <v>149542.57109880686</v>
      </c>
    </row>
    <row r="98" spans="9:11">
      <c r="I98">
        <f t="shared" si="13"/>
        <v>2110</v>
      </c>
      <c r="J98" s="186">
        <f t="shared" si="11"/>
        <v>128146.07031997452</v>
      </c>
      <c r="K98" s="183">
        <f t="shared" si="12"/>
        <v>149542.57109880686</v>
      </c>
    </row>
    <row r="99" spans="9:11">
      <c r="I99">
        <f t="shared" si="13"/>
        <v>2135</v>
      </c>
      <c r="J99" s="186">
        <f t="shared" si="11"/>
        <v>128361.12730973108</v>
      </c>
      <c r="K99" s="183">
        <f t="shared" si="12"/>
        <v>149542.57109880686</v>
      </c>
    </row>
    <row r="100" spans="9:11">
      <c r="I100">
        <f t="shared" si="13"/>
        <v>2160</v>
      </c>
      <c r="J100" s="186">
        <f t="shared" si="11"/>
        <v>128571.90422774653</v>
      </c>
      <c r="K100" s="183">
        <f t="shared" si="12"/>
        <v>149542.57109880686</v>
      </c>
    </row>
    <row r="101" spans="9:11">
      <c r="I101">
        <f t="shared" si="13"/>
        <v>2185</v>
      </c>
      <c r="J101" s="186">
        <f t="shared" si="11"/>
        <v>128778.5275882818</v>
      </c>
      <c r="K101" s="183">
        <f t="shared" si="12"/>
        <v>149542.57109880686</v>
      </c>
    </row>
    <row r="102" spans="9:11">
      <c r="I102">
        <f t="shared" si="13"/>
        <v>2210</v>
      </c>
      <c r="J102" s="186">
        <f t="shared" si="11"/>
        <v>128981.11896808185</v>
      </c>
      <c r="K102" s="183">
        <f t="shared" si="12"/>
        <v>149542.57109880686</v>
      </c>
    </row>
    <row r="103" spans="9:11">
      <c r="I103">
        <f t="shared" si="13"/>
        <v>2235</v>
      </c>
      <c r="J103" s="186">
        <f t="shared" si="11"/>
        <v>129179.79524492103</v>
      </c>
      <c r="K103" s="183">
        <f t="shared" si="12"/>
        <v>149542.57109880686</v>
      </c>
    </row>
    <row r="104" spans="9:11">
      <c r="I104">
        <f t="shared" si="13"/>
        <v>2260</v>
      </c>
      <c r="J104" s="186">
        <f t="shared" si="11"/>
        <v>129374.66882245085</v>
      </c>
      <c r="K104" s="183">
        <f t="shared" si="12"/>
        <v>149542.57109880686</v>
      </c>
    </row>
    <row r="105" spans="9:11">
      <c r="I105">
        <f t="shared" si="13"/>
        <v>2285</v>
      </c>
      <c r="J105" s="186">
        <f t="shared" si="11"/>
        <v>129565.84784225939</v>
      </c>
      <c r="K105" s="183">
        <f t="shared" si="12"/>
        <v>149542.57109880686</v>
      </c>
    </row>
    <row r="106" spans="9:11">
      <c r="I106">
        <f t="shared" si="13"/>
        <v>2310</v>
      </c>
      <c r="J106" s="186">
        <f t="shared" si="11"/>
        <v>129753.43638398267</v>
      </c>
      <c r="K106" s="183">
        <f t="shared" si="12"/>
        <v>149542.57109880686</v>
      </c>
    </row>
    <row r="107" spans="9:11">
      <c r="I107">
        <f t="shared" si="13"/>
        <v>2335</v>
      </c>
      <c r="J107" s="186">
        <f t="shared" si="11"/>
        <v>129937.53465424637</v>
      </c>
      <c r="K107" s="183">
        <f t="shared" si="12"/>
        <v>149542.57109880686</v>
      </c>
    </row>
    <row r="108" spans="9:11">
      <c r="I108">
        <f t="shared" si="13"/>
        <v>2360</v>
      </c>
      <c r="J108" s="186">
        <f t="shared" si="11"/>
        <v>130118.23916515829</v>
      </c>
      <c r="K108" s="183">
        <f t="shared" si="12"/>
        <v>149542.57109880686</v>
      </c>
    </row>
    <row r="109" spans="9:11">
      <c r="I109">
        <f t="shared" si="13"/>
        <v>2385</v>
      </c>
      <c r="J109" s="186">
        <f t="shared" si="11"/>
        <v>130295.64290301982</v>
      </c>
      <c r="K109" s="183">
        <f t="shared" si="12"/>
        <v>149542.57109880686</v>
      </c>
    </row>
    <row r="110" spans="9:11">
      <c r="I110">
        <f t="shared" si="13"/>
        <v>2410</v>
      </c>
      <c r="J110" s="186">
        <f t="shared" si="11"/>
        <v>130469.83548787585</v>
      </c>
      <c r="K110" s="183">
        <f t="shared" si="12"/>
        <v>149542.57109880686</v>
      </c>
    </row>
    <row r="111" spans="9:11">
      <c r="I111">
        <f t="shared" si="13"/>
        <v>2435</v>
      </c>
      <c r="J111" s="186">
        <f t="shared" si="11"/>
        <v>130640.90332447852</v>
      </c>
      <c r="K111" s="183">
        <f t="shared" si="12"/>
        <v>149542.57109880686</v>
      </c>
    </row>
    <row r="112" spans="9:11">
      <c r="I112">
        <f t="shared" si="13"/>
        <v>2460</v>
      </c>
      <c r="J112" s="186">
        <f t="shared" si="11"/>
        <v>130808.92974519897</v>
      </c>
      <c r="K112" s="183">
        <f t="shared" si="12"/>
        <v>149542.57109880686</v>
      </c>
    </row>
    <row r="113" spans="9:11">
      <c r="I113">
        <f t="shared" si="13"/>
        <v>2485</v>
      </c>
      <c r="J113" s="186">
        <f t="shared" si="11"/>
        <v>130973.99514538376</v>
      </c>
      <c r="K113" s="183">
        <f t="shared" si="12"/>
        <v>149542.57109880686</v>
      </c>
    </row>
    <row r="114" spans="9:11">
      <c r="I114">
        <f t="shared" si="13"/>
        <v>2510</v>
      </c>
      <c r="J114" s="186">
        <f t="shared" si="11"/>
        <v>131136.17711161796</v>
      </c>
      <c r="K114" s="183">
        <f t="shared" si="12"/>
        <v>149542.57109880686</v>
      </c>
    </row>
  </sheetData>
  <hyperlinks>
    <hyperlink ref="A5" r:id="rId1" xr:uid="{0296F049-1BC7-A743-BB31-954172D24599}"/>
    <hyperlink ref="A6" r:id="rId2" xr:uid="{2F47A4A2-21BA-8643-A200-0BFDE9A6E08D}"/>
  </hyperlinks>
  <pageMargins left="0.7" right="0.7" top="0.75" bottom="0.75" header="0.3" footer="0.3"/>
  <drawing r:id="rId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3858A-75FD-C948-8C94-6A8879C8E704}">
  <sheetPr codeName="Sheet7"/>
  <dimension ref="A1:H35"/>
  <sheetViews>
    <sheetView topLeftCell="A2" zoomScale="155" zoomScaleNormal="155" workbookViewId="0">
      <selection activeCell="C28" sqref="C22:C28"/>
    </sheetView>
  </sheetViews>
  <sheetFormatPr baseColWidth="10" defaultRowHeight="16"/>
  <cols>
    <col min="1" max="1" width="15" customWidth="1"/>
    <col min="2" max="2" width="15.83203125" customWidth="1"/>
    <col min="3" max="3" width="15" customWidth="1"/>
    <col min="4" max="4" width="15.83203125" bestFit="1" customWidth="1"/>
    <col min="6" max="6" width="15.1640625" customWidth="1"/>
    <col min="7" max="7" width="14.33203125" customWidth="1"/>
  </cols>
  <sheetData>
    <row r="1" spans="1:8">
      <c r="A1" t="s">
        <v>234</v>
      </c>
      <c r="G1" s="193" t="s">
        <v>239</v>
      </c>
    </row>
    <row r="2" spans="1:8">
      <c r="A2" s="205" t="s">
        <v>158</v>
      </c>
      <c r="B2" s="205" t="s">
        <v>238</v>
      </c>
      <c r="C2" s="205" t="s">
        <v>17</v>
      </c>
      <c r="D2" s="205" t="s">
        <v>22</v>
      </c>
      <c r="G2" s="193" t="s">
        <v>240</v>
      </c>
    </row>
    <row r="3" spans="1:8">
      <c r="A3" t="str">
        <f>D22</f>
        <v>CC-Curr</v>
      </c>
      <c r="B3" t="s">
        <v>169</v>
      </c>
      <c r="C3" s="197">
        <f>G22</f>
        <v>165687.37610977169</v>
      </c>
      <c r="D3">
        <f>H22</f>
        <v>0</v>
      </c>
    </row>
    <row r="4" spans="1:8">
      <c r="A4" t="str">
        <f t="shared" ref="A4:A14" si="0">D23</f>
        <v>CC-PNV</v>
      </c>
      <c r="B4" t="s">
        <v>169</v>
      </c>
      <c r="C4" s="197">
        <f t="shared" ref="C4:C16" si="1">G23</f>
        <v>266756.67553673242</v>
      </c>
      <c r="D4">
        <f t="shared" ref="D4:D16" si="2">H23</f>
        <v>0</v>
      </c>
    </row>
    <row r="5" spans="1:8">
      <c r="A5" t="str">
        <f t="shared" si="0"/>
        <v>CC-HiPr</v>
      </c>
      <c r="B5" t="s">
        <v>169</v>
      </c>
      <c r="C5" s="197">
        <f t="shared" si="1"/>
        <v>215393.58894270321</v>
      </c>
      <c r="D5">
        <f t="shared" si="2"/>
        <v>0</v>
      </c>
    </row>
    <row r="6" spans="1:8">
      <c r="A6" t="str">
        <f t="shared" si="0"/>
        <v>CC-WidPNV</v>
      </c>
      <c r="B6" t="s">
        <v>169</v>
      </c>
      <c r="C6" s="197">
        <f t="shared" si="1"/>
        <v>276697.91810331872</v>
      </c>
      <c r="D6">
        <f t="shared" si="2"/>
        <v>0</v>
      </c>
    </row>
    <row r="7" spans="1:8">
      <c r="A7" t="str">
        <f t="shared" si="0"/>
        <v>CC-Clim</v>
      </c>
      <c r="B7" t="s">
        <v>169</v>
      </c>
      <c r="C7" s="197">
        <f t="shared" si="1"/>
        <v>106039.92071025388</v>
      </c>
      <c r="D7">
        <f t="shared" si="2"/>
        <v>0</v>
      </c>
    </row>
    <row r="8" spans="1:8">
      <c r="A8" t="str">
        <f t="shared" si="0"/>
        <v>CC-ClimVeg</v>
      </c>
      <c r="B8" t="s">
        <v>169</v>
      </c>
      <c r="C8" s="197">
        <f t="shared" si="1"/>
        <v>198824.85133172604</v>
      </c>
      <c r="D8">
        <f t="shared" si="2"/>
        <v>0</v>
      </c>
    </row>
    <row r="9" spans="1:8">
      <c r="A9" t="str">
        <f t="shared" si="0"/>
        <v>CC-ClimVegWid</v>
      </c>
      <c r="B9" t="s">
        <v>169</v>
      </c>
      <c r="C9" s="197">
        <f t="shared" si="1"/>
        <v>226991.70527038723</v>
      </c>
      <c r="D9">
        <f t="shared" si="2"/>
        <v>0</v>
      </c>
    </row>
    <row r="10" spans="1:8">
      <c r="A10" t="str">
        <f t="shared" si="0"/>
        <v>UGR-Curr</v>
      </c>
      <c r="B10" t="s">
        <v>169</v>
      </c>
      <c r="C10" s="197">
        <f t="shared" si="1"/>
        <v>149542.57109880686</v>
      </c>
      <c r="D10">
        <f t="shared" si="2"/>
        <v>0</v>
      </c>
    </row>
    <row r="11" spans="1:8">
      <c r="A11" t="str">
        <f t="shared" si="0"/>
        <v>UGR-PNV</v>
      </c>
      <c r="B11" t="s">
        <v>169</v>
      </c>
      <c r="C11" s="197">
        <f t="shared" si="1"/>
        <v>713318.06414130866</v>
      </c>
      <c r="D11">
        <f t="shared" si="2"/>
        <v>0</v>
      </c>
    </row>
    <row r="12" spans="1:8">
      <c r="A12" t="str">
        <f t="shared" si="0"/>
        <v>UGR-HiPr</v>
      </c>
      <c r="B12" t="s">
        <v>169</v>
      </c>
      <c r="C12" s="197">
        <f t="shared" si="1"/>
        <v>299085.14219761372</v>
      </c>
      <c r="D12">
        <f t="shared" si="2"/>
        <v>0</v>
      </c>
    </row>
    <row r="13" spans="1:8">
      <c r="A13" t="str">
        <f t="shared" si="0"/>
        <v>UGR-WidPNV</v>
      </c>
      <c r="B13" t="s">
        <v>169</v>
      </c>
      <c r="C13" s="197">
        <f t="shared" si="1"/>
        <v>1031843.7405817674</v>
      </c>
      <c r="D13">
        <f t="shared" si="2"/>
        <v>0</v>
      </c>
    </row>
    <row r="14" spans="1:8">
      <c r="A14" t="str">
        <f t="shared" si="0"/>
        <v>UGR-Clim</v>
      </c>
      <c r="B14" t="s">
        <v>169</v>
      </c>
      <c r="C14" s="197">
        <f t="shared" si="1"/>
        <v>70285.008416439217</v>
      </c>
      <c r="D14">
        <f t="shared" si="2"/>
        <v>0</v>
      </c>
    </row>
    <row r="15" spans="1:8">
      <c r="A15" t="str">
        <f>D34</f>
        <v>UGR-ClimVeg</v>
      </c>
      <c r="B15" t="s">
        <v>169</v>
      </c>
      <c r="C15" s="197">
        <f t="shared" si="1"/>
        <v>243754.39089105517</v>
      </c>
      <c r="D15">
        <f t="shared" si="2"/>
        <v>0</v>
      </c>
    </row>
    <row r="16" spans="1:8" s="89" customFormat="1">
      <c r="A16" t="str">
        <f>D35</f>
        <v>UGR-ClimVegWid</v>
      </c>
      <c r="B16" t="s">
        <v>169</v>
      </c>
      <c r="C16" s="197">
        <f t="shared" si="1"/>
        <v>320021.10215144663</v>
      </c>
      <c r="D16">
        <f t="shared" si="2"/>
        <v>0</v>
      </c>
      <c r="E16"/>
      <c r="F16"/>
      <c r="G16"/>
      <c r="H16"/>
    </row>
    <row r="20" spans="2:8">
      <c r="B20" t="s">
        <v>236</v>
      </c>
    </row>
    <row r="21" spans="2:8">
      <c r="B21" s="89" t="s">
        <v>43</v>
      </c>
      <c r="C21" s="89" t="s">
        <v>45</v>
      </c>
      <c r="D21" s="89" t="s">
        <v>158</v>
      </c>
      <c r="E21" s="89" t="s">
        <v>235</v>
      </c>
      <c r="F21" s="89" t="s">
        <v>237</v>
      </c>
      <c r="G21" s="89" t="s">
        <v>234</v>
      </c>
      <c r="H21" s="89"/>
    </row>
    <row r="22" spans="2:8">
      <c r="B22" t="s">
        <v>25</v>
      </c>
      <c r="C22" t="s">
        <v>46</v>
      </c>
      <c r="D22" t="str">
        <f>B22&amp;"-"&amp;C22</f>
        <v>CC-Curr</v>
      </c>
      <c r="E22" s="195">
        <v>0</v>
      </c>
      <c r="F22" s="196">
        <f>E22*Fry_Parr_c_I!$U$8</f>
        <v>0</v>
      </c>
      <c r="G22" s="196">
        <f>Fry_Parr_c_I!$U$8+Fry_Parr_c_II!F22</f>
        <v>165687.37610977169</v>
      </c>
    </row>
    <row r="23" spans="2:8">
      <c r="B23" t="s">
        <v>25</v>
      </c>
      <c r="C23" t="s">
        <v>47</v>
      </c>
      <c r="D23" t="str">
        <f t="shared" ref="D23:D35" si="3">B23&amp;"-"&amp;C23</f>
        <v>CC-PNV</v>
      </c>
      <c r="E23" s="195">
        <v>0.61</v>
      </c>
      <c r="F23" s="196">
        <f>E23*Fry_Parr_c_I!$U$8</f>
        <v>101069.29942696073</v>
      </c>
      <c r="G23" s="196">
        <f>Fry_Parr_c_I!$U$8+Fry_Parr_c_II!F23</f>
        <v>266756.67553673242</v>
      </c>
    </row>
    <row r="24" spans="2:8">
      <c r="B24" t="s">
        <v>25</v>
      </c>
      <c r="C24" t="s">
        <v>48</v>
      </c>
      <c r="D24" t="str">
        <f t="shared" si="3"/>
        <v>CC-HiPr</v>
      </c>
      <c r="E24" s="195">
        <v>0.3</v>
      </c>
      <c r="F24" s="196">
        <f>E24*Fry_Parr_c_I!$U$8</f>
        <v>49706.212832931509</v>
      </c>
      <c r="G24" s="196">
        <f>Fry_Parr_c_I!$U$8+Fry_Parr_c_II!F24</f>
        <v>215393.58894270321</v>
      </c>
    </row>
    <row r="25" spans="2:8">
      <c r="B25" t="s">
        <v>25</v>
      </c>
      <c r="C25" t="s">
        <v>193</v>
      </c>
      <c r="D25" t="str">
        <f t="shared" si="3"/>
        <v>CC-WidPNV</v>
      </c>
      <c r="E25" s="195">
        <v>0.67</v>
      </c>
      <c r="F25" s="196">
        <f>E25*Fry_Parr_c_I!$U$8</f>
        <v>111010.54199354704</v>
      </c>
      <c r="G25" s="196">
        <f>Fry_Parr_c_I!$U$8+Fry_Parr_c_II!F25</f>
        <v>276697.91810331872</v>
      </c>
    </row>
    <row r="26" spans="2:8">
      <c r="B26" t="s">
        <v>25</v>
      </c>
      <c r="C26" t="s">
        <v>49</v>
      </c>
      <c r="D26" t="str">
        <f t="shared" si="3"/>
        <v>CC-Clim</v>
      </c>
      <c r="E26" s="195">
        <v>-0.36</v>
      </c>
      <c r="F26" s="196">
        <f>E26*Fry_Parr_c_I!$U$8</f>
        <v>-59647.455399517807</v>
      </c>
      <c r="G26" s="196">
        <f>Fry_Parr_c_I!$U$8+Fry_Parr_c_II!F26</f>
        <v>106039.92071025388</v>
      </c>
    </row>
    <row r="27" spans="2:8">
      <c r="B27" t="s">
        <v>25</v>
      </c>
      <c r="C27" t="s">
        <v>50</v>
      </c>
      <c r="D27" t="str">
        <f t="shared" si="3"/>
        <v>CC-ClimVeg</v>
      </c>
      <c r="E27" s="195">
        <v>0.2</v>
      </c>
      <c r="F27" s="196">
        <f>E27*Fry_Parr_c_I!$U$8</f>
        <v>33137.475221954337</v>
      </c>
      <c r="G27" s="196">
        <f>Fry_Parr_c_I!$U$8+Fry_Parr_c_II!F27</f>
        <v>198824.85133172604</v>
      </c>
    </row>
    <row r="28" spans="2:8">
      <c r="B28" t="s">
        <v>25</v>
      </c>
      <c r="C28" t="s">
        <v>51</v>
      </c>
      <c r="D28" t="str">
        <f t="shared" si="3"/>
        <v>CC-ClimVegWid</v>
      </c>
      <c r="E28" s="195">
        <v>0.37</v>
      </c>
      <c r="F28" s="196">
        <f>E28*Fry_Parr_c_I!$U$8</f>
        <v>61304.329160615525</v>
      </c>
      <c r="G28" s="196">
        <f>Fry_Parr_c_I!$U$8+Fry_Parr_c_II!F28</f>
        <v>226991.70527038723</v>
      </c>
    </row>
    <row r="29" spans="2:8">
      <c r="B29" t="s">
        <v>44</v>
      </c>
      <c r="C29" t="s">
        <v>46</v>
      </c>
      <c r="D29" t="str">
        <f t="shared" si="3"/>
        <v>UGR-Curr</v>
      </c>
      <c r="E29" s="195">
        <v>0</v>
      </c>
      <c r="F29" s="196">
        <f>Fry_Parr_c_II!E29*Fry_Parr_c_I!$G$8</f>
        <v>0</v>
      </c>
      <c r="G29" s="196">
        <f>Fry_Parr_c_I!$G$8+Fry_Parr_c_II!F29</f>
        <v>149542.57109880686</v>
      </c>
    </row>
    <row r="30" spans="2:8">
      <c r="B30" t="s">
        <v>44</v>
      </c>
      <c r="C30" t="s">
        <v>47</v>
      </c>
      <c r="D30" t="str">
        <f t="shared" si="3"/>
        <v>UGR-PNV</v>
      </c>
      <c r="E30" s="195">
        <v>3.77</v>
      </c>
      <c r="F30" s="196">
        <f>Fry_Parr_c_II!E30*Fry_Parr_c_I!$G$8</f>
        <v>563775.49304250185</v>
      </c>
      <c r="G30" s="196">
        <f>Fry_Parr_c_I!$G$8+Fry_Parr_c_II!F30</f>
        <v>713318.06414130866</v>
      </c>
    </row>
    <row r="31" spans="2:8">
      <c r="B31" t="s">
        <v>44</v>
      </c>
      <c r="C31" t="s">
        <v>48</v>
      </c>
      <c r="D31" t="str">
        <f t="shared" si="3"/>
        <v>UGR-HiPr</v>
      </c>
      <c r="E31" s="195">
        <v>1</v>
      </c>
      <c r="F31" s="196">
        <f>Fry_Parr_c_II!E31*Fry_Parr_c_I!$G$8</f>
        <v>149542.57109880686</v>
      </c>
      <c r="G31" s="196">
        <f>Fry_Parr_c_I!$G$8+Fry_Parr_c_II!F31</f>
        <v>299085.14219761372</v>
      </c>
    </row>
    <row r="32" spans="2:8">
      <c r="B32" t="s">
        <v>44</v>
      </c>
      <c r="C32" t="s">
        <v>193</v>
      </c>
      <c r="D32" t="str">
        <f t="shared" si="3"/>
        <v>UGR-WidPNV</v>
      </c>
      <c r="E32" s="195">
        <v>5.9</v>
      </c>
      <c r="F32" s="196">
        <f>Fry_Parr_c_II!E32*Fry_Parr_c_I!$G$8</f>
        <v>882301.16948296048</v>
      </c>
      <c r="G32" s="196">
        <f>Fry_Parr_c_I!$G$8+Fry_Parr_c_II!F32</f>
        <v>1031843.7405817674</v>
      </c>
    </row>
    <row r="33" spans="2:7">
      <c r="B33" t="s">
        <v>44</v>
      </c>
      <c r="C33" t="s">
        <v>49</v>
      </c>
      <c r="D33" t="str">
        <f t="shared" si="3"/>
        <v>UGR-Clim</v>
      </c>
      <c r="E33" s="195">
        <v>-0.53</v>
      </c>
      <c r="F33" s="196">
        <f>Fry_Parr_c_II!E33*Fry_Parr_c_I!$G$8</f>
        <v>-79257.562682367643</v>
      </c>
      <c r="G33" s="196">
        <f>Fry_Parr_c_I!$G$8+Fry_Parr_c_II!F33</f>
        <v>70285.008416439217</v>
      </c>
    </row>
    <row r="34" spans="2:7">
      <c r="B34" t="s">
        <v>44</v>
      </c>
      <c r="C34" t="s">
        <v>50</v>
      </c>
      <c r="D34" t="str">
        <f t="shared" si="3"/>
        <v>UGR-ClimVeg</v>
      </c>
      <c r="E34" s="195">
        <v>0.63</v>
      </c>
      <c r="F34" s="196">
        <f>Fry_Parr_c_II!E34*Fry_Parr_c_I!$G$8</f>
        <v>94211.819792248323</v>
      </c>
      <c r="G34" s="196">
        <f>Fry_Parr_c_I!$G$8+Fry_Parr_c_II!F34</f>
        <v>243754.39089105517</v>
      </c>
    </row>
    <row r="35" spans="2:7">
      <c r="B35" t="s">
        <v>44</v>
      </c>
      <c r="C35" t="s">
        <v>51</v>
      </c>
      <c r="D35" t="str">
        <f t="shared" si="3"/>
        <v>UGR-ClimVegWid</v>
      </c>
      <c r="E35" s="195">
        <v>1.1399999999999999</v>
      </c>
      <c r="F35" s="196">
        <f>Fry_Parr_c_II!E35*Fry_Parr_c_I!$G$8</f>
        <v>170478.5310526398</v>
      </c>
      <c r="G35" s="196">
        <f>Fry_Parr_c_I!$G$8+Fry_Parr_c_II!F35</f>
        <v>320021.10215144663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3CA87-DF3A-5640-81D8-839CD46B64F7}">
  <sheetPr codeName="Sheet8"/>
  <dimension ref="A1:G6"/>
  <sheetViews>
    <sheetView zoomScale="145" zoomScaleNormal="145" workbookViewId="0">
      <selection activeCell="G3" sqref="G3"/>
    </sheetView>
  </sheetViews>
  <sheetFormatPr baseColWidth="10" defaultRowHeight="16"/>
  <cols>
    <col min="2" max="2" width="24.83203125" customWidth="1"/>
    <col min="3" max="3" width="9.33203125" bestFit="1" customWidth="1"/>
    <col min="4" max="4" width="17.33203125" customWidth="1"/>
  </cols>
  <sheetData>
    <row r="1" spans="1:7" ht="22" customHeight="1">
      <c r="A1" s="198" t="s">
        <v>257</v>
      </c>
      <c r="G1" s="203" t="s">
        <v>258</v>
      </c>
    </row>
    <row r="2" spans="1:7">
      <c r="A2" s="205" t="s">
        <v>43</v>
      </c>
      <c r="B2" s="205" t="s">
        <v>14</v>
      </c>
      <c r="C2" s="2" t="s">
        <v>18</v>
      </c>
      <c r="D2" s="2" t="s">
        <v>19</v>
      </c>
      <c r="G2" s="203" t="s">
        <v>261</v>
      </c>
    </row>
    <row r="3" spans="1:7">
      <c r="A3" t="s">
        <v>25</v>
      </c>
      <c r="B3" s="1" t="s">
        <v>259</v>
      </c>
      <c r="C3">
        <v>0.76</v>
      </c>
      <c r="D3">
        <v>0.11600000000000001</v>
      </c>
    </row>
    <row r="4" spans="1:7">
      <c r="A4" t="s">
        <v>44</v>
      </c>
      <c r="B4" s="1" t="s">
        <v>259</v>
      </c>
      <c r="C4">
        <v>0.26</v>
      </c>
      <c r="D4">
        <v>0.17699999999999999</v>
      </c>
    </row>
    <row r="5" spans="1:7">
      <c r="A5" t="s">
        <v>25</v>
      </c>
      <c r="B5" s="1" t="s">
        <v>260</v>
      </c>
      <c r="C5">
        <f>1-C3</f>
        <v>0.24</v>
      </c>
      <c r="D5">
        <v>0.11600000000000001</v>
      </c>
    </row>
    <row r="6" spans="1:7">
      <c r="A6" t="s">
        <v>44</v>
      </c>
      <c r="B6" s="1" t="s">
        <v>260</v>
      </c>
      <c r="C6">
        <f>1-C4</f>
        <v>0.74</v>
      </c>
      <c r="D6">
        <v>0.17699999999999999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A459A-D201-1746-9792-2F9E0C9362E4}">
  <sheetPr codeName="Sheet9"/>
  <dimension ref="A1:J17"/>
  <sheetViews>
    <sheetView zoomScale="132" zoomScaleNormal="132" workbookViewId="0">
      <selection activeCell="F25" sqref="F25"/>
    </sheetView>
  </sheetViews>
  <sheetFormatPr baseColWidth="10" defaultRowHeight="16"/>
  <cols>
    <col min="1" max="1" width="22" customWidth="1"/>
    <col min="2" max="2" width="27.6640625" customWidth="1"/>
    <col min="3" max="3" width="15.83203125" bestFit="1" customWidth="1"/>
    <col min="4" max="4" width="20" customWidth="1"/>
    <col min="5" max="5" width="22" customWidth="1"/>
  </cols>
  <sheetData>
    <row r="1" spans="1:10" ht="33" customHeight="1">
      <c r="A1" s="163" t="s">
        <v>248</v>
      </c>
      <c r="G1" s="193" t="s">
        <v>249</v>
      </c>
    </row>
    <row r="2" spans="1:10">
      <c r="A2" s="105" t="s">
        <v>43</v>
      </c>
      <c r="B2" s="2" t="s">
        <v>14</v>
      </c>
      <c r="C2" s="92" t="s">
        <v>15</v>
      </c>
      <c r="D2" s="92" t="s">
        <v>16</v>
      </c>
      <c r="G2" s="193" t="s">
        <v>256</v>
      </c>
    </row>
    <row r="3" spans="1:10">
      <c r="A3" t="s">
        <v>25</v>
      </c>
      <c r="B3" s="1" t="s">
        <v>250</v>
      </c>
      <c r="C3" s="194">
        <f>E14</f>
        <v>0.10768140000000001</v>
      </c>
      <c r="D3">
        <f>D14</f>
        <v>5.8999999999999997E-2</v>
      </c>
    </row>
    <row r="4" spans="1:10">
      <c r="A4" t="s">
        <v>44</v>
      </c>
      <c r="B4" s="1" t="s">
        <v>250</v>
      </c>
      <c r="C4" s="194">
        <f>E16</f>
        <v>0.118426</v>
      </c>
      <c r="D4">
        <f>D16</f>
        <v>6.2E-2</v>
      </c>
    </row>
    <row r="5" spans="1:10">
      <c r="A5" t="s">
        <v>25</v>
      </c>
      <c r="B5" s="1" t="s">
        <v>251</v>
      </c>
      <c r="C5" s="194">
        <f>E15</f>
        <v>0.12738780000000002</v>
      </c>
      <c r="D5">
        <f>D15</f>
        <v>5.8999999999999997E-2</v>
      </c>
    </row>
    <row r="6" spans="1:10">
      <c r="A6" t="s">
        <v>44</v>
      </c>
      <c r="B6" s="1" t="s">
        <v>251</v>
      </c>
      <c r="C6" s="194">
        <f>E17</f>
        <v>0.185724</v>
      </c>
      <c r="D6">
        <f t="shared" ref="D6" si="0">D17</f>
        <v>6.2E-2</v>
      </c>
    </row>
    <row r="11" spans="1:10" ht="21">
      <c r="H11" s="198" t="s">
        <v>241</v>
      </c>
    </row>
    <row r="12" spans="1:10">
      <c r="A12" s="203" t="s">
        <v>253</v>
      </c>
      <c r="H12" s="199" t="s">
        <v>242</v>
      </c>
    </row>
    <row r="13" spans="1:10">
      <c r="A13" s="89" t="s">
        <v>43</v>
      </c>
      <c r="B13" s="89" t="s">
        <v>252</v>
      </c>
      <c r="C13" s="89" t="s">
        <v>254</v>
      </c>
      <c r="D13" s="89" t="s">
        <v>196</v>
      </c>
      <c r="E13" s="89" t="s">
        <v>255</v>
      </c>
      <c r="H13" s="200" t="s">
        <v>243</v>
      </c>
    </row>
    <row r="14" spans="1:10">
      <c r="A14" t="s">
        <v>25</v>
      </c>
      <c r="B14" t="s">
        <v>244</v>
      </c>
      <c r="C14" s="204">
        <v>0.1173</v>
      </c>
      <c r="D14">
        <v>5.8999999999999997E-2</v>
      </c>
      <c r="E14">
        <f>C14*I15</f>
        <v>0.10768140000000001</v>
      </c>
      <c r="H14" s="201" t="s">
        <v>43</v>
      </c>
      <c r="I14" s="201" t="s">
        <v>244</v>
      </c>
      <c r="J14" s="201" t="s">
        <v>245</v>
      </c>
    </row>
    <row r="15" spans="1:10">
      <c r="A15" t="s">
        <v>25</v>
      </c>
      <c r="B15" t="s">
        <v>245</v>
      </c>
      <c r="C15" s="89">
        <v>0.1173</v>
      </c>
      <c r="D15">
        <v>5.8999999999999997E-2</v>
      </c>
      <c r="E15">
        <f>C15*J15</f>
        <v>0.12738780000000002</v>
      </c>
      <c r="H15" s="201" t="s">
        <v>246</v>
      </c>
      <c r="I15" s="114">
        <v>0.91800000000000004</v>
      </c>
      <c r="J15" s="114">
        <v>1.0860000000000001</v>
      </c>
    </row>
    <row r="16" spans="1:10">
      <c r="A16" t="s">
        <v>44</v>
      </c>
      <c r="B16" t="s">
        <v>244</v>
      </c>
      <c r="C16" s="89">
        <v>0.154</v>
      </c>
      <c r="D16">
        <v>6.2E-2</v>
      </c>
      <c r="E16">
        <f>C16*I16</f>
        <v>0.118426</v>
      </c>
      <c r="H16" s="201" t="s">
        <v>205</v>
      </c>
      <c r="I16" s="114">
        <v>0.76900000000000002</v>
      </c>
      <c r="J16" s="114">
        <v>1.206</v>
      </c>
    </row>
    <row r="17" spans="1:8">
      <c r="A17" t="s">
        <v>44</v>
      </c>
      <c r="B17" t="s">
        <v>245</v>
      </c>
      <c r="C17" s="89">
        <v>0.154</v>
      </c>
      <c r="D17">
        <v>6.2E-2</v>
      </c>
      <c r="E17">
        <f>C17*J16</f>
        <v>0.185724</v>
      </c>
      <c r="H17" s="202" t="s">
        <v>247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Model</vt:lpstr>
      <vt:lpstr>Inputs</vt:lpstr>
      <vt:lpstr>Settings</vt:lpstr>
      <vt:lpstr>Scenarios</vt:lpstr>
      <vt:lpstr>Fry_Parr_p</vt:lpstr>
      <vt:lpstr>Fry_Parr_c_I</vt:lpstr>
      <vt:lpstr>Fry_Parr_c_II</vt:lpstr>
      <vt:lpstr>Parr_PreSmolt</vt:lpstr>
      <vt:lpstr>PreSmolt_LGDSmolt</vt:lpstr>
      <vt:lpstr>SAR</vt:lpstr>
      <vt:lpstr>Spawner_Egg_p</vt:lpstr>
      <vt:lpstr>Spawner_Egg_c</vt:lpstr>
      <vt:lpstr>HatchRelease_LGDSmolt</vt:lpstr>
      <vt:lpstr>PassedAdult_Spawner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Nick</cp:lastModifiedBy>
  <dcterms:created xsi:type="dcterms:W3CDTF">2018-02-13T22:03:50Z</dcterms:created>
  <dcterms:modified xsi:type="dcterms:W3CDTF">2018-09-06T22:25:41Z</dcterms:modified>
</cp:coreProperties>
</file>